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225" tabRatio="609" firstSheet="1" activeTab="1"/>
  </bookViews>
  <sheets>
    <sheet name="社保" sheetId="27" state="hidden" r:id="rId1"/>
    <sheet name="付款通知" sheetId="26" r:id="rId2"/>
    <sheet name="（居民）工资表-7月" sheetId="20" state="hidden" r:id="rId3"/>
    <sheet name="（居民）工资表-5月" sheetId="18" state="hidden" r:id="rId4"/>
    <sheet name="（居民）工资表-6月" sheetId="19" state="hidden" r:id="rId5"/>
    <sheet name="（居民）工资表-8月" sheetId="21" state="hidden" r:id="rId6"/>
    <sheet name="（居民）工资表-9月" sheetId="22" state="hidden" r:id="rId7"/>
    <sheet name="（居民）工资表-10月" sheetId="23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state="hidden" r:id="rId12"/>
    <sheet name="（居民）工资表-3月" sheetId="16" state="hidden" r:id="rId13"/>
    <sheet name="（居民）工资表-4月" sheetId="17" r:id="rId14"/>
    <sheet name="Sheet1" sheetId="14" state="hidden" r:id="rId15"/>
  </sheets>
  <externalReferences>
    <externalReference r:id="rId17"/>
    <externalReference r:id="rId18"/>
  </externalReferences>
  <definedNames>
    <definedName name="_xlnm._FilterDatabase" localSheetId="2" hidden="1">'（居民）工资表-7月'!$A$3:$AL$20</definedName>
    <definedName name="_xlnm._FilterDatabase" localSheetId="3" hidden="1">'（居民）工资表-5月'!$A$3:$AT$20</definedName>
    <definedName name="_xlnm._FilterDatabase" localSheetId="6" hidden="1">'（居民）工资表-9月'!$A$3:$AT$18</definedName>
    <definedName name="_xlnm._FilterDatabase" localSheetId="7" hidden="1">'（居民）工资表-10月'!$A$3:$AT$18</definedName>
    <definedName name="_xlnm._FilterDatabase" localSheetId="8" hidden="1">'（居民）工资表-11月'!$A$3:$AT$18</definedName>
    <definedName name="_xlnm._FilterDatabase" localSheetId="10" hidden="1">'（居民）工资表-12月'!$A$3:$AT$18</definedName>
    <definedName name="_xlnm._FilterDatabase" localSheetId="11" hidden="1">'（居民）工资表-2月'!$A$3:$AT$19</definedName>
    <definedName name="_xlnm._FilterDatabase" localSheetId="12" hidden="1">'（居民）工资表-3月'!$A$3:$AT$18</definedName>
    <definedName name="_xlnm._FilterDatabase" localSheetId="13" hidden="1">'（居民）工资表-4月'!$A$3:$AT$19</definedName>
    <definedName name="_xlnm._FilterDatabase" localSheetId="5" hidden="1">'（居民）工资表-8月'!$A$3:$AT$20</definedName>
    <definedName name="_xlnm._FilterDatabase" localSheetId="4" hidden="1">'（居民）工资表-6月'!$A$3:$AV$18</definedName>
    <definedName name="_xlnm._FilterDatabase" localSheetId="9" hidden="1">'（居民）工资表-1月'!$A$3:$AV$19</definedName>
    <definedName name="_xlnm.Print_Area" localSheetId="7">'（居民）工资表-10月'!$A$1:$AT$24</definedName>
    <definedName name="_xlnm.Print_Area" localSheetId="8">'（居民）工资表-11月'!$A$1:$AT$24</definedName>
    <definedName name="_xlnm.Print_Area" localSheetId="10">'（居民）工资表-12月'!$A$1:$AT$24</definedName>
    <definedName name="_xlnm.Print_Area" localSheetId="9">'（居民）工资表-1月'!$A$1:$AT$25</definedName>
    <definedName name="_xlnm.Print_Area" localSheetId="11">'（居民）工资表-2月'!$A$1:$AT$24</definedName>
    <definedName name="_xlnm.Print_Area" localSheetId="12">'（居民）工资表-3月'!$A$1:$AT$24</definedName>
    <definedName name="_xlnm.Print_Area" localSheetId="13">'（居民）工资表-4月'!$A$1:$AT$25</definedName>
    <definedName name="_xlnm.Print_Area" localSheetId="3">'（居民）工资表-5月'!$A$1:$AT$26</definedName>
    <definedName name="_xlnm.Print_Area" localSheetId="4">'（居民）工资表-6月'!$A$1:$AT$26</definedName>
    <definedName name="_xlnm.Print_Area" localSheetId="2">'（居民）工资表-7月'!$A$1:$AL$26</definedName>
    <definedName name="_xlnm.Print_Area" localSheetId="5">'（居民）工资表-8月'!$A$1:$AT$26</definedName>
    <definedName name="_xlnm.Print_Area" localSheetId="6">'（居民）工资表-9月'!$A$1:$AT$24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<sst xmlns="http://schemas.openxmlformats.org/spreadsheetml/2006/main" count="2055" uniqueCount="243">
  <si>
    <t>序号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</si>
  <si>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</si>
  <si>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</si>
  <si>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</si>
  <si>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</si>
  <si>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</si>
  <si>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</si>
  <si>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</si>
  <si>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</si>
  <si>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</si>
  <si>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</si>
  <si>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</si>
  <si>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</si>
  <si>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</si>
  <si>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</si>
  <si>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</si>
  <si>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</si>
  <si>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</si>
  <si>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</si>
  <si>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</si>
  <si>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</si>
  <si>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</si>
  <si>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</si>
  <si>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</si>
  <si>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备注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</si>
  <si>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</si>
  <si>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</si>
  <si>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</si>
  <si>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</si>
  <si>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</si>
  <si>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</si>
  <si>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</si>
  <si>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公司</t>
  </si>
  <si>
    <t>个人</t>
  </si>
  <si>
    <t>社保公司</t>
  </si>
  <si>
    <t>社保个人</t>
  </si>
  <si>
    <t>公积金公司</t>
  </si>
  <si>
    <t>公积金个人</t>
  </si>
  <si>
    <t>小计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</si>
  <si>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</si>
  <si>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</si>
  <si>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</si>
  <si>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</si>
  <si>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</si>
  <si>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</si>
  <si>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</si>
  <si>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</si>
  <si>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</si>
  <si>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</si>
  <si>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</si>
  <si>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</si>
  <si>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</si>
  <si>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</si>
  <si>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</si>
  <si>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</si>
  <si>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</si>
  <si>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</si>
  <si>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</si>
  <si>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</si>
  <si>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</si>
  <si>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</si>
  <si>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</si>
  <si>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</si>
  <si>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</si>
  <si>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</si>
  <si>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</si>
  <si>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</si>
  <si>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付款通知书</t>
  </si>
  <si>
    <t>尊敬的客户：北京创联致信科技有限公司</t>
  </si>
  <si>
    <t>根据贵公司与我公司所签订的服务协议，请贵公司在2025年4月8日之前按照下列表格内容支付相关款项.</t>
  </si>
  <si>
    <t>本 期 应 付 款 汇 总 结 算 明 细</t>
  </si>
  <si>
    <t>汇款信息：</t>
  </si>
  <si>
    <t/>
  </si>
  <si>
    <t>本期应付款合计（小写）：</t>
  </si>
  <si>
    <t>账户全称：</t>
  </si>
  <si>
    <t>北京易才博普奥管理顾问有限公司</t>
  </si>
  <si>
    <t>本期应付款合计（大写）：</t>
  </si>
  <si>
    <t>开户银行：</t>
  </si>
  <si>
    <t>招商银行北京自贸试验区商务中心区支行</t>
  </si>
  <si>
    <t>本期款项合计：</t>
  </si>
  <si>
    <t>尾数调整：</t>
  </si>
  <si>
    <t>银行账号：</t>
  </si>
  <si>
    <t>110909478010001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</si>
  <si>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</si>
  <si>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</si>
  <si>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联行号：</t>
  </si>
  <si>
    <t>308100005385</t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</si>
  <si>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</si>
  <si>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</si>
  <si>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</si>
  <si>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</si>
  <si>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</si>
  <si>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</si>
  <si>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</si>
  <si>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</si>
  <si>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</si>
  <si>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工资(应税工资:实发+个税+残障金)</t>
  </si>
  <si>
    <t>社   保(企业+个人)</t>
  </si>
  <si>
    <t>正常月</t>
  </si>
  <si>
    <t>公积金(企业+个人)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</si>
  <si>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</si>
  <si>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</si>
  <si>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</si>
  <si>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</si>
  <si>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</si>
  <si>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</si>
  <si>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</si>
  <si>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</si>
  <si>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</si>
  <si>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</si>
  <si>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</si>
  <si>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</si>
  <si>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</si>
  <si>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</si>
  <si>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</si>
  <si>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</si>
  <si>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</si>
  <si>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</si>
  <si>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</si>
  <si>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</si>
  <si>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</si>
  <si>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</si>
  <si>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</si>
  <si>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</si>
  <si>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</si>
  <si>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</si>
  <si>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</si>
  <si>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</si>
  <si>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</si>
  <si>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</si>
  <si>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</si>
  <si>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</si>
  <si>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</si>
  <si>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</si>
  <si>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</si>
  <si>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</si>
  <si>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</si>
  <si>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</si>
  <si>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</si>
  <si>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</si>
  <si>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</si>
  <si>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</si>
  <si>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</si>
  <si>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</si>
  <si>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</si>
  <si>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</si>
  <si>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</si>
  <si>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长春</t>
  </si>
  <si>
    <t>梁敏霞</t>
  </si>
  <si>
    <t>440883199611084547</t>
  </si>
  <si>
    <t>女</t>
  </si>
  <si>
    <t>冯玉</t>
  </si>
  <si>
    <t>370724197703022770</t>
  </si>
  <si>
    <t>13564614685</t>
  </si>
  <si>
    <t>上海</t>
  </si>
  <si>
    <t>傲云</t>
  </si>
  <si>
    <t>徐明龙</t>
  </si>
  <si>
    <t>340311199902251816</t>
  </si>
  <si>
    <t>15255242118</t>
  </si>
  <si>
    <t>合肥</t>
  </si>
  <si>
    <t>陈佳文</t>
  </si>
  <si>
    <t>34122719960403561X</t>
  </si>
  <si>
    <t>龙治旺</t>
  </si>
  <si>
    <t>43070219881009051X</t>
  </si>
  <si>
    <t>长沙</t>
  </si>
  <si>
    <t>孙海娟</t>
  </si>
  <si>
    <t>150428198211155123</t>
  </si>
  <si>
    <t>13875812115</t>
  </si>
  <si>
    <t>重庆</t>
  </si>
  <si>
    <t>重庆外商</t>
  </si>
  <si>
    <t>汤祥文</t>
  </si>
  <si>
    <t>340222198505126017</t>
  </si>
  <si>
    <t>天津</t>
  </si>
  <si>
    <t>天津易铭天</t>
  </si>
  <si>
    <t>杨旭</t>
  </si>
  <si>
    <t>341202199607081913</t>
  </si>
  <si>
    <t>任志伟</t>
  </si>
  <si>
    <t>341221199109161530</t>
  </si>
  <si>
    <t>朱必丰</t>
  </si>
  <si>
    <t>64222319950423161X</t>
  </si>
  <si>
    <t>18409625963</t>
  </si>
  <si>
    <t>周阳阳</t>
  </si>
  <si>
    <t>34031119950415085X</t>
  </si>
  <si>
    <t>张莉</t>
  </si>
  <si>
    <t>340122198910212909</t>
  </si>
  <si>
    <t>倪绍帅</t>
  </si>
  <si>
    <t>341225199804264377</t>
  </si>
  <si>
    <t>吕阳</t>
  </si>
  <si>
    <t>420704199405100011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</si>
  <si>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</si>
  <si>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</si>
  <si>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</si>
  <si>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</si>
  <si>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</si>
  <si>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</si>
  <si>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</si>
  <si>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</si>
  <si>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</si>
  <si>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</si>
  <si>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</si>
  <si>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</si>
  <si>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</si>
  <si>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</si>
  <si>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</si>
  <si>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</si>
  <si>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</si>
  <si>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</si>
  <si>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</si>
  <si>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</si>
  <si>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重庆易铭天</t>
  </si>
  <si>
    <t>残障金</t>
  </si>
  <si>
    <t>陈庚</t>
  </si>
  <si>
    <t>421083199901012676</t>
  </si>
  <si>
    <t>15927709457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</si>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</sst>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  <numFmt numFmtId="186" formatCode="0.00;[Red]0.00"/>
  </numFmts>
  <fonts count="1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微软雅黑"/>
      <charset val="134"/>
    </font>
    <font>
      <i/>
      <sz val="11"/>
      <color indexed="0"/>
      <name val="微软雅黑"/>
      <charset val="134"/>
    </font>
    <font>
      <b/>
      <sz val="12"/>
      <color indexed="0"/>
      <name val="宋体"/>
      <charset val="134"/>
    </font>
    <font>
      <sz val="12"/>
      <color indexed="0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8"/>
      <name val="宋体"/>
      <charset val="134"/>
    </font>
    <font>
      <b/>
      <sz val="11"/>
      <name val="微软雅黑"/>
      <charset val="134"/>
    </font>
    <font>
      <sz val="10"/>
      <color indexed="8"/>
      <name val="微软雅黑"/>
      <charset val="134"/>
    </font>
    <font>
      <b/>
      <sz val="10"/>
      <color indexed="8"/>
      <name val="微软雅黑"/>
      <charset val="134"/>
    </font>
    <font>
      <sz val="12"/>
      <name val="宋体-PUA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10" borderId="45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8" fillId="0" borderId="46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11" borderId="48" applyNumberFormat="0" applyAlignment="0" applyProtection="0">
      <alignment vertical="center"/>
    </xf>
    <xf numFmtId="0" fontId="91" fillId="12" borderId="49" applyNumberFormat="0" applyAlignment="0" applyProtection="0">
      <alignment vertical="center"/>
    </xf>
    <xf numFmtId="0" fontId="92" fillId="12" borderId="48" applyNumberFormat="0" applyAlignment="0" applyProtection="0">
      <alignment vertical="center"/>
    </xf>
    <xf numFmtId="0" fontId="93" fillId="13" borderId="50" applyNumberFormat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5" fillId="0" borderId="52" applyNumberFormat="0" applyFill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8" fillId="16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1" borderId="0" applyNumberFormat="0" applyBorder="0" applyAlignment="0" applyProtection="0">
      <alignment vertical="center"/>
    </xf>
    <xf numFmtId="0" fontId="100" fillId="22" borderId="0" applyNumberFormat="0" applyBorder="0" applyAlignment="0" applyProtection="0">
      <alignment vertical="center"/>
    </xf>
    <xf numFmtId="0" fontId="100" fillId="23" borderId="0" applyNumberFormat="0" applyBorder="0" applyAlignment="0" applyProtection="0">
      <alignment vertical="center"/>
    </xf>
    <xf numFmtId="0" fontId="99" fillId="24" borderId="0" applyNumberFormat="0" applyBorder="0" applyAlignment="0" applyProtection="0">
      <alignment vertical="center"/>
    </xf>
    <xf numFmtId="0" fontId="99" fillId="25" borderId="0" applyNumberFormat="0" applyBorder="0" applyAlignment="0" applyProtection="0">
      <alignment vertical="center"/>
    </xf>
    <xf numFmtId="0" fontId="100" fillId="26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100" fillId="30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100" fillId="3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6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8" borderId="0" applyNumberFormat="0" applyBorder="0" applyAlignment="0" applyProtection="0">
      <alignment vertical="center"/>
    </xf>
    <xf numFmtId="0" fontId="99" fillId="39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39" fillId="0" borderId="0">
      <alignment vertical="center"/>
    </xf>
    <xf numFmtId="0" fontId="103" fillId="0" borderId="54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0" borderId="0"/>
    <xf numFmtId="0" fontId="105" fillId="41" borderId="56" applyNumberFormat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7" fillId="0" borderId="0"/>
    <xf numFmtId="0" fontId="6" fillId="46" borderId="57" applyNumberFormat="0" applyFon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4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4" fillId="0" borderId="0">
      <alignment vertical="center"/>
    </xf>
    <xf numFmtId="0" fontId="102" fillId="41" borderId="53" applyNumberFormat="0" applyAlignment="0" applyProtection="0">
      <alignment vertical="center"/>
    </xf>
    <xf numFmtId="0" fontId="104" fillId="0" borderId="0"/>
    <xf numFmtId="0" fontId="108" fillId="51" borderId="58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39" fillId="0" borderId="0"/>
    <xf numFmtId="0" fontId="6" fillId="45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39" fillId="0" borderId="0"/>
    <xf numFmtId="0" fontId="110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9" fillId="0" borderId="0"/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4" fillId="0" borderId="0">
      <alignment vertical="center"/>
    </xf>
    <xf numFmtId="0" fontId="111" fillId="53" borderId="0" applyNumberFormat="0" applyBorder="0" applyAlignment="0" applyProtection="0">
      <alignment vertical="center"/>
    </xf>
    <xf numFmtId="0" fontId="39" fillId="0" borderId="0"/>
    <xf numFmtId="0" fontId="6" fillId="42" borderId="0" applyNumberFormat="0" applyBorder="0" applyAlignment="0" applyProtection="0">
      <alignment vertical="center"/>
    </xf>
    <xf numFmtId="0" fontId="104" fillId="0" borderId="0"/>
    <xf numFmtId="0" fontId="101" fillId="5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/>
    <xf numFmtId="0" fontId="6" fillId="42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4" fillId="0" borderId="0"/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176" fontId="104" fillId="0" borderId="0"/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4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177" fontId="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1" fillId="53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6" fillId="0" borderId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7" fillId="0" borderId="0"/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4" fillId="0" borderId="0">
      <alignment vertical="center"/>
    </xf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6" fillId="0" borderId="0">
      <alignment vertical="center"/>
    </xf>
    <xf numFmtId="0" fontId="101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>
      <alignment vertical="center"/>
    </xf>
    <xf numFmtId="0" fontId="117" fillId="0" borderId="0"/>
    <xf numFmtId="0" fontId="113" fillId="56" borderId="56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01" fillId="49" borderId="0" applyNumberFormat="0" applyBorder="0" applyAlignment="0" applyProtection="0">
      <alignment vertical="center"/>
    </xf>
    <xf numFmtId="0" fontId="6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6" fillId="0" borderId="0">
      <alignment vertical="center"/>
    </xf>
    <xf numFmtId="0" fontId="6" fillId="0" borderId="0">
      <alignment vertical="center"/>
    </xf>
    <xf numFmtId="0" fontId="109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/>
    <xf numFmtId="0" fontId="39" fillId="0" borderId="0">
      <alignment vertical="center"/>
    </xf>
    <xf numFmtId="0" fontId="101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0" borderId="0"/>
    <xf numFmtId="0" fontId="39" fillId="0" borderId="0"/>
    <xf numFmtId="0" fontId="52" fillId="0" borderId="55" applyNumberFormat="0" applyFill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7" fillId="0" borderId="0"/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26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38" fontId="104" fillId="0" borderId="0" applyFont="0" applyFill="0" applyBorder="0" applyAlignment="0" applyProtection="0">
      <alignment vertical="center"/>
    </xf>
    <xf numFmtId="0" fontId="121" fillId="0" borderId="0"/>
    <xf numFmtId="0" fontId="39" fillId="0" borderId="0"/>
    <xf numFmtId="0" fontId="107" fillId="0" borderId="0"/>
    <xf numFmtId="0" fontId="107" fillId="0" borderId="0"/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</cellStyleXfs>
  <cellXfs count="3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78" fontId="6" fillId="0" borderId="0" xfId="312" applyNumberFormat="1">
      <alignment vertical="center"/>
    </xf>
    <xf numFmtId="179" fontId="8" fillId="0" borderId="0" xfId="108" applyNumberFormat="1" applyFont="1" applyFill="1" applyBorder="1" applyAlignment="1" applyProtection="1">
      <alignment vertical="center"/>
    </xf>
    <xf numFmtId="179" fontId="9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79" fontId="11" fillId="3" borderId="5" xfId="108" applyNumberFormat="1" applyFont="1" applyFill="1" applyBorder="1" applyAlignment="1" applyProtection="1">
      <alignment horizontal="center" vertical="center"/>
    </xf>
    <xf numFmtId="179" fontId="8" fillId="3" borderId="5" xfId="108" applyNumberFormat="1" applyFont="1" applyFill="1" applyBorder="1" applyAlignment="1" applyProtection="1">
      <alignment horizontal="center" vertical="center"/>
    </xf>
    <xf numFmtId="0" fontId="8" fillId="3" borderId="5" xfId="108" applyNumberFormat="1" applyFont="1" applyFill="1" applyBorder="1" applyAlignment="1" applyProtection="1">
      <alignment horizontal="center" vertical="center" wrapText="1"/>
    </xf>
    <xf numFmtId="0" fontId="12" fillId="3" borderId="5" xfId="407" applyNumberFormat="1" applyFont="1" applyFill="1" applyBorder="1" applyAlignment="1" applyProtection="1">
      <alignment horizontal="center" vertical="center" wrapText="1"/>
    </xf>
    <xf numFmtId="0" fontId="13" fillId="3" borderId="5" xfId="407" applyNumberFormat="1" applyFont="1" applyFill="1" applyBorder="1" applyAlignment="1" applyProtection="1">
      <alignment horizontal="center" vertical="center" wrapText="1"/>
    </xf>
    <xf numFmtId="179" fontId="11" fillId="3" borderId="6" xfId="108" applyNumberFormat="1" applyFont="1" applyFill="1" applyBorder="1" applyAlignment="1" applyProtection="1">
      <alignment horizontal="center" vertical="center"/>
    </xf>
    <xf numFmtId="179" fontId="8" fillId="3" borderId="6" xfId="108" applyNumberFormat="1" applyFont="1" applyFill="1" applyBorder="1" applyAlignment="1" applyProtection="1">
      <alignment horizontal="center" vertical="center"/>
    </xf>
    <xf numFmtId="0" fontId="8" fillId="3" borderId="6" xfId="108" applyNumberFormat="1" applyFont="1" applyFill="1" applyBorder="1" applyAlignment="1" applyProtection="1">
      <alignment horizontal="center" vertical="center" wrapText="1"/>
    </xf>
    <xf numFmtId="0" fontId="12" fillId="3" borderId="6" xfId="407" applyNumberFormat="1" applyFont="1" applyFill="1" applyBorder="1" applyAlignment="1" applyProtection="1">
      <alignment horizontal="center" vertical="center" wrapText="1"/>
    </xf>
    <xf numFmtId="0" fontId="13" fillId="3" borderId="6" xfId="407" applyNumberFormat="1" applyFont="1" applyFill="1" applyBorder="1" applyAlignment="1" applyProtection="1">
      <alignment horizontal="center" vertical="center" wrapText="1"/>
    </xf>
    <xf numFmtId="179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179" fontId="14" fillId="4" borderId="6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78" fontId="6" fillId="4" borderId="7" xfId="312" applyNumberFormat="1" applyFont="1" applyFill="1" applyBorder="1" applyAlignment="1">
      <alignment horizontal="center" vertical="center"/>
    </xf>
    <xf numFmtId="180" fontId="6" fillId="0" borderId="0" xfId="312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79" fontId="10" fillId="0" borderId="0" xfId="108" applyNumberFormat="1" applyFont="1" applyFill="1" applyBorder="1" applyAlignment="1" applyProtection="1">
      <alignment horizontal="center" vertical="center"/>
    </xf>
    <xf numFmtId="177" fontId="24" fillId="5" borderId="0" xfId="312" applyNumberFormat="1" applyFont="1" applyFill="1" applyBorder="1" applyAlignment="1">
      <alignment horizontal="center" vertical="center"/>
    </xf>
    <xf numFmtId="14" fontId="12" fillId="3" borderId="5" xfId="407" applyNumberFormat="1" applyFont="1" applyFill="1" applyBorder="1" applyAlignment="1" applyProtection="1">
      <alignment horizontal="center" vertical="center" wrapText="1"/>
    </xf>
    <xf numFmtId="0" fontId="12" fillId="3" borderId="8" xfId="407" applyNumberFormat="1" applyFont="1" applyFill="1" applyBorder="1" applyAlignment="1" applyProtection="1">
      <alignment horizontal="center" vertical="center" wrapText="1"/>
    </xf>
    <xf numFmtId="0" fontId="12" fillId="3" borderId="9" xfId="407" applyNumberFormat="1" applyFont="1" applyFill="1" applyBorder="1" applyAlignment="1" applyProtection="1">
      <alignment horizontal="center" vertical="center" wrapText="1"/>
    </xf>
    <xf numFmtId="0" fontId="12" fillId="3" borderId="10" xfId="407" applyNumberFormat="1" applyFont="1" applyFill="1" applyBorder="1" applyAlignment="1" applyProtection="1">
      <alignment horizontal="center" vertical="center" wrapText="1"/>
    </xf>
    <xf numFmtId="14" fontId="12" fillId="3" borderId="6" xfId="407" applyNumberFormat="1" applyFont="1" applyFill="1" applyBorder="1" applyAlignment="1" applyProtection="1">
      <alignment horizontal="center" vertical="center" wrapText="1"/>
    </xf>
    <xf numFmtId="0" fontId="12" fillId="3" borderId="7" xfId="407" applyNumberFormat="1" applyFont="1" applyFill="1" applyBorder="1" applyAlignment="1" applyProtection="1">
      <alignment horizontal="center" vertical="center" wrapText="1"/>
    </xf>
    <xf numFmtId="14" fontId="6" fillId="0" borderId="8" xfId="312" applyNumberFormat="1" applyFill="1" applyBorder="1">
      <alignment vertical="center"/>
    </xf>
    <xf numFmtId="177" fontId="14" fillId="0" borderId="7" xfId="312" applyNumberFormat="1" applyFont="1" applyFill="1" applyBorder="1">
      <alignment vertical="center"/>
    </xf>
    <xf numFmtId="177" fontId="14" fillId="0" borderId="7" xfId="312" applyNumberFormat="1" applyFont="1" applyFill="1" applyBorder="1" applyAlignment="1">
      <alignment horizontal="center"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0" fontId="17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2" applyNumberFormat="1" applyFont="1" applyFill="1" applyBorder="1" applyAlignment="1">
      <alignment horizontal="left" vertical="center"/>
    </xf>
    <xf numFmtId="178" fontId="13" fillId="3" borderId="5" xfId="407" applyNumberFormat="1" applyFont="1" applyFill="1" applyBorder="1" applyAlignment="1" applyProtection="1">
      <alignment horizontal="center" vertical="center" wrapText="1"/>
    </xf>
    <xf numFmtId="0" fontId="13" fillId="3" borderId="8" xfId="407" applyNumberFormat="1" applyFont="1" applyFill="1" applyBorder="1" applyAlignment="1" applyProtection="1">
      <alignment horizontal="center" vertical="center" wrapText="1"/>
    </xf>
    <xf numFmtId="0" fontId="13" fillId="3" borderId="9" xfId="407" applyNumberFormat="1" applyFont="1" applyFill="1" applyBorder="1" applyAlignment="1" applyProtection="1">
      <alignment horizontal="center" vertical="center" wrapText="1"/>
    </xf>
    <xf numFmtId="178" fontId="13" fillId="3" borderId="6" xfId="407" applyNumberFormat="1" applyFont="1" applyFill="1" applyBorder="1" applyAlignment="1" applyProtection="1">
      <alignment horizontal="center" vertical="center" wrapText="1"/>
    </xf>
    <xf numFmtId="0" fontId="13" fillId="3" borderId="7" xfId="407" applyNumberFormat="1" applyFont="1" applyFill="1" applyBorder="1" applyAlignment="1" applyProtection="1">
      <alignment horizontal="center" vertical="center" wrapText="1"/>
    </xf>
    <xf numFmtId="177" fontId="14" fillId="4" borderId="7" xfId="312" applyNumberFormat="1" applyFont="1" applyFill="1" applyBorder="1">
      <alignment vertical="center"/>
    </xf>
    <xf numFmtId="177" fontId="14" fillId="4" borderId="10" xfId="312" applyNumberFormat="1" applyFont="1" applyFill="1" applyBorder="1" applyAlignment="1">
      <alignment horizontal="center" vertical="center"/>
    </xf>
    <xf numFmtId="177" fontId="14" fillId="4" borderId="10" xfId="312" applyNumberFormat="1" applyFont="1" applyFill="1" applyBorder="1">
      <alignment vertical="center"/>
    </xf>
    <xf numFmtId="177" fontId="14" fillId="0" borderId="10" xfId="312" applyNumberFormat="1" applyFont="1" applyFill="1" applyBorder="1" applyAlignment="1">
      <alignment horizontal="center" vertical="center"/>
    </xf>
    <xf numFmtId="177" fontId="14" fillId="0" borderId="10" xfId="312" applyNumberFormat="1" applyFont="1" applyFill="1" applyBorder="1">
      <alignment vertical="center"/>
    </xf>
    <xf numFmtId="0" fontId="13" fillId="3" borderId="10" xfId="407" applyNumberFormat="1" applyFont="1" applyFill="1" applyBorder="1" applyAlignment="1" applyProtection="1">
      <alignment horizontal="center" vertical="center" wrapText="1"/>
    </xf>
    <xf numFmtId="180" fontId="14" fillId="4" borderId="10" xfId="312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7" applyNumberFormat="1" applyFont="1" applyFill="1" applyBorder="1" applyAlignment="1" applyProtection="1">
      <alignment horizontal="center" vertical="center"/>
    </xf>
    <xf numFmtId="180" fontId="14" fillId="0" borderId="10" xfId="312" applyNumberFormat="1" applyFont="1" applyFill="1" applyBorder="1" applyAlignment="1" applyProtection="1">
      <alignment horizontal="center" vertical="center"/>
    </xf>
    <xf numFmtId="178" fontId="20" fillId="0" borderId="7" xfId="292" applyNumberFormat="1" applyFont="1" applyFill="1" applyBorder="1" applyAlignment="1" applyProtection="1">
      <alignment horizontal="center" vertical="center"/>
    </xf>
    <xf numFmtId="178" fontId="25" fillId="0" borderId="7" xfId="407" applyNumberFormat="1" applyFont="1" applyFill="1" applyBorder="1" applyAlignment="1" applyProtection="1">
      <alignment horizontal="center" vertical="center"/>
    </xf>
    <xf numFmtId="180" fontId="14" fillId="0" borderId="0" xfId="312" applyNumberFormat="1" applyFont="1" applyFill="1" applyBorder="1" applyAlignment="1" applyProtection="1">
      <alignment horizontal="center" vertical="center"/>
    </xf>
    <xf numFmtId="178" fontId="10" fillId="0" borderId="0" xfId="108" applyNumberFormat="1" applyFont="1" applyFill="1" applyBorder="1" applyAlignment="1" applyProtection="1">
      <alignment horizontal="center" vertical="center" wrapText="1"/>
    </xf>
    <xf numFmtId="0" fontId="11" fillId="3" borderId="5" xfId="108" applyNumberFormat="1" applyFont="1" applyFill="1" applyBorder="1" applyAlignment="1" applyProtection="1">
      <alignment horizontal="center" vertical="center" wrapText="1"/>
    </xf>
    <xf numFmtId="178" fontId="8" fillId="3" borderId="5" xfId="108" applyNumberFormat="1" applyFont="1" applyFill="1" applyBorder="1" applyAlignment="1" applyProtection="1">
      <alignment horizontal="center" vertical="center" wrapText="1"/>
    </xf>
    <xf numFmtId="0" fontId="11" fillId="3" borderId="6" xfId="108" applyNumberFormat="1" applyFont="1" applyFill="1" applyBorder="1" applyAlignment="1" applyProtection="1">
      <alignment horizontal="center" vertical="center" wrapText="1"/>
    </xf>
    <xf numFmtId="178" fontId="8" fillId="3" borderId="6" xfId="108" applyNumberFormat="1" applyFont="1" applyFill="1" applyBorder="1" applyAlignment="1" applyProtection="1">
      <alignment horizontal="center" vertical="center" wrapText="1"/>
    </xf>
    <xf numFmtId="180" fontId="14" fillId="4" borderId="7" xfId="312" applyNumberFormat="1" applyFont="1" applyFill="1" applyBorder="1" applyAlignment="1" applyProtection="1">
      <alignment horizontal="center" vertical="center"/>
    </xf>
    <xf numFmtId="178" fontId="16" fillId="0" borderId="7" xfId="312" applyNumberFormat="1" applyFont="1" applyFill="1" applyBorder="1" applyAlignment="1">
      <alignment horizontal="center" vertical="center" wrapText="1"/>
    </xf>
    <xf numFmtId="180" fontId="14" fillId="0" borderId="7" xfId="312" applyNumberFormat="1" applyFont="1" applyFill="1" applyBorder="1" applyAlignment="1" applyProtection="1">
      <alignment horizontal="center" vertical="center"/>
    </xf>
    <xf numFmtId="180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312" applyNumberFormat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07" applyNumberFormat="1" applyFont="1" applyFill="1" applyBorder="1" applyAlignment="1" applyProtection="1">
      <alignment horizontal="center" vertical="center" wrapText="1"/>
    </xf>
    <xf numFmtId="49" fontId="12" fillId="3" borderId="6" xfId="407" applyNumberFormat="1" applyFont="1" applyFill="1" applyBorder="1" applyAlignment="1" applyProtection="1">
      <alignment horizontal="center" vertical="center" wrapText="1"/>
    </xf>
    <xf numFmtId="0" fontId="25" fillId="4" borderId="7" xfId="312" applyFont="1" applyFill="1" applyBorder="1" applyAlignment="1">
      <alignment horizontal="center" vertical="center"/>
    </xf>
    <xf numFmtId="0" fontId="25" fillId="0" borderId="7" xfId="312" applyFont="1" applyFill="1" applyBorder="1" applyAlignment="1">
      <alignment horizontal="center" vertical="center"/>
    </xf>
    <xf numFmtId="0" fontId="25" fillId="4" borderId="7" xfId="312" applyFont="1" applyFill="1" applyBorder="1" applyAlignment="1">
      <alignment horizontal="center" vertical="center" shrinkToFit="1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7" xfId="312" applyNumberFormat="1" applyFont="1" applyFill="1" applyBorder="1" applyAlignment="1">
      <alignment horizontal="center" vertical="center"/>
    </xf>
    <xf numFmtId="0" fontId="6" fillId="0" borderId="8" xfId="312" applyFont="1" applyFill="1" applyBorder="1" applyAlignment="1">
      <alignment vertical="center"/>
    </xf>
    <xf numFmtId="14" fontId="6" fillId="0" borderId="8" xfId="312" applyNumberFormat="1" applyFont="1" applyFill="1" applyBorder="1" applyAlignment="1">
      <alignment vertical="center"/>
    </xf>
    <xf numFmtId="177" fontId="14" fillId="0" borderId="7" xfId="312" applyNumberFormat="1" applyFont="1" applyFill="1" applyBorder="1" applyAlignment="1">
      <alignment vertical="center"/>
    </xf>
    <xf numFmtId="0" fontId="14" fillId="0" borderId="7" xfId="312" applyNumberFormat="1" applyFont="1" applyFill="1" applyBorder="1">
      <alignment vertical="center"/>
    </xf>
    <xf numFmtId="178" fontId="17" fillId="4" borderId="7" xfId="312" applyNumberFormat="1" applyFont="1" applyFill="1" applyBorder="1" applyAlignment="1" applyProtection="1">
      <alignment horizontal="center" vertical="center" shrinkToFit="1"/>
    </xf>
    <xf numFmtId="49" fontId="16" fillId="0" borderId="8" xfId="312" applyNumberFormat="1" applyFont="1" applyFill="1" applyBorder="1" applyAlignment="1">
      <alignment horizontal="center" vertical="center" wrapText="1"/>
    </xf>
    <xf numFmtId="0" fontId="26" fillId="0" borderId="7" xfId="360" applyNumberFormat="1" applyFont="1" applyFill="1" applyBorder="1" applyAlignment="1">
      <alignment horizontal="center" vertical="center"/>
    </xf>
    <xf numFmtId="0" fontId="6" fillId="0" borderId="7" xfId="312" applyFill="1" applyBorder="1">
      <alignment vertical="center"/>
    </xf>
    <xf numFmtId="0" fontId="6" fillId="7" borderId="0" xfId="0" applyFont="1" applyFill="1" applyAlignment="1">
      <alignment vertical="center"/>
    </xf>
    <xf numFmtId="0" fontId="27" fillId="7" borderId="0" xfId="472" applyFont="1" applyFill="1" applyBorder="1" applyAlignment="1">
      <alignment horizontal="center" vertical="center"/>
    </xf>
    <xf numFmtId="0" fontId="28" fillId="7" borderId="0" xfId="472" applyNumberFormat="1" applyFont="1" applyFill="1" applyBorder="1" applyAlignment="1" applyProtection="1">
      <alignment horizontal="center" vertical="center"/>
      <protection locked="0"/>
    </xf>
    <xf numFmtId="0" fontId="28" fillId="7" borderId="0" xfId="472" applyNumberFormat="1" applyFont="1" applyFill="1" applyBorder="1" applyAlignment="1" applyProtection="1">
      <alignment horizontal="left" vertical="center"/>
      <protection locked="0"/>
    </xf>
    <xf numFmtId="0" fontId="29" fillId="7" borderId="0" xfId="472" applyNumberFormat="1" applyFont="1" applyFill="1" applyBorder="1" applyAlignment="1" applyProtection="1">
      <alignment horizontal="center" vertical="center"/>
      <protection locked="0"/>
    </xf>
    <xf numFmtId="0" fontId="30" fillId="7" borderId="0" xfId="472" applyNumberFormat="1" applyFont="1" applyFill="1" applyBorder="1" applyAlignment="1" applyProtection="1">
      <alignment horizontal="left" vertical="center"/>
      <protection locked="0"/>
    </xf>
    <xf numFmtId="0" fontId="26" fillId="7" borderId="0" xfId="0" applyFont="1" applyFill="1" applyBorder="1" applyAlignment="1" applyProtection="1">
      <alignment horizontal="right" vertical="center"/>
      <protection locked="0"/>
    </xf>
    <xf numFmtId="49" fontId="31" fillId="7" borderId="0" xfId="474" applyNumberFormat="1" applyFont="1" applyFill="1" applyBorder="1" applyAlignment="1" applyProtection="1">
      <alignment horizontal="left" vertical="center"/>
      <protection locked="0"/>
    </xf>
    <xf numFmtId="0" fontId="32" fillId="7" borderId="0" xfId="0" applyFont="1" applyFill="1" applyBorder="1" applyAlignment="1" applyProtection="1">
      <alignment horizontal="left" vertical="center"/>
      <protection locked="0"/>
    </xf>
    <xf numFmtId="0" fontId="33" fillId="7" borderId="0" xfId="472" applyFont="1" applyFill="1" applyBorder="1" applyAlignment="1">
      <alignment horizontal="right" vertical="center"/>
    </xf>
    <xf numFmtId="14" fontId="34" fillId="7" borderId="0" xfId="0" applyNumberFormat="1" applyFont="1" applyFill="1" applyBorder="1" applyAlignment="1" applyProtection="1">
      <alignment horizontal="left" vertical="center"/>
      <protection locked="0"/>
    </xf>
    <xf numFmtId="0" fontId="34" fillId="7" borderId="0" xfId="0" applyFont="1" applyFill="1" applyBorder="1" applyAlignment="1" applyProtection="1">
      <alignment horizontal="right" vertical="center"/>
      <protection locked="0"/>
    </xf>
    <xf numFmtId="0" fontId="35" fillId="7" borderId="0" xfId="0" applyFont="1" applyFill="1" applyBorder="1" applyAlignment="1">
      <alignment horizontal="left" vertical="center"/>
    </xf>
    <xf numFmtId="0" fontId="35" fillId="7" borderId="0" xfId="0" applyFont="1" applyFill="1" applyAlignment="1">
      <alignment horizontal="left" vertical="center"/>
    </xf>
    <xf numFmtId="0" fontId="30" fillId="7" borderId="0" xfId="472" applyNumberFormat="1" applyFont="1" applyFill="1" applyBorder="1" applyAlignment="1" applyProtection="1">
      <alignment horizontal="center" vertical="center"/>
      <protection locked="0"/>
    </xf>
    <xf numFmtId="0" fontId="35" fillId="7" borderId="0" xfId="0" applyFont="1" applyFill="1" applyBorder="1" applyAlignment="1" applyProtection="1">
      <alignment horizontal="left" vertical="center"/>
      <protection locked="0"/>
    </xf>
    <xf numFmtId="0" fontId="36" fillId="7" borderId="0" xfId="472" applyNumberFormat="1" applyFont="1" applyFill="1" applyBorder="1" applyAlignment="1" applyProtection="1">
      <alignment horizontal="center" vertical="center"/>
      <protection locked="0"/>
    </xf>
    <xf numFmtId="182" fontId="34" fillId="7" borderId="0" xfId="474" applyNumberFormat="1" applyFont="1" applyFill="1" applyBorder="1" applyAlignment="1" applyProtection="1">
      <alignment horizontal="left" vertical="center"/>
      <protection locked="0"/>
    </xf>
    <xf numFmtId="0" fontId="37" fillId="7" borderId="11" xfId="0" applyFont="1" applyFill="1" applyBorder="1" applyAlignment="1" applyProtection="1">
      <alignment horizontal="center" vertical="center"/>
      <protection locked="0"/>
    </xf>
    <xf numFmtId="0" fontId="37" fillId="7" borderId="12" xfId="0" applyFont="1" applyFill="1" applyBorder="1" applyAlignment="1" applyProtection="1">
      <alignment horizontal="center" vertical="center"/>
      <protection locked="0"/>
    </xf>
    <xf numFmtId="0" fontId="13" fillId="7" borderId="13" xfId="473" applyNumberFormat="1" applyFont="1" applyFill="1" applyBorder="1" applyAlignment="1" applyProtection="1">
      <alignment horizontal="left" vertical="center"/>
      <protection locked="0"/>
    </xf>
    <xf numFmtId="0" fontId="13" fillId="7" borderId="6" xfId="473" applyNumberFormat="1" applyFont="1" applyFill="1" applyBorder="1" applyAlignment="1" applyProtection="1">
      <alignment horizontal="left" vertical="center"/>
      <protection locked="0"/>
    </xf>
    <xf numFmtId="43" fontId="38" fillId="7" borderId="8" xfId="0" applyNumberFormat="1" applyFont="1" applyFill="1" applyBorder="1" applyAlignment="1" applyProtection="1">
      <alignment horizontal="left" vertical="center" shrinkToFit="1"/>
    </xf>
    <xf numFmtId="43" fontId="38" fillId="7" borderId="9" xfId="0" applyNumberFormat="1" applyFont="1" applyFill="1" applyBorder="1" applyAlignment="1" applyProtection="1">
      <alignment horizontal="left" vertical="center" shrinkToFit="1"/>
    </xf>
    <xf numFmtId="43" fontId="38" fillId="7" borderId="14" xfId="0" applyNumberFormat="1" applyFont="1" applyFill="1" applyBorder="1" applyAlignment="1" applyProtection="1">
      <alignment horizontal="left" vertical="center" shrinkToFit="1"/>
    </xf>
    <xf numFmtId="0" fontId="13" fillId="7" borderId="15" xfId="473" applyNumberFormat="1" applyFont="1" applyFill="1" applyBorder="1" applyAlignment="1" applyProtection="1">
      <alignment horizontal="left" vertical="center"/>
      <protection locked="0"/>
    </xf>
    <xf numFmtId="0" fontId="13" fillId="7" borderId="16" xfId="473" applyNumberFormat="1" applyFont="1" applyFill="1" applyBorder="1" applyAlignment="1" applyProtection="1">
      <alignment horizontal="left" vertical="center"/>
      <protection locked="0"/>
    </xf>
    <xf numFmtId="176" fontId="38" fillId="7" borderId="17" xfId="0" applyNumberFormat="1" applyFont="1" applyFill="1" applyBorder="1" applyAlignment="1" applyProtection="1">
      <alignment horizontal="right" vertical="center" shrinkToFit="1"/>
    </xf>
    <xf numFmtId="176" fontId="38" fillId="7" borderId="18" xfId="0" applyNumberFormat="1" applyFont="1" applyFill="1" applyBorder="1" applyAlignment="1" applyProtection="1">
      <alignment horizontal="right" vertical="center" shrinkToFit="1"/>
    </xf>
    <xf numFmtId="176" fontId="38" fillId="7" borderId="19" xfId="0" applyNumberFormat="1" applyFont="1" applyFill="1" applyBorder="1" applyAlignment="1" applyProtection="1">
      <alignment horizontal="right" vertical="center" shrinkToFit="1"/>
    </xf>
    <xf numFmtId="0" fontId="25" fillId="7" borderId="13" xfId="474" applyNumberFormat="1" applyFont="1" applyFill="1" applyBorder="1" applyAlignment="1" applyProtection="1">
      <alignment horizontal="left" vertical="center"/>
      <protection locked="0"/>
    </xf>
    <xf numFmtId="0" fontId="25" fillId="7" borderId="6" xfId="474" applyNumberFormat="1" applyFont="1" applyFill="1" applyBorder="1" applyAlignment="1" applyProtection="1">
      <alignment horizontal="left" vertical="center"/>
      <protection locked="0"/>
    </xf>
    <xf numFmtId="43" fontId="39" fillId="7" borderId="6" xfId="0" applyNumberFormat="1" applyFont="1" applyFill="1" applyBorder="1" applyAlignment="1" applyProtection="1">
      <alignment horizontal="left" vertical="center" shrinkToFit="1"/>
    </xf>
    <xf numFmtId="0" fontId="25" fillId="7" borderId="20" xfId="474" applyNumberFormat="1" applyFont="1" applyFill="1" applyBorder="1" applyAlignment="1" applyProtection="1">
      <alignment horizontal="left" vertical="center"/>
      <protection locked="0"/>
    </xf>
    <xf numFmtId="0" fontId="25" fillId="7" borderId="21" xfId="474" applyNumberFormat="1" applyFont="1" applyFill="1" applyBorder="1" applyAlignment="1" applyProtection="1">
      <alignment horizontal="left" vertical="center"/>
      <protection locked="0"/>
    </xf>
    <xf numFmtId="0" fontId="25" fillId="7" borderId="22" xfId="474" applyNumberFormat="1" applyFont="1" applyFill="1" applyBorder="1" applyAlignment="1" applyProtection="1">
      <alignment horizontal="left" vertical="center"/>
      <protection locked="0"/>
    </xf>
    <xf numFmtId="43" fontId="39" fillId="7" borderId="23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4" xfId="163" applyFont="1" applyFill="1" applyBorder="1" applyAlignment="1">
      <alignment vertical="center"/>
    </xf>
    <xf numFmtId="0" fontId="14" fillId="7" borderId="7" xfId="163" applyFont="1" applyFill="1" applyBorder="1" applyAlignment="1">
      <alignment vertical="center"/>
    </xf>
    <xf numFmtId="43" fontId="39" fillId="7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8" xfId="163" applyFont="1" applyFill="1" applyBorder="1" applyAlignment="1">
      <alignment horizontal="left" vertical="center"/>
    </xf>
    <xf numFmtId="0" fontId="14" fillId="7" borderId="9" xfId="163" applyFont="1" applyFill="1" applyBorder="1" applyAlignment="1">
      <alignment horizontal="left" vertical="center"/>
    </xf>
    <xf numFmtId="0" fontId="14" fillId="7" borderId="10" xfId="163" applyFont="1" applyFill="1" applyBorder="1" applyAlignment="1">
      <alignment horizontal="left" vertical="center"/>
    </xf>
    <xf numFmtId="43" fontId="39" fillId="7" borderId="25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6" xfId="163" applyFont="1" applyFill="1" applyBorder="1" applyAlignment="1">
      <alignment vertical="center"/>
    </xf>
    <xf numFmtId="0" fontId="14" fillId="7" borderId="27" xfId="163" applyFont="1" applyFill="1" applyBorder="1" applyAlignment="1">
      <alignment vertical="center"/>
    </xf>
    <xf numFmtId="43" fontId="39" fillId="7" borderId="27" xfId="474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74" applyNumberFormat="1" applyFont="1" applyFill="1" applyBorder="1" applyAlignment="1" applyProtection="1">
      <alignment horizontal="left" vertical="center"/>
      <protection locked="0"/>
    </xf>
    <xf numFmtId="183" fontId="25" fillId="7" borderId="29" xfId="474" applyNumberFormat="1" applyFont="1" applyFill="1" applyBorder="1" applyAlignment="1" applyProtection="1">
      <alignment horizontal="left" vertical="center"/>
      <protection locked="0"/>
    </xf>
    <xf numFmtId="183" fontId="25" fillId="7" borderId="30" xfId="474" applyNumberFormat="1" applyFont="1" applyFill="1" applyBorder="1" applyAlignment="1" applyProtection="1">
      <alignment horizontal="left" vertical="center"/>
      <protection locked="0"/>
    </xf>
    <xf numFmtId="43" fontId="39" fillId="7" borderId="31" xfId="474" applyNumberFormat="1" applyFont="1" applyFill="1" applyBorder="1" applyAlignment="1" applyProtection="1">
      <alignment horizontal="left" vertical="center" shrinkToFit="1"/>
      <protection locked="0"/>
    </xf>
    <xf numFmtId="184" fontId="40" fillId="7" borderId="0" xfId="474" applyNumberFormat="1" applyFont="1" applyFill="1" applyBorder="1" applyAlignment="1" applyProtection="1">
      <alignment horizontal="left" vertical="center"/>
      <protection locked="0"/>
    </xf>
    <xf numFmtId="0" fontId="41" fillId="0" borderId="11" xfId="403" applyFont="1" applyFill="1" applyBorder="1" applyAlignment="1">
      <alignment horizontal="center" vertical="center" wrapText="1"/>
    </xf>
    <xf numFmtId="0" fontId="41" fillId="0" borderId="32" xfId="403" applyFont="1" applyFill="1" applyBorder="1" applyAlignment="1">
      <alignment horizontal="center" vertical="center" wrapText="1"/>
    </xf>
    <xf numFmtId="181" fontId="41" fillId="0" borderId="32" xfId="403" applyNumberFormat="1" applyFont="1" applyFill="1" applyBorder="1" applyAlignment="1">
      <alignment horizontal="center" vertical="center" wrapText="1"/>
    </xf>
    <xf numFmtId="185" fontId="41" fillId="0" borderId="32" xfId="403" applyNumberFormat="1" applyFont="1" applyFill="1" applyBorder="1" applyAlignment="1">
      <alignment horizontal="center" vertical="center" wrapText="1"/>
    </xf>
    <xf numFmtId="0" fontId="41" fillId="0" borderId="33" xfId="403" applyFont="1" applyFill="1" applyBorder="1" applyAlignment="1">
      <alignment horizontal="center" vertical="center" wrapText="1"/>
    </xf>
    <xf numFmtId="0" fontId="42" fillId="0" borderId="24" xfId="403" applyFont="1" applyFill="1" applyBorder="1" applyAlignment="1">
      <alignment horizontal="center" vertical="center"/>
    </xf>
    <xf numFmtId="0" fontId="42" fillId="0" borderId="7" xfId="403" applyFont="1" applyFill="1" applyBorder="1" applyAlignment="1">
      <alignment horizontal="center" vertical="center"/>
    </xf>
    <xf numFmtId="43" fontId="42" fillId="0" borderId="7" xfId="403" applyNumberFormat="1" applyFont="1" applyFill="1" applyBorder="1" applyAlignment="1">
      <alignment horizontal="left" vertical="center"/>
    </xf>
    <xf numFmtId="181" fontId="42" fillId="0" borderId="7" xfId="403" applyNumberFormat="1" applyFont="1" applyFill="1" applyBorder="1" applyAlignment="1">
      <alignment horizontal="center" vertical="center"/>
    </xf>
    <xf numFmtId="185" fontId="42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horizontal="left" vertical="center"/>
    </xf>
    <xf numFmtId="43" fontId="42" fillId="0" borderId="7" xfId="403" applyNumberFormat="1" applyFont="1" applyFill="1" applyBorder="1" applyAlignment="1">
      <alignment vertical="center"/>
    </xf>
    <xf numFmtId="43" fontId="42" fillId="0" borderId="7" xfId="403" applyNumberFormat="1" applyFont="1" applyFill="1" applyBorder="1" applyAlignment="1">
      <alignment horizontal="center" vertical="center"/>
    </xf>
    <xf numFmtId="0" fontId="42" fillId="0" borderId="25" xfId="403" applyFont="1" applyFill="1" applyBorder="1" applyAlignment="1">
      <alignment vertical="center" wrapText="1"/>
    </xf>
    <xf numFmtId="43" fontId="43" fillId="0" borderId="7" xfId="403" applyNumberFormat="1" applyFont="1" applyFill="1" applyBorder="1" applyAlignment="1">
      <alignment horizontal="center" vertical="center"/>
    </xf>
    <xf numFmtId="185" fontId="43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vertical="center"/>
    </xf>
    <xf numFmtId="0" fontId="42" fillId="0" borderId="7" xfId="403" applyFont="1" applyFill="1" applyBorder="1" applyAlignment="1">
      <alignment horizontal="center" vertical="center" wrapText="1"/>
    </xf>
    <xf numFmtId="10" fontId="43" fillId="0" borderId="7" xfId="403" applyNumberFormat="1" applyFont="1" applyFill="1" applyBorder="1" applyAlignment="1">
      <alignment horizontal="center" vertical="center"/>
    </xf>
    <xf numFmtId="0" fontId="44" fillId="8" borderId="24" xfId="403" applyFont="1" applyFill="1" applyBorder="1" applyAlignment="1">
      <alignment horizontal="center" vertical="center"/>
    </xf>
    <xf numFmtId="0" fontId="44" fillId="8" borderId="7" xfId="403" applyFont="1" applyFill="1" applyBorder="1" applyAlignment="1">
      <alignment horizontal="center" vertical="center"/>
    </xf>
    <xf numFmtId="185" fontId="44" fillId="8" borderId="7" xfId="403" applyNumberFormat="1" applyFont="1" applyFill="1" applyBorder="1" applyAlignment="1">
      <alignment vertical="center"/>
    </xf>
    <xf numFmtId="0" fontId="42" fillId="8" borderId="25" xfId="403" applyFont="1" applyFill="1" applyBorder="1" applyAlignment="1">
      <alignment horizontal="left" vertical="center"/>
    </xf>
    <xf numFmtId="0" fontId="44" fillId="8" borderId="26" xfId="403" applyFont="1" applyFill="1" applyBorder="1" applyAlignment="1">
      <alignment horizontal="center" vertical="center"/>
    </xf>
    <xf numFmtId="0" fontId="44" fillId="8" borderId="27" xfId="403" applyFont="1" applyFill="1" applyBorder="1" applyAlignment="1">
      <alignment horizontal="center" vertical="center"/>
    </xf>
    <xf numFmtId="185" fontId="44" fillId="8" borderId="27" xfId="403" applyNumberFormat="1" applyFont="1" applyFill="1" applyBorder="1" applyAlignment="1">
      <alignment vertical="center"/>
    </xf>
    <xf numFmtId="0" fontId="42" fillId="8" borderId="31" xfId="403" applyFont="1" applyFill="1" applyBorder="1" applyAlignment="1">
      <alignment horizontal="left" vertical="center"/>
    </xf>
    <xf numFmtId="182" fontId="34" fillId="7" borderId="0" xfId="474" applyNumberFormat="1" applyFont="1" applyFill="1" applyBorder="1" applyAlignment="1" applyProtection="1">
      <alignment horizontal="right" vertical="center"/>
      <protection locked="0"/>
    </xf>
    <xf numFmtId="0" fontId="20" fillId="7" borderId="0" xfId="472" applyFont="1" applyFill="1" applyBorder="1" applyAlignment="1">
      <alignment horizontal="right" vertical="center"/>
    </xf>
    <xf numFmtId="14" fontId="31" fillId="7" borderId="0" xfId="0" applyNumberFormat="1" applyFont="1" applyFill="1" applyBorder="1" applyAlignment="1" applyProtection="1">
      <alignment horizontal="left" vertical="center"/>
      <protection locked="0"/>
    </xf>
    <xf numFmtId="0" fontId="45" fillId="7" borderId="0" xfId="472" applyNumberFormat="1" applyFont="1" applyFill="1" applyBorder="1" applyAlignment="1" applyProtection="1">
      <alignment horizontal="right" vertical="center"/>
      <protection locked="0"/>
    </xf>
    <xf numFmtId="0" fontId="46" fillId="7" borderId="0" xfId="472" applyNumberFormat="1" applyFont="1" applyFill="1" applyBorder="1" applyAlignment="1" applyProtection="1">
      <alignment horizontal="left" vertical="center"/>
      <protection locked="0"/>
    </xf>
    <xf numFmtId="0" fontId="47" fillId="7" borderId="0" xfId="472" applyNumberFormat="1" applyFont="1" applyFill="1" applyBorder="1" applyAlignment="1" applyProtection="1">
      <alignment horizontal="right" vertical="center"/>
      <protection locked="0"/>
    </xf>
    <xf numFmtId="0" fontId="48" fillId="7" borderId="0" xfId="472" applyNumberFormat="1" applyFont="1" applyFill="1" applyBorder="1" applyAlignment="1" applyProtection="1">
      <alignment horizontal="left" vertical="center"/>
      <protection locked="0"/>
    </xf>
    <xf numFmtId="0" fontId="49" fillId="7" borderId="0" xfId="472" applyNumberFormat="1" applyFont="1" applyFill="1" applyBorder="1" applyAlignment="1" applyProtection="1">
      <alignment vertical="center"/>
      <protection locked="0"/>
    </xf>
    <xf numFmtId="0" fontId="50" fillId="7" borderId="0" xfId="472" applyNumberFormat="1" applyFont="1" applyFill="1" applyBorder="1" applyAlignment="1" applyProtection="1">
      <alignment horizontal="left" vertical="center"/>
      <protection locked="0"/>
    </xf>
    <xf numFmtId="0" fontId="51" fillId="7" borderId="0" xfId="472" applyNumberFormat="1" applyFont="1" applyFill="1" applyBorder="1" applyAlignment="1" applyProtection="1">
      <alignment vertical="center"/>
      <protection locked="0"/>
    </xf>
    <xf numFmtId="0" fontId="51" fillId="7" borderId="0" xfId="472" applyNumberFormat="1" applyFont="1" applyFill="1" applyBorder="1" applyAlignment="1" applyProtection="1">
      <alignment horizontal="left" vertical="center"/>
      <protection locked="0"/>
    </xf>
    <xf numFmtId="0" fontId="52" fillId="7" borderId="0" xfId="472" applyNumberFormat="1" applyFont="1" applyFill="1" applyBorder="1" applyAlignment="1" applyProtection="1">
      <alignment vertical="center"/>
      <protection locked="0"/>
    </xf>
    <xf numFmtId="0" fontId="53" fillId="7" borderId="0" xfId="144" applyFont="1" applyFill="1" applyBorder="1" applyAlignment="1">
      <alignment vertical="center"/>
    </xf>
    <xf numFmtId="0" fontId="53" fillId="7" borderId="0" xfId="144" applyFont="1" applyFill="1" applyBorder="1" applyAlignment="1">
      <alignment horizontal="left" vertical="center"/>
    </xf>
    <xf numFmtId="0" fontId="35" fillId="7" borderId="0" xfId="144" applyFont="1" applyFill="1" applyBorder="1" applyAlignment="1">
      <alignment vertical="center"/>
    </xf>
    <xf numFmtId="0" fontId="50" fillId="7" borderId="0" xfId="472" applyNumberFormat="1" applyFont="1" applyFill="1" applyBorder="1" applyAlignment="1" applyProtection="1">
      <alignment horizontal="right" vertical="center"/>
      <protection locked="0"/>
    </xf>
    <xf numFmtId="0" fontId="53" fillId="7" borderId="0" xfId="144" applyFont="1" applyFill="1" applyBorder="1" applyAlignment="1">
      <alignment vertical="center" wrapText="1"/>
    </xf>
    <xf numFmtId="0" fontId="53" fillId="7" borderId="0" xfId="144" applyFont="1" applyFill="1" applyBorder="1" applyAlignment="1">
      <alignment horizontal="left" vertical="center" wrapText="1"/>
    </xf>
    <xf numFmtId="0" fontId="35" fillId="7" borderId="0" xfId="144" applyFont="1" applyFill="1" applyBorder="1" applyAlignment="1">
      <alignment vertical="center" wrapText="1"/>
    </xf>
    <xf numFmtId="49" fontId="54" fillId="7" borderId="0" xfId="472" applyNumberFormat="1" applyFont="1" applyFill="1" applyBorder="1" applyAlignment="1" applyProtection="1">
      <alignment horizontal="left" vertical="center"/>
      <protection locked="0"/>
    </xf>
    <xf numFmtId="0" fontId="53" fillId="7" borderId="0" xfId="0" applyFont="1" applyFill="1" applyBorder="1" applyAlignment="1">
      <alignment horizontal="left" vertical="center"/>
    </xf>
    <xf numFmtId="49" fontId="55" fillId="7" borderId="0" xfId="472" applyNumberFormat="1" applyFont="1" applyFill="1" applyBorder="1" applyAlignment="1" applyProtection="1">
      <alignment horizontal="left" vertical="center"/>
      <protection locked="0"/>
    </xf>
    <xf numFmtId="0" fontId="56" fillId="7" borderId="0" xfId="0" applyFont="1" applyFill="1" applyAlignment="1">
      <alignment vertical="center"/>
    </xf>
    <xf numFmtId="49" fontId="40" fillId="7" borderId="0" xfId="474" applyNumberFormat="1" applyFont="1" applyFill="1" applyBorder="1" applyAlignment="1" applyProtection="1">
      <alignment horizontal="left" vertical="center"/>
      <protection locked="0"/>
    </xf>
    <xf numFmtId="49" fontId="33" fillId="7" borderId="0" xfId="472" applyNumberFormat="1" applyFont="1" applyFill="1" applyBorder="1" applyAlignment="1" applyProtection="1">
      <alignment horizontal="left" vertical="center"/>
      <protection locked="0"/>
    </xf>
    <xf numFmtId="49" fontId="20" fillId="7" borderId="0" xfId="472" applyNumberFormat="1" applyFont="1" applyFill="1" applyBorder="1" applyAlignment="1" applyProtection="1">
      <alignment horizontal="left" vertical="center"/>
      <protection locked="0"/>
    </xf>
    <xf numFmtId="49" fontId="34" fillId="7" borderId="0" xfId="474" applyNumberFormat="1" applyFont="1" applyFill="1" applyBorder="1" applyAlignment="1" applyProtection="1">
      <alignment horizontal="left" vertical="center"/>
      <protection locked="0"/>
    </xf>
    <xf numFmtId="49" fontId="26" fillId="7" borderId="0" xfId="474" applyNumberFormat="1" applyFont="1" applyFill="1" applyBorder="1" applyAlignment="1" applyProtection="1">
      <alignment horizontal="left" vertical="center"/>
      <protection locked="0"/>
    </xf>
    <xf numFmtId="0" fontId="14" fillId="7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19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/>
    <xf numFmtId="0" fontId="21" fillId="9" borderId="7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center"/>
    </xf>
    <xf numFmtId="49" fontId="63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63" fillId="0" borderId="7" xfId="0" applyNumberFormat="1" applyFont="1" applyFill="1" applyBorder="1" applyAlignment="1">
      <alignment horizontal="center"/>
    </xf>
    <xf numFmtId="0" fontId="64" fillId="0" borderId="7" xfId="0" applyFont="1" applyFill="1" applyBorder="1" applyAlignment="1">
      <alignment horizontal="center" vertical="center"/>
    </xf>
    <xf numFmtId="49" fontId="65" fillId="0" borderId="7" xfId="0" applyNumberFormat="1" applyFont="1" applyFill="1" applyBorder="1" applyAlignment="1">
      <alignment horizontal="center" vertical="center"/>
    </xf>
    <xf numFmtId="0" fontId="66" fillId="0" borderId="7" xfId="0" applyFont="1" applyFill="1" applyBorder="1" applyAlignment="1">
      <alignment horizontal="center"/>
    </xf>
    <xf numFmtId="49" fontId="66" fillId="0" borderId="7" xfId="0" applyNumberFormat="1" applyFont="1" applyFill="1" applyBorder="1" applyAlignment="1">
      <alignment horizontal="center" vertical="center"/>
    </xf>
    <xf numFmtId="0" fontId="67" fillId="0" borderId="7" xfId="0" applyFont="1" applyFill="1" applyBorder="1" applyAlignment="1" applyProtection="1">
      <alignment horizontal="center" vertical="center"/>
      <protection locked="0"/>
    </xf>
    <xf numFmtId="49" fontId="66" fillId="0" borderId="7" xfId="0" applyNumberFormat="1" applyFont="1" applyFill="1" applyBorder="1" applyAlignment="1">
      <alignment horizontal="center"/>
    </xf>
    <xf numFmtId="0" fontId="68" fillId="0" borderId="7" xfId="0" applyFont="1" applyFill="1" applyBorder="1" applyAlignment="1">
      <alignment horizontal="center" vertical="center"/>
    </xf>
    <xf numFmtId="49" fontId="69" fillId="0" borderId="7" xfId="0" applyNumberFormat="1" applyFont="1" applyFill="1" applyBorder="1" applyAlignment="1">
      <alignment horizontal="center" vertical="center"/>
    </xf>
    <xf numFmtId="0" fontId="70" fillId="0" borderId="34" xfId="0" applyFont="1" applyFill="1" applyBorder="1" applyAlignment="1">
      <alignment horizontal="center"/>
    </xf>
    <xf numFmtId="49" fontId="70" fillId="0" borderId="3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70" fillId="0" borderId="6" xfId="0" applyNumberFormat="1" applyFont="1" applyFill="1" applyBorder="1" applyAlignment="1">
      <alignment horizontal="center"/>
    </xf>
    <xf numFmtId="49" fontId="71" fillId="0" borderId="35" xfId="0" applyNumberFormat="1" applyFont="1" applyFill="1" applyBorder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49" fontId="73" fillId="0" borderId="6" xfId="0" applyNumberFormat="1" applyFont="1" applyFill="1" applyBorder="1" applyAlignment="1">
      <alignment horizontal="center" vertical="center"/>
    </xf>
    <xf numFmtId="49" fontId="71" fillId="0" borderId="6" xfId="0" applyNumberFormat="1" applyFont="1" applyFill="1" applyBorder="1" applyAlignment="1">
      <alignment horizontal="center"/>
    </xf>
    <xf numFmtId="0" fontId="19" fillId="9" borderId="36" xfId="0" applyFont="1" applyFill="1" applyBorder="1" applyAlignment="1">
      <alignment horizontal="left" vertical="center"/>
    </xf>
    <xf numFmtId="4" fontId="19" fillId="9" borderId="37" xfId="0" applyNumberFormat="1" applyFont="1" applyFill="1" applyBorder="1" applyAlignment="1">
      <alignment horizontal="right" vertical="center"/>
    </xf>
    <xf numFmtId="4" fontId="19" fillId="9" borderId="6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right" vertical="center"/>
    </xf>
    <xf numFmtId="0" fontId="19" fillId="9" borderId="38" xfId="0" applyFont="1" applyFill="1" applyBorder="1" applyAlignment="1">
      <alignment horizontal="left" vertical="center"/>
    </xf>
    <xf numFmtId="4" fontId="19" fillId="9" borderId="39" xfId="0" applyNumberFormat="1" applyFont="1" applyFill="1" applyBorder="1" applyAlignment="1">
      <alignment horizontal="right" vertical="center"/>
    </xf>
    <xf numFmtId="4" fontId="19" fillId="9" borderId="40" xfId="0" applyNumberFormat="1" applyFont="1" applyFill="1" applyBorder="1" applyAlignment="1">
      <alignment horizontal="right" vertical="center"/>
    </xf>
    <xf numFmtId="4" fontId="19" fillId="9" borderId="4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72" fillId="0" borderId="0" xfId="0" applyFont="1" applyFill="1" applyAlignment="1">
      <alignment vertical="center"/>
    </xf>
    <xf numFmtId="0" fontId="22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70" fillId="0" borderId="35" xfId="0" applyFont="1" applyFill="1" applyBorder="1" applyAlignment="1">
      <alignment horizontal="center"/>
    </xf>
    <xf numFmtId="0" fontId="71" fillId="0" borderId="35" xfId="0" applyFont="1" applyFill="1" applyBorder="1" applyAlignment="1">
      <alignment horizontal="center"/>
    </xf>
    <xf numFmtId="4" fontId="19" fillId="9" borderId="42" xfId="0" applyNumberFormat="1" applyFont="1" applyFill="1" applyBorder="1" applyAlignment="1">
      <alignment horizontal="right" vertical="center"/>
    </xf>
    <xf numFmtId="0" fontId="70" fillId="3" borderId="35" xfId="0" applyFont="1" applyFill="1" applyBorder="1" applyAlignment="1">
      <alignment horizontal="center"/>
    </xf>
    <xf numFmtId="0" fontId="71" fillId="3" borderId="35" xfId="0" applyFont="1" applyFill="1" applyBorder="1" applyAlignment="1">
      <alignment horizontal="center"/>
    </xf>
    <xf numFmtId="0" fontId="66" fillId="3" borderId="7" xfId="0" applyFont="1" applyFill="1" applyBorder="1" applyAlignment="1">
      <alignment horizontal="center"/>
    </xf>
    <xf numFmtId="0" fontId="57" fillId="0" borderId="7" xfId="0" applyFont="1" applyFill="1" applyBorder="1" applyAlignment="1">
      <alignment vertical="center"/>
    </xf>
    <xf numFmtId="0" fontId="58" fillId="0" borderId="7" xfId="0" applyFont="1" applyFill="1" applyBorder="1" applyAlignment="1">
      <alignment vertical="center"/>
    </xf>
    <xf numFmtId="0" fontId="59" fillId="0" borderId="35" xfId="0" applyFont="1" applyFill="1" applyBorder="1" applyAlignment="1">
      <alignment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center" vertical="center" wrapText="1"/>
    </xf>
    <xf numFmtId="186" fontId="74" fillId="0" borderId="7" xfId="0" applyNumberFormat="1" applyFont="1" applyFill="1" applyBorder="1" applyAlignment="1">
      <alignment horizontal="left" vertical="center"/>
    </xf>
    <xf numFmtId="0" fontId="63" fillId="0" borderId="7" xfId="0" applyNumberFormat="1" applyFont="1" applyFill="1" applyBorder="1" applyAlignment="1">
      <alignment horizontal="center"/>
    </xf>
    <xf numFmtId="186" fontId="75" fillId="0" borderId="7" xfId="0" applyNumberFormat="1" applyFont="1" applyFill="1" applyBorder="1" applyAlignment="1">
      <alignment horizontal="left" vertical="center"/>
    </xf>
    <xf numFmtId="0" fontId="66" fillId="0" borderId="7" xfId="0" applyNumberFormat="1" applyFont="1" applyFill="1" applyBorder="1" applyAlignment="1">
      <alignment horizontal="center"/>
    </xf>
    <xf numFmtId="49" fontId="70" fillId="0" borderId="35" xfId="0" applyNumberFormat="1" applyFont="1" applyFill="1" applyBorder="1" applyAlignment="1">
      <alignment horizontal="center" vertical="center"/>
    </xf>
    <xf numFmtId="186" fontId="76" fillId="0" borderId="35" xfId="0" applyNumberFormat="1" applyFont="1" applyFill="1" applyBorder="1" applyAlignment="1">
      <alignment horizontal="left" vertical="center"/>
    </xf>
    <xf numFmtId="0" fontId="70" fillId="0" borderId="35" xfId="0" applyNumberFormat="1" applyFont="1" applyFill="1" applyBorder="1" applyAlignment="1">
      <alignment horizontal="center"/>
    </xf>
    <xf numFmtId="0" fontId="19" fillId="9" borderId="4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77" fillId="9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/>
    </xf>
    <xf numFmtId="4" fontId="78" fillId="0" borderId="7" xfId="0" applyNumberFormat="1" applyFont="1" applyFill="1" applyBorder="1" applyAlignment="1">
      <alignment horizontal="center" vertical="center" wrapText="1"/>
    </xf>
    <xf numFmtId="0" fontId="78" fillId="0" borderId="7" xfId="0" applyNumberFormat="1" applyFont="1" applyFill="1" applyBorder="1" applyAlignment="1">
      <alignment horizontal="center" vertical="center" wrapText="1"/>
    </xf>
    <xf numFmtId="49" fontId="79" fillId="0" borderId="10" xfId="0" applyNumberFormat="1" applyFont="1" applyFill="1" applyBorder="1" applyAlignment="1">
      <alignment horizontal="center"/>
    </xf>
    <xf numFmtId="4" fontId="20" fillId="0" borderId="35" xfId="0" applyNumberFormat="1" applyFont="1" applyFill="1" applyBorder="1" applyAlignment="1">
      <alignment horizontal="center" vertical="center" wrapText="1"/>
    </xf>
    <xf numFmtId="4" fontId="20" fillId="0" borderId="34" xfId="0" applyNumberFormat="1" applyFont="1" applyFill="1" applyBorder="1" applyAlignment="1">
      <alignment horizontal="center" vertical="center" wrapText="1"/>
    </xf>
    <xf numFmtId="0" fontId="20" fillId="0" borderId="35" xfId="0" applyNumberFormat="1" applyFont="1" applyFill="1" applyBorder="1" applyAlignment="1">
      <alignment horizontal="center" vertical="center" wrapText="1"/>
    </xf>
    <xf numFmtId="49" fontId="80" fillId="0" borderId="10" xfId="0" applyNumberFormat="1" applyFont="1" applyFill="1" applyBorder="1" applyAlignment="1">
      <alignment horizontal="center"/>
    </xf>
    <xf numFmtId="4" fontId="77" fillId="9" borderId="7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center" vertical="center"/>
    </xf>
    <xf numFmtId="4" fontId="77" fillId="9" borderId="4" xfId="0" applyNumberFormat="1" applyFont="1" applyFill="1" applyBorder="1" applyAlignment="1">
      <alignment horizontal="right" vertical="center"/>
    </xf>
    <xf numFmtId="0" fontId="62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3" fillId="0" borderId="43" xfId="0" applyFont="1" applyFill="1" applyBorder="1" applyAlignment="1">
      <alignment horizontal="center"/>
    </xf>
    <xf numFmtId="0" fontId="63" fillId="0" borderId="44" xfId="0" applyFont="1" applyFill="1" applyBorder="1" applyAlignment="1">
      <alignment horizontal="center"/>
    </xf>
    <xf numFmtId="49" fontId="63" fillId="0" borderId="44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81" fillId="0" borderId="0" xfId="0" applyFont="1" applyFill="1" applyAlignment="1">
      <alignment vertical="center"/>
    </xf>
    <xf numFmtId="49" fontId="65" fillId="0" borderId="7" xfId="0" applyNumberFormat="1" applyFont="1" applyFill="1" applyBorder="1" applyAlignment="1" quotePrefix="1">
      <alignment horizontal="center" vertical="center"/>
    </xf>
    <xf numFmtId="49" fontId="69" fillId="0" borderId="7" xfId="0" applyNumberFormat="1" applyFont="1" applyFill="1" applyBorder="1" applyAlignment="1" quotePrefix="1">
      <alignment horizontal="center" vertical="center"/>
    </xf>
    <xf numFmtId="0" fontId="53" fillId="7" borderId="0" xfId="144" applyFont="1" applyFill="1" applyBorder="1" applyAlignment="1" quotePrefix="1">
      <alignment horizontal="left" vertical="center" wrapText="1"/>
    </xf>
    <xf numFmtId="0" fontId="15" fillId="0" borderId="7" xfId="312" applyFont="1" applyFill="1" applyBorder="1" applyAlignment="1" quotePrefix="1">
      <alignment horizontal="center" vertical="center" wrapText="1"/>
    </xf>
    <xf numFmtId="0" fontId="6" fillId="0" borderId="7" xfId="312" applyNumberFormat="1" applyFill="1" applyBorder="1" applyAlignment="1" quotePrefix="1">
      <alignment horizontal="center" vertical="center"/>
    </xf>
  </cellXfs>
  <cellStyles count="4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链接单元格 5" xfId="51"/>
    <cellStyle name="强调文字颜色 2 5" xfId="52"/>
    <cellStyle name="汇总 4 2" xfId="53"/>
    <cellStyle name="_ET_STYLE_NoName_-01_ 3 3 3 2" xfId="54"/>
    <cellStyle name="链接单元格 3 2" xfId="55"/>
    <cellStyle name="20% - 强调文字颜色 1 2" xfId="56"/>
    <cellStyle name="常规 3 4 3" xfId="57"/>
    <cellStyle name="常规 7 3" xfId="58"/>
    <cellStyle name="计算 2" xfId="59"/>
    <cellStyle name="60% - 强调文字颜色 6 3 2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60% - 强调文字颜色 2 2 2" xfId="66"/>
    <cellStyle name="常规 5 2" xfId="67"/>
    <cellStyle name="强调文字颜色 1 2 3" xfId="68"/>
    <cellStyle name="百分比 4" xfId="69"/>
    <cellStyle name="0,0_x000d__x000a_NA_x000d__x000a_" xfId="70"/>
    <cellStyle name="注释 3 2 2" xfId="71"/>
    <cellStyle name="输出 2 4 2" xfId="72"/>
    <cellStyle name="40% - 强调文字颜色 4 2" xfId="73"/>
    <cellStyle name="计算 3 2" xfId="74"/>
    <cellStyle name="常规 8 3" xfId="75"/>
    <cellStyle name="注释 2 3" xfId="76"/>
    <cellStyle name="40% - 强调文字颜色 6 5" xfId="77"/>
    <cellStyle name="60% - 强调文字颜色 4 2 3" xfId="78"/>
    <cellStyle name="20% - 强调文字颜色 3 3" xfId="79"/>
    <cellStyle name="输出 3 3" xfId="80"/>
    <cellStyle name="常规 8 2" xfId="81"/>
    <cellStyle name="输出 5" xfId="82"/>
    <cellStyle name=" 3]_x000d__x000a_Zoomed=1_x000d__x000a_Row=128_x000d__x000a_Column=101_x000d__x000a_Height=300_x000d__x000a_Width=301_x000d__x000a_FontName=System_x000d__x000a_FontStyle=1_x000d__x000a_FontSize=12_x000d__x000a_PrtFontNa" xfId="83"/>
    <cellStyle name="检查单元格 3 2" xfId="84"/>
    <cellStyle name="链接单元格 3" xfId="85"/>
    <cellStyle name="注释 2 3 3" xfId="86"/>
    <cellStyle name="??&amp;O龡&amp;H?_x0008_??_x0007__x0001__x0001_" xfId="87"/>
    <cellStyle name="40% - 强调文字颜色 4 3 2" xfId="88"/>
    <cellStyle name="汇总 3 3" xfId="89"/>
    <cellStyle name="链接单元格 4" xfId="90"/>
    <cellStyle name="输出 2" xfId="91"/>
    <cellStyle name="汇总 3 2 2" xfId="92"/>
    <cellStyle name="输出 4" xfId="93"/>
    <cellStyle name="计算 3" xfId="94"/>
    <cellStyle name="计算 4" xfId="95"/>
    <cellStyle name="注释 3 2 3" xfId="96"/>
    <cellStyle name="20% - 强调文字颜色 3 3 2" xfId="97"/>
    <cellStyle name="计算 5" xfId="98"/>
    <cellStyle name="适中 2" xfId="99"/>
    <cellStyle name="输出 3 3 2" xfId="100"/>
    <cellStyle name="_ET_STYLE_NoName_00_" xfId="101"/>
    <cellStyle name="标题 4 2 2" xfId="102"/>
    <cellStyle name="20% - 强调文字颜色 1 2 3" xfId="103"/>
    <cellStyle name="_ET_STYLE_NoName_00__南区长促工资1004_5" xfId="104"/>
    <cellStyle name="40% - 强调文字颜色 2 2" xfId="105"/>
    <cellStyle name="20% - 强调文字颜色 1 4" xfId="106"/>
    <cellStyle name="20% - 强调文字颜色 1 3" xfId="107"/>
    <cellStyle name="??_x005f_x0011_?_x005f_x0010_?" xfId="108"/>
    <cellStyle name="差 2 3" xfId="109"/>
    <cellStyle name="_ET_STYLE_NoName_00__北区长促工资1004_3" xfId="110"/>
    <cellStyle name="20% - 强调文字颜色 1 3 2" xfId="111"/>
    <cellStyle name="0,0_x000a__x000a_NA_x000a__x000a_" xfId="112"/>
    <cellStyle name="强调文字颜色 5 5" xfId="113"/>
    <cellStyle name="20% - 强调文字颜色 1 2 2" xfId="114"/>
    <cellStyle name="常规 2 3 2 3" xfId="115"/>
    <cellStyle name="20% - 强调文字颜色 1 5" xfId="116"/>
    <cellStyle name="好 2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百分比 2 3" xfId="297"/>
    <cellStyle name="标题 1 2" xfId="298"/>
    <cellStyle name="标题 1 2 2" xfId="299"/>
    <cellStyle name="标题 1 2 3" xfId="300"/>
    <cellStyle name="标题 1 3" xfId="301"/>
    <cellStyle name="标题 1 3 2" xfId="302"/>
    <cellStyle name="汇总 3" xfId="303"/>
    <cellStyle name="标题 1 4" xfId="304"/>
    <cellStyle name="标题 1 5" xfId="305"/>
    <cellStyle name="标题 2 2" xfId="306"/>
    <cellStyle name="标题 2 2 2" xfId="307"/>
    <cellStyle name="标题 2 2 3" xfId="308"/>
    <cellStyle name="好 3 2" xfId="309"/>
    <cellStyle name="标题 2 3" xfId="310"/>
    <cellStyle name="标题 2 3 2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2" xfId="360"/>
    <cellStyle name="常规 2 2" xfId="361"/>
    <cellStyle name="常规 2 2 2" xfId="362"/>
    <cellStyle name="常规 2 2 2 2" xfId="363"/>
    <cellStyle name="常规 2 2 3" xfId="364"/>
    <cellStyle name="常规 2 3" xfId="365"/>
    <cellStyle name="输入 3 2" xfId="366"/>
    <cellStyle name="常规 2 3 2" xfId="367"/>
    <cellStyle name="常规_全国客服表格" xfId="368"/>
    <cellStyle name="输入 3 2 2" xfId="369"/>
    <cellStyle name="常规 2 3 3" xfId="370"/>
    <cellStyle name="常规 2 3 4" xfId="371"/>
    <cellStyle name="常规 2 4" xfId="372"/>
    <cellStyle name="输入 3 3" xfId="373"/>
    <cellStyle name="常规 2 4 2" xfId="374"/>
    <cellStyle name="常规 2 5" xfId="375"/>
    <cellStyle name="强调文字颜色 4 2" xfId="376"/>
    <cellStyle name="常规 2 5 2" xfId="377"/>
    <cellStyle name="强调文字颜色 4 2 2" xfId="378"/>
    <cellStyle name="常规 2 6" xfId="379"/>
    <cellStyle name="强调文字颜色 4 3" xfId="380"/>
    <cellStyle name="常规 2 6 2" xfId="381"/>
    <cellStyle name="强调文字颜色 4 3 2" xfId="382"/>
    <cellStyle name="常规 2 6 2 2" xfId="383"/>
    <cellStyle name="常规 27" xfId="384"/>
    <cellStyle name="常规 3 2 2" xfId="385"/>
    <cellStyle name="适中 4" xfId="386"/>
    <cellStyle name="常规 3 3 2" xfId="387"/>
    <cellStyle name="常规 3 3 3" xfId="388"/>
    <cellStyle name="常规 3 4" xfId="389"/>
    <cellStyle name="常规 3 4 2" xfId="390"/>
    <cellStyle name="常规 3 5" xfId="391"/>
    <cellStyle name="强调文字颜色 5 2" xfId="392"/>
    <cellStyle name="常规 3 5 2" xfId="393"/>
    <cellStyle name="强调文字颜色 5 2 2" xfId="394"/>
    <cellStyle name="常规 4 2 2" xfId="395"/>
    <cellStyle name="常规 4 4" xfId="396"/>
    <cellStyle name="常规 4 3" xfId="397"/>
    <cellStyle name="输入 5 2" xfId="398"/>
    <cellStyle name="常规 7 2" xfId="399"/>
    <cellStyle name="常规 8 4" xfId="400"/>
    <cellStyle name="强调文字颜色 6 3 2" xfId="401"/>
    <cellStyle name="常规 9" xfId="402"/>
    <cellStyle name="常规_0705 UL South CS meeting (chonghua)" xfId="403"/>
    <cellStyle name="常规_Sheet1" xfId="404"/>
    <cellStyle name="汇总 5 2" xfId="405"/>
    <cellStyle name="强调文字颜色 3 5" xfId="406"/>
    <cellStyle name="常规_付款通知书智联（神数系统）" xfId="407"/>
    <cellStyle name="警告文本 2" xfId="408"/>
    <cellStyle name="注释 5 2" xfId="409"/>
    <cellStyle name="好 2 2" xfId="410"/>
    <cellStyle name="好 3" xfId="411"/>
    <cellStyle name="好 4" xfId="412"/>
    <cellStyle name="汇总 2" xfId="413"/>
    <cellStyle name="汇总 2 3 2" xfId="414"/>
    <cellStyle name="检查单元格 2 2" xfId="415"/>
    <cellStyle name="汇总 4" xfId="416"/>
    <cellStyle name="汇总 5" xfId="417"/>
    <cellStyle name="检查单元格 2 3" xfId="418"/>
    <cellStyle name="检查单元格 4" xfId="419"/>
    <cellStyle name="检查单元格 5" xfId="420"/>
    <cellStyle name="解释性文本 2" xfId="421"/>
    <cellStyle name="解释性文本 3 2" xfId="422"/>
    <cellStyle name="解释性文本 4" xfId="423"/>
    <cellStyle name="警告文本 3" xfId="424"/>
    <cellStyle name="注释 5 3" xfId="425"/>
    <cellStyle name="警告文本 4" xfId="426"/>
    <cellStyle name="警告文本 5" xfId="427"/>
    <cellStyle name="链接单元格 2" xfId="428"/>
    <cellStyle name="注释 2 3 2" xfId="429"/>
    <cellStyle name="链接单元格 2 2" xfId="430"/>
    <cellStyle name="注释 2 3 2 2" xfId="431"/>
    <cellStyle name="链接单元格 2 3" xfId="432"/>
    <cellStyle name="千位分隔 2" xfId="433"/>
    <cellStyle name="千位分隔 2 2" xfId="434"/>
    <cellStyle name="强调文字颜色 1 2" xfId="435"/>
    <cellStyle name="强调文字颜色 1 2 2" xfId="436"/>
    <cellStyle name="强调文字颜色 1 3" xfId="437"/>
    <cellStyle name="强调文字颜色 1 3 2" xfId="438"/>
    <cellStyle name="强调文字颜色 2 2" xfId="439"/>
    <cellStyle name="强调文字颜色 2 2 2" xfId="440"/>
    <cellStyle name="强调文字颜色 2 3" xfId="441"/>
    <cellStyle name="强调文字颜色 3 2" xfId="442"/>
    <cellStyle name="输入 2 4" xfId="443"/>
    <cellStyle name="强调文字颜色 3 3" xfId="444"/>
    <cellStyle name="强调文字颜色 3 4" xfId="445"/>
    <cellStyle name="强调文字颜色 4 4" xfId="446"/>
    <cellStyle name="强调文字颜色 4 5" xfId="447"/>
    <cellStyle name="输入 2" xfId="448"/>
    <cellStyle name="强调文字颜色 5 3" xfId="449"/>
    <cellStyle name="强调文字颜色 5 3 2" xfId="450"/>
    <cellStyle name="强调文字颜色 5 4" xfId="451"/>
    <cellStyle name="强调文字颜色 6 2" xfId="452"/>
    <cellStyle name="强调文字颜色 6 2 2" xfId="453"/>
    <cellStyle name="强调文字颜色 6 2 3" xfId="454"/>
    <cellStyle name="强调文字颜色 6 3" xfId="455"/>
    <cellStyle name="强调文字颜色 6 4" xfId="456"/>
    <cellStyle name="强调文字颜色 6 5" xfId="457"/>
    <cellStyle name="适中 3" xfId="458"/>
    <cellStyle name="适中 3 2" xfId="459"/>
    <cellStyle name="适中 5" xfId="460"/>
    <cellStyle name="输出 2 2 2 2" xfId="461"/>
    <cellStyle name="输出 2 3 2 2" xfId="462"/>
    <cellStyle name="输出 2 3 3" xfId="463"/>
    <cellStyle name="输出 3 2 2 2" xfId="464"/>
    <cellStyle name="输入 2 2" xfId="465"/>
    <cellStyle name="样式 2 4" xfId="466"/>
    <cellStyle name="输入 2 3" xfId="467"/>
    <cellStyle name="样式 2 5" xfId="468"/>
    <cellStyle name="输入 3" xfId="469"/>
    <cellStyle name="输入 4" xfId="470"/>
    <cellStyle name="输入 5" xfId="471"/>
    <cellStyle name="㼿㼿㼿㼿? 2" xfId="472"/>
    <cellStyle name="㼿㼿㼿㼿㼿" xfId="473"/>
    <cellStyle name="㼿㼿㼿㼿㼿㼿㼿" xfId="474"/>
    <cellStyle name="样式 1 2" xfId="475"/>
    <cellStyle name="样式 2" xfId="476"/>
    <cellStyle name="样式 2 2" xfId="477"/>
    <cellStyle name="样式 2 3" xfId="478"/>
    <cellStyle name="注释 2 2" xfId="479"/>
    <cellStyle name="注释 2 2 2" xfId="480"/>
    <cellStyle name="注释 2 2 2 2" xfId="481"/>
    <cellStyle name="注释 2 2 3" xfId="482"/>
    <cellStyle name="注释 2 4" xfId="483"/>
    <cellStyle name="注释 2 5" xfId="484"/>
    <cellStyle name="注释 3" xfId="485"/>
    <cellStyle name="注释 3 2" xfId="486"/>
    <cellStyle name="注释 3 3" xfId="487"/>
    <cellStyle name="注释 3 3 2" xfId="488"/>
    <cellStyle name="注释 3 4" xfId="489"/>
    <cellStyle name="注释 4" xfId="490"/>
    <cellStyle name="注释 4 2" xfId="491"/>
    <cellStyle name="注释 4 2 2" xfId="492"/>
    <cellStyle name="注释 4 3" xfId="493"/>
  </cellStyles>
  <dxfs count="6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792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5\&#26131;&#25165;&#20010;&#312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12\&#26131;&#25165;&#20010;&#312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本月应发工资小计</v>
          </cell>
          <cell r="D1" t="str">
            <v>养老保险（当月+补缴）</v>
          </cell>
          <cell r="E1" t="str">
            <v>失业保险（当月+补缴）</v>
          </cell>
        </row>
        <row r="2">
          <cell r="B2" t="str">
            <v>孙海娟</v>
          </cell>
          <cell r="C2">
            <v>4525.84</v>
          </cell>
          <cell r="D2">
            <v>380.08</v>
          </cell>
          <cell r="E2">
            <v>23.76</v>
          </cell>
          <cell r="F2">
            <v>117.02</v>
          </cell>
          <cell r="G2">
            <v>520.86</v>
          </cell>
          <cell r="H2">
            <v>109</v>
          </cell>
        </row>
        <row r="3">
          <cell r="B3" t="str">
            <v>赵亮</v>
          </cell>
          <cell r="C3">
            <v>8000</v>
          </cell>
          <cell r="D3">
            <v>319.46</v>
          </cell>
          <cell r="E3">
            <v>11.98</v>
          </cell>
          <cell r="F3">
            <v>79.86</v>
          </cell>
          <cell r="G3">
            <v>411.3</v>
          </cell>
          <cell r="H3">
            <v>177.4</v>
          </cell>
        </row>
        <row r="4">
          <cell r="B4" t="str">
            <v>梁敏霞</v>
          </cell>
          <cell r="C4">
            <v>5700</v>
          </cell>
          <cell r="D4">
            <v>422.72</v>
          </cell>
          <cell r="E4">
            <v>4.6</v>
          </cell>
          <cell r="F4">
            <v>119.92</v>
          </cell>
          <cell r="G4">
            <v>547.24</v>
          </cell>
          <cell r="H4">
            <v>115</v>
          </cell>
        </row>
        <row r="5">
          <cell r="B5" t="str">
            <v>徐明龙</v>
          </cell>
          <cell r="C5">
            <v>9000</v>
          </cell>
          <cell r="D5">
            <v>321.52</v>
          </cell>
          <cell r="E5">
            <v>20.1</v>
          </cell>
          <cell r="F5">
            <v>89.09</v>
          </cell>
          <cell r="G5">
            <v>430.71</v>
          </cell>
          <cell r="H5">
            <v>97</v>
          </cell>
        </row>
        <row r="6">
          <cell r="B6" t="str">
            <v>陈佳文</v>
          </cell>
          <cell r="C6">
            <v>10500</v>
          </cell>
          <cell r="D6">
            <v>321.52</v>
          </cell>
          <cell r="E6">
            <v>20.1</v>
          </cell>
          <cell r="F6">
            <v>86.38</v>
          </cell>
          <cell r="G6">
            <v>428</v>
          </cell>
          <cell r="H6">
            <v>344</v>
          </cell>
        </row>
        <row r="7">
          <cell r="B7" t="str">
            <v>龙治旺</v>
          </cell>
          <cell r="C7">
            <v>6500</v>
          </cell>
          <cell r="D7">
            <v>324.24</v>
          </cell>
          <cell r="E7">
            <v>12.16</v>
          </cell>
          <cell r="F7">
            <v>90.4</v>
          </cell>
          <cell r="G7">
            <v>426.8</v>
          </cell>
          <cell r="H7">
            <v>100</v>
          </cell>
        </row>
        <row r="8">
          <cell r="B8" t="str">
            <v>冯玉</v>
          </cell>
          <cell r="C8">
            <v>30060</v>
          </cell>
          <cell r="D8">
            <v>584.8</v>
          </cell>
          <cell r="E8">
            <v>36.55</v>
          </cell>
          <cell r="F8">
            <v>146.2</v>
          </cell>
          <cell r="G8">
            <v>767.55</v>
          </cell>
          <cell r="H8">
            <v>181</v>
          </cell>
        </row>
        <row r="9">
          <cell r="B9" t="str">
            <v>汤祥文</v>
          </cell>
          <cell r="C9">
            <v>8500</v>
          </cell>
          <cell r="D9">
            <v>321.52</v>
          </cell>
          <cell r="E9">
            <v>20.1</v>
          </cell>
          <cell r="F9">
            <v>120.38</v>
          </cell>
          <cell r="G9">
            <v>462</v>
          </cell>
          <cell r="H9">
            <v>97</v>
          </cell>
        </row>
        <row r="10">
          <cell r="B10" t="str">
            <v>杨旭</v>
          </cell>
          <cell r="C10">
            <v>7000</v>
          </cell>
          <cell r="D10">
            <v>321.52</v>
          </cell>
          <cell r="E10">
            <v>20.1</v>
          </cell>
          <cell r="F10">
            <v>86.38</v>
          </cell>
          <cell r="G10">
            <v>428</v>
          </cell>
          <cell r="H10">
            <v>344</v>
          </cell>
        </row>
        <row r="11">
          <cell r="B11" t="str">
            <v>任志伟</v>
          </cell>
          <cell r="C11">
            <v>7000</v>
          </cell>
          <cell r="D11">
            <v>321.52</v>
          </cell>
          <cell r="E11">
            <v>20.1</v>
          </cell>
          <cell r="F11">
            <v>86.38</v>
          </cell>
          <cell r="G11">
            <v>428</v>
          </cell>
          <cell r="H11">
            <v>344</v>
          </cell>
        </row>
        <row r="12">
          <cell r="B12" t="str">
            <v>朱必丰</v>
          </cell>
          <cell r="C12">
            <v>7000</v>
          </cell>
          <cell r="D12">
            <v>321.52</v>
          </cell>
          <cell r="E12">
            <v>20.1</v>
          </cell>
          <cell r="F12">
            <v>120.38</v>
          </cell>
          <cell r="G12">
            <v>462</v>
          </cell>
          <cell r="H12">
            <v>97</v>
          </cell>
        </row>
        <row r="13">
          <cell r="B13" t="str">
            <v>周阳阳</v>
          </cell>
          <cell r="C13">
            <v>6060</v>
          </cell>
          <cell r="D13">
            <v>321.52</v>
          </cell>
          <cell r="E13">
            <v>20.1</v>
          </cell>
          <cell r="F13">
            <v>89.09</v>
          </cell>
          <cell r="G13">
            <v>430.71</v>
          </cell>
          <cell r="H13">
            <v>97</v>
          </cell>
        </row>
        <row r="14">
          <cell r="B14" t="str">
            <v>张莉</v>
          </cell>
          <cell r="C14">
            <v>6000</v>
          </cell>
          <cell r="D14">
            <v>321.52</v>
          </cell>
          <cell r="E14">
            <v>20.1</v>
          </cell>
          <cell r="F14">
            <v>80.38</v>
          </cell>
          <cell r="G14">
            <v>422</v>
          </cell>
          <cell r="H14">
            <v>103</v>
          </cell>
        </row>
        <row r="15">
          <cell r="B15" t="str">
            <v>倪绍帅</v>
          </cell>
          <cell r="C15">
            <v>10000</v>
          </cell>
          <cell r="D15">
            <v>321.52</v>
          </cell>
          <cell r="E15">
            <v>20.1</v>
          </cell>
          <cell r="F15">
            <v>89.09</v>
          </cell>
          <cell r="G15">
            <v>430.71</v>
          </cell>
          <cell r="H15">
            <v>97</v>
          </cell>
        </row>
        <row r="16">
          <cell r="B16" t="str">
            <v>吕阳</v>
          </cell>
          <cell r="C16">
            <v>6080</v>
          </cell>
          <cell r="D16">
            <v>337.92</v>
          </cell>
          <cell r="E16">
            <v>12.67</v>
          </cell>
          <cell r="F16">
            <v>91.48</v>
          </cell>
          <cell r="G16">
            <v>442.07</v>
          </cell>
          <cell r="H16">
            <v>110.5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 t="str">
            <v>创联/易才/天津代缴</v>
          </cell>
          <cell r="D2">
            <v>4447.97</v>
          </cell>
          <cell r="E2">
            <v>401.04</v>
          </cell>
          <cell r="F2">
            <v>25.07</v>
          </cell>
        </row>
        <row r="3">
          <cell r="B3" t="str">
            <v>赵亮</v>
          </cell>
          <cell r="C3" t="str">
            <v>创联/易才/四平</v>
          </cell>
          <cell r="D3">
            <v>8000</v>
          </cell>
          <cell r="E3">
            <v>344.57</v>
          </cell>
          <cell r="F3">
            <v>12.92</v>
          </cell>
        </row>
        <row r="4">
          <cell r="B4" t="str">
            <v>梁敏霞</v>
          </cell>
          <cell r="C4" t="str">
            <v>创联/易才/广州</v>
          </cell>
          <cell r="D4">
            <v>6100</v>
          </cell>
          <cell r="E4">
            <v>422.72</v>
          </cell>
          <cell r="F4">
            <v>4.6</v>
          </cell>
        </row>
        <row r="5">
          <cell r="B5" t="str">
            <v>徐明龙</v>
          </cell>
          <cell r="C5" t="str">
            <v>创联/湖南（蚌埠）易才</v>
          </cell>
          <cell r="D5">
            <v>9000</v>
          </cell>
          <cell r="E5">
            <v>338.16</v>
          </cell>
          <cell r="F5">
            <v>21.14</v>
          </cell>
        </row>
        <row r="6">
          <cell r="B6" t="str">
            <v>陈佳文</v>
          </cell>
          <cell r="C6" t="str">
            <v>创联/湖南（阜阳）易才</v>
          </cell>
          <cell r="D6">
            <v>10500</v>
          </cell>
          <cell r="E6">
            <v>338.16</v>
          </cell>
          <cell r="F6">
            <v>21.14</v>
          </cell>
        </row>
        <row r="7">
          <cell r="B7" t="str">
            <v>龙治旺</v>
          </cell>
          <cell r="C7" t="str">
            <v>创联/湖南（常德）易才</v>
          </cell>
          <cell r="D7">
            <v>6500</v>
          </cell>
          <cell r="E7">
            <v>322.16</v>
          </cell>
          <cell r="F7">
            <v>12.08</v>
          </cell>
        </row>
        <row r="8">
          <cell r="B8" t="str">
            <v>冯玉</v>
          </cell>
          <cell r="C8" t="str">
            <v>创联/易才/上海</v>
          </cell>
          <cell r="D8">
            <v>30060</v>
          </cell>
          <cell r="E8">
            <v>590.72</v>
          </cell>
          <cell r="F8">
            <v>36.92</v>
          </cell>
        </row>
        <row r="9">
          <cell r="B9" t="str">
            <v>汤祥文</v>
          </cell>
          <cell r="C9" t="str">
            <v>创联/湖南（芜湖）易才</v>
          </cell>
          <cell r="D9">
            <v>9000</v>
          </cell>
          <cell r="E9">
            <v>338.16</v>
          </cell>
          <cell r="F9">
            <v>21.14</v>
          </cell>
        </row>
        <row r="10">
          <cell r="B10" t="str">
            <v>杨旭</v>
          </cell>
          <cell r="C10" t="str">
            <v>创联/湖南（阜阳）易才</v>
          </cell>
          <cell r="D10">
            <v>7500</v>
          </cell>
          <cell r="E10">
            <v>338.16</v>
          </cell>
          <cell r="F10">
            <v>21.14</v>
          </cell>
        </row>
        <row r="11">
          <cell r="B11" t="str">
            <v>任志伟</v>
          </cell>
          <cell r="C11" t="str">
            <v>创联/湖南（阜阳）易才</v>
          </cell>
          <cell r="D11">
            <v>8000</v>
          </cell>
          <cell r="E11">
            <v>338.16</v>
          </cell>
          <cell r="F11">
            <v>21.14</v>
          </cell>
        </row>
        <row r="12">
          <cell r="B12" t="str">
            <v>张莉</v>
          </cell>
          <cell r="C12" t="str">
            <v>创联/湖南（合肥）易才</v>
          </cell>
          <cell r="D12">
            <v>6000</v>
          </cell>
          <cell r="E12">
            <v>338.16</v>
          </cell>
          <cell r="F12">
            <v>21.14</v>
          </cell>
        </row>
        <row r="13">
          <cell r="B13" t="str">
            <v>倪绍帅</v>
          </cell>
          <cell r="C13" t="str">
            <v>创联/易才/蚌埠</v>
          </cell>
          <cell r="D13">
            <v>10000</v>
          </cell>
          <cell r="E13">
            <v>338.16</v>
          </cell>
          <cell r="F13">
            <v>21.14</v>
          </cell>
        </row>
        <row r="14">
          <cell r="B14" t="str">
            <v>吕阳</v>
          </cell>
          <cell r="C14" t="str">
            <v>创联/易才/武汉</v>
          </cell>
          <cell r="D14">
            <v>7600</v>
          </cell>
          <cell r="E14">
            <v>337.92</v>
          </cell>
          <cell r="F14">
            <v>12.67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H22"/>
  <sheetViews>
    <sheetView workbookViewId="0">
      <selection activeCell="C27" sqref="C27"/>
    </sheetView>
  </sheetViews>
  <sheetFormatPr defaultColWidth="9" defaultRowHeight="16.5"/>
  <cols>
    <col min="1" max="1" width="5" style="244" customWidth="1"/>
    <col min="2" max="2" width="25" style="244" customWidth="1"/>
    <col min="3" max="3" width="7.36666666666667" style="244" customWidth="1"/>
    <col min="4" max="4" width="9.45" style="244" customWidth="1"/>
    <col min="5" max="5" width="8.26666666666667" style="244" customWidth="1"/>
    <col min="6" max="6" width="11.9083333333333" style="244" customWidth="1"/>
    <col min="7" max="7" width="16.3666666666667" style="244" customWidth="1"/>
    <col min="8" max="11" width="8.45" style="244" customWidth="1"/>
    <col min="12" max="12" width="9.09166666666667" style="244" customWidth="1"/>
    <col min="13" max="14" width="9.26666666666667" style="244" customWidth="1"/>
    <col min="15" max="15" width="7.45" style="244" customWidth="1"/>
    <col min="16" max="16" width="11.2666666666667" style="244" customWidth="1"/>
    <col min="17" max="17" width="9.09166666666667" style="244" customWidth="1"/>
    <col min="18" max="21" width="9.26666666666667" style="244" customWidth="1"/>
    <col min="22" max="22" width="9.09166666666667" style="244" customWidth="1"/>
    <col min="23" max="26" width="9.26666666666667" style="244" customWidth="1"/>
    <col min="27" max="28" width="9.09166666666667" style="244" customWidth="1"/>
    <col min="29" max="29" width="9" style="244" customWidth="1"/>
    <col min="30" max="30" width="9.09166666666667" style="244" customWidth="1"/>
    <col min="31" max="31" width="9.26666666666667" style="244" customWidth="1"/>
    <col min="32" max="32" width="8.90833333333333" style="244" customWidth="1"/>
    <col min="33" max="33" width="9.09166666666667" style="244" customWidth="1"/>
    <col min="34" max="34" width="9.26666666666667" style="244" customWidth="1"/>
    <col min="35" max="35" width="11.0916666666667" style="244" customWidth="1"/>
    <col min="36" max="36" width="9.26666666666667" style="244" customWidth="1"/>
    <col min="37" max="37" width="8.45" style="244" customWidth="1"/>
    <col min="38" max="38" width="9.09166666666667" style="244" hidden="1" customWidth="1"/>
    <col min="39" max="42" width="9.26666666666667" style="244" hidden="1" customWidth="1"/>
    <col min="43" max="43" width="9.90833333333333" style="244" customWidth="1"/>
    <col min="44" max="44" width="9.36666666666667" style="244" customWidth="1"/>
    <col min="45" max="45" width="10.2666666666667" style="245" customWidth="1"/>
    <col min="46" max="46" width="10" style="245" customWidth="1"/>
    <col min="47" max="49" width="9.26666666666667" style="245" customWidth="1"/>
    <col min="50" max="50" width="9.26666666666667" style="244" customWidth="1"/>
    <col min="51" max="51" width="5.90833333333333" style="244" customWidth="1"/>
    <col min="52" max="52" width="8.36666666666667" style="244" customWidth="1"/>
    <col min="53" max="53" width="5.90833333333333" style="244" customWidth="1"/>
    <col min="54" max="54" width="8.90833333333333" style="244" customWidth="1"/>
    <col min="55" max="55" width="10.9083333333333" style="244" customWidth="1"/>
    <col min="56" max="56" width="40.2666666666667" style="246" customWidth="1"/>
    <col min="57" max="57" width="10.6333333333333" style="244" customWidth="1"/>
    <col min="58" max="16384" width="9" style="244"/>
  </cols>
  <sheetData>
    <row r="1" s="238" customFormat="1" ht="22.5" customHeight="1" spans="1:56">
      <c r="A1" s="247" t="s">
        <v>0</v>
      </c>
      <c r="B1" s="248" t="s">
        <v>1</v>
      </c>
      <c r="C1" s="248" t="s">
        <v>2</v>
      </c>
      <c r="D1" s="247" t="s">
        <v>3</v>
      </c>
      <c r="E1" s="248" t="s">
        <v>4</v>
      </c>
      <c r="F1" s="248" t="s">
        <v>5</v>
      </c>
      <c r="G1" s="248" t="s">
        <v>6</v>
      </c>
      <c r="H1" s="248" t="s">
        <v>7</v>
      </c>
      <c r="I1" s="248" t="s">
        <v>8</v>
      </c>
      <c r="J1" s="248" t="s">
        <v>9</v>
      </c>
      <c r="K1" s="248" t="s">
        <v>10</v>
      </c>
      <c r="L1" s="281" t="s">
        <v>11</v>
      </c>
      <c r="M1" s="281"/>
      <c r="N1" s="281"/>
      <c r="O1" s="281"/>
      <c r="P1" s="281"/>
      <c r="Q1" s="281" t="s">
        <v>12</v>
      </c>
      <c r="R1" s="281"/>
      <c r="S1" s="281"/>
      <c r="T1" s="281"/>
      <c r="U1" s="281"/>
      <c r="V1" s="281" t="s">
        <v>13</v>
      </c>
      <c r="W1" s="281"/>
      <c r="X1" s="281"/>
      <c r="Y1" s="281"/>
      <c r="Z1" s="281"/>
      <c r="AA1" s="247" t="s">
        <v>14</v>
      </c>
      <c r="AB1" s="247"/>
      <c r="AC1" s="247"/>
      <c r="AD1" s="247" t="s">
        <v>15</v>
      </c>
      <c r="AE1" s="247"/>
      <c r="AF1" s="247"/>
      <c r="AG1" s="281" t="s">
        <v>16</v>
      </c>
      <c r="AH1" s="281"/>
      <c r="AI1" s="281"/>
      <c r="AJ1" s="281"/>
      <c r="AK1" s="281"/>
      <c r="AL1" s="247" t="s">
        <v>17</v>
      </c>
      <c r="AM1" s="247"/>
      <c r="AN1" s="247"/>
      <c r="AO1" s="247"/>
      <c r="AP1" s="247"/>
      <c r="AQ1" s="247" t="s">
        <v>18</v>
      </c>
      <c r="AR1" s="247"/>
      <c r="AS1" s="292" t="s">
        <v>19</v>
      </c>
      <c r="AT1" s="292"/>
      <c r="AU1" s="292"/>
      <c r="AV1" s="292"/>
      <c r="AW1" s="292"/>
      <c r="AX1" s="247" t="s">
        <v>20</v>
      </c>
      <c r="AY1" s="247"/>
      <c r="AZ1" s="247" t="s">
        <v>21</v>
      </c>
      <c r="BA1" s="247"/>
      <c r="BB1" s="247" t="s">
        <v>22</v>
      </c>
      <c r="BC1" s="247" t="s">
        <v>23</v>
      </c>
      <c r="BD1" s="303" t="s">
        <v>24</v>
      </c>
    </row>
    <row r="2" ht="22.5" customHeight="1" spans="1:56">
      <c r="A2" s="247"/>
      <c r="B2" s="249"/>
      <c r="C2" s="248"/>
      <c r="D2" s="247"/>
      <c r="E2" s="248"/>
      <c r="F2" s="250"/>
      <c r="G2" s="250"/>
      <c r="H2" s="248"/>
      <c r="I2" s="248"/>
      <c r="J2" s="248"/>
      <c r="K2" s="248"/>
      <c r="L2" s="282" t="s">
        <v>25</v>
      </c>
      <c r="M2" s="282" t="s">
        <v>26</v>
      </c>
      <c r="N2" s="282" t="s">
        <v>27</v>
      </c>
      <c r="O2" s="282" t="s">
        <v>28</v>
      </c>
      <c r="P2" s="282" t="s">
        <v>29</v>
      </c>
      <c r="Q2" s="282" t="s">
        <v>25</v>
      </c>
      <c r="R2" s="282" t="s">
        <v>26</v>
      </c>
      <c r="S2" s="282" t="s">
        <v>27</v>
      </c>
      <c r="T2" s="282" t="s">
        <v>28</v>
      </c>
      <c r="U2" s="282" t="s">
        <v>29</v>
      </c>
      <c r="V2" s="282" t="s">
        <v>25</v>
      </c>
      <c r="W2" s="282" t="s">
        <v>26</v>
      </c>
      <c r="X2" s="282" t="s">
        <v>27</v>
      </c>
      <c r="Y2" s="282" t="s">
        <v>28</v>
      </c>
      <c r="Z2" s="282" t="s">
        <v>29</v>
      </c>
      <c r="AA2" s="282" t="s">
        <v>25</v>
      </c>
      <c r="AB2" s="282" t="s">
        <v>30</v>
      </c>
      <c r="AC2" s="282" t="s">
        <v>31</v>
      </c>
      <c r="AD2" s="282" t="s">
        <v>25</v>
      </c>
      <c r="AE2" s="282" t="s">
        <v>30</v>
      </c>
      <c r="AF2" s="282" t="s">
        <v>31</v>
      </c>
      <c r="AG2" s="282" t="s">
        <v>25</v>
      </c>
      <c r="AH2" s="282" t="s">
        <v>26</v>
      </c>
      <c r="AI2" s="282" t="s">
        <v>27</v>
      </c>
      <c r="AJ2" s="282" t="s">
        <v>28</v>
      </c>
      <c r="AK2" s="282" t="s">
        <v>29</v>
      </c>
      <c r="AL2" s="282" t="s">
        <v>25</v>
      </c>
      <c r="AM2" s="282" t="s">
        <v>26</v>
      </c>
      <c r="AN2" s="282" t="s">
        <v>27</v>
      </c>
      <c r="AO2" s="282" t="s">
        <v>28</v>
      </c>
      <c r="AP2" s="282" t="s">
        <v>29</v>
      </c>
      <c r="AQ2" s="282" t="s">
        <v>32</v>
      </c>
      <c r="AR2" s="282" t="s">
        <v>33</v>
      </c>
      <c r="AS2" s="293" t="s">
        <v>34</v>
      </c>
      <c r="AT2" s="293" t="s">
        <v>35</v>
      </c>
      <c r="AU2" s="293" t="s">
        <v>36</v>
      </c>
      <c r="AV2" s="293" t="s">
        <v>37</v>
      </c>
      <c r="AW2" s="293" t="s">
        <v>38</v>
      </c>
      <c r="AX2" s="247"/>
      <c r="AY2" s="247"/>
      <c r="AZ2" s="247"/>
      <c r="BA2" s="247"/>
      <c r="BB2" s="247"/>
      <c r="BC2" s="247"/>
      <c r="BD2" s="303"/>
    </row>
    <row r="3" s="239" customFormat="1" ht="18" customHeight="1" spans="1:60">
      <c r="A3" s="251">
        <v>1</v>
      </c>
      <c r="B3" s="252" t="s">
        <v>39</v>
      </c>
      <c r="C3" s="253" t="s">
        <v>40</v>
      </c>
      <c r="D3" s="254" t="s">
        <v>41</v>
      </c>
      <c r="E3" s="252" t="s">
        <v>42</v>
      </c>
      <c r="F3" s="255" t="s">
        <v>43</v>
      </c>
      <c r="G3" s="256" t="s">
        <v>44</v>
      </c>
      <c r="H3" s="254" t="s">
        <v>45</v>
      </c>
      <c r="I3" s="254" t="s">
        <v>45</v>
      </c>
      <c r="J3" s="254" t="s">
        <v>46</v>
      </c>
      <c r="K3" s="254" t="s">
        <v>46</v>
      </c>
      <c r="L3" s="251">
        <v>3300</v>
      </c>
      <c r="M3" s="251">
        <v>0.16</v>
      </c>
      <c r="N3" s="251">
        <f t="shared" ref="N3:N8" si="0">ROUND(L3*M3,2)</f>
        <v>528</v>
      </c>
      <c r="O3" s="251">
        <v>0.08</v>
      </c>
      <c r="P3" s="251">
        <f t="shared" ref="P3:P8" si="1">ROUND(L3*O3,2)</f>
        <v>264</v>
      </c>
      <c r="Q3" s="251">
        <v>3300</v>
      </c>
      <c r="R3" s="251">
        <v>0.08</v>
      </c>
      <c r="S3" s="251">
        <f t="shared" ref="S3:S8" si="2">ROUND(Q3*R3,2)</f>
        <v>264</v>
      </c>
      <c r="T3" s="251">
        <v>0.02</v>
      </c>
      <c r="U3" s="251">
        <f t="shared" ref="U3:U8" si="3">ROUND(Q3*T3,2)</f>
        <v>66</v>
      </c>
      <c r="V3" s="251">
        <v>3300</v>
      </c>
      <c r="W3" s="251">
        <v>0.007</v>
      </c>
      <c r="X3" s="251">
        <f t="shared" ref="X3:X8" si="4">ROUND(V3*W3,2)</f>
        <v>23.1</v>
      </c>
      <c r="Y3" s="251">
        <v>0.003</v>
      </c>
      <c r="Z3" s="251">
        <f t="shared" ref="Z3:Z8" si="5">ROUND(V3*Y3,2)</f>
        <v>9.9</v>
      </c>
      <c r="AA3" s="251"/>
      <c r="AB3" s="251"/>
      <c r="AC3" s="251"/>
      <c r="AD3" s="251">
        <v>3300</v>
      </c>
      <c r="AE3" s="251">
        <v>0.002</v>
      </c>
      <c r="AF3" s="251">
        <f t="shared" ref="AF3:AF15" si="6">ROUND(AD3*AE3,2)</f>
        <v>6.6</v>
      </c>
      <c r="AG3" s="251">
        <v>3000</v>
      </c>
      <c r="AH3" s="251">
        <v>0.1</v>
      </c>
      <c r="AI3" s="251">
        <f>ROUND(AG3*AH3,2)</f>
        <v>300</v>
      </c>
      <c r="AJ3" s="251">
        <v>0.06</v>
      </c>
      <c r="AK3" s="251">
        <f>ROUND(AG3*AJ3,2)</f>
        <v>180</v>
      </c>
      <c r="AL3" s="289"/>
      <c r="AM3" s="251"/>
      <c r="AN3" s="251"/>
      <c r="AO3" s="251"/>
      <c r="AP3" s="252" t="s">
        <v>47</v>
      </c>
      <c r="AQ3" s="294">
        <v>5</v>
      </c>
      <c r="AR3" s="251"/>
      <c r="AS3" s="295">
        <f t="shared" ref="AS3:AS15" si="7">N3+S3+X3+AC3+AF3+AN3+AQ3</f>
        <v>826.7</v>
      </c>
      <c r="AT3" s="295">
        <f t="shared" ref="AT3:AT15" si="8">P3+U3+Z3</f>
        <v>339.9</v>
      </c>
      <c r="AU3" s="295">
        <f t="shared" ref="AU3:AU15" si="9">AI3</f>
        <v>300</v>
      </c>
      <c r="AV3" s="295">
        <f t="shared" ref="AV3:AV15" si="10">AK3</f>
        <v>180</v>
      </c>
      <c r="AW3" s="295">
        <f t="shared" ref="AW3:AW15" si="11">AV3+AS3+AT3+AU3</f>
        <v>1646.6</v>
      </c>
      <c r="AX3" s="304">
        <f t="shared" ref="AX3:AX15" si="12">AS3+AT3</f>
        <v>1166.6</v>
      </c>
      <c r="AY3" s="304"/>
      <c r="AZ3" s="304">
        <f t="shared" ref="AZ3:AZ8" si="13">AU3+AV3</f>
        <v>480</v>
      </c>
      <c r="BA3" s="304"/>
      <c r="BB3" s="305">
        <v>80</v>
      </c>
      <c r="BC3" s="304">
        <f t="shared" ref="BC3:BC15" si="14">AX3+AZ3+BB3</f>
        <v>1726.6</v>
      </c>
      <c r="BD3" s="306"/>
      <c r="BE3" s="320"/>
      <c r="BF3" s="321"/>
      <c r="BG3" s="321"/>
      <c r="BH3" s="322" t="s">
        <v>47</v>
      </c>
    </row>
    <row r="4" s="239" customFormat="1" ht="18" customHeight="1" spans="1:60">
      <c r="A4" s="251"/>
      <c r="B4" s="252" t="s">
        <v>39</v>
      </c>
      <c r="C4" s="253" t="s">
        <v>40</v>
      </c>
      <c r="D4" s="254" t="s">
        <v>41</v>
      </c>
      <c r="E4" s="252" t="s">
        <v>42</v>
      </c>
      <c r="F4" s="255" t="s">
        <v>43</v>
      </c>
      <c r="G4" s="256" t="s">
        <v>44</v>
      </c>
      <c r="H4" s="254" t="s">
        <v>45</v>
      </c>
      <c r="I4" s="254" t="s">
        <v>45</v>
      </c>
      <c r="J4" s="254" t="s">
        <v>48</v>
      </c>
      <c r="K4" s="254" t="s">
        <v>48</v>
      </c>
      <c r="L4" s="251">
        <v>3300</v>
      </c>
      <c r="M4" s="251">
        <v>0.16</v>
      </c>
      <c r="N4" s="251">
        <f t="shared" si="0"/>
        <v>528</v>
      </c>
      <c r="O4" s="251">
        <v>0.08</v>
      </c>
      <c r="P4" s="251">
        <f t="shared" si="1"/>
        <v>264</v>
      </c>
      <c r="Q4" s="251">
        <v>3300</v>
      </c>
      <c r="R4" s="251">
        <v>0.08</v>
      </c>
      <c r="S4" s="251">
        <f t="shared" si="2"/>
        <v>264</v>
      </c>
      <c r="T4" s="251">
        <v>0.02</v>
      </c>
      <c r="U4" s="251">
        <f t="shared" si="3"/>
        <v>66</v>
      </c>
      <c r="V4" s="251">
        <v>3300</v>
      </c>
      <c r="W4" s="251">
        <v>0.007</v>
      </c>
      <c r="X4" s="251">
        <f t="shared" si="4"/>
        <v>23.1</v>
      </c>
      <c r="Y4" s="251">
        <v>0.003</v>
      </c>
      <c r="Z4" s="251">
        <f t="shared" si="5"/>
        <v>9.9</v>
      </c>
      <c r="AA4" s="251"/>
      <c r="AB4" s="251"/>
      <c r="AC4" s="251"/>
      <c r="AD4" s="251">
        <v>3300</v>
      </c>
      <c r="AE4" s="251">
        <v>0.002</v>
      </c>
      <c r="AF4" s="251">
        <f t="shared" si="6"/>
        <v>6.6</v>
      </c>
      <c r="AG4" s="251">
        <v>3000</v>
      </c>
      <c r="AH4" s="251">
        <v>0.1</v>
      </c>
      <c r="AI4" s="251">
        <f>ROUND(AG4*AH4,2)</f>
        <v>300</v>
      </c>
      <c r="AJ4" s="251">
        <v>0.06</v>
      </c>
      <c r="AK4" s="251">
        <f>ROUND(AG4*AJ4,2)</f>
        <v>180</v>
      </c>
      <c r="AL4" s="289"/>
      <c r="AM4" s="251"/>
      <c r="AN4" s="251"/>
      <c r="AO4" s="251"/>
      <c r="AP4" s="252" t="s">
        <v>47</v>
      </c>
      <c r="AQ4" s="294">
        <v>5</v>
      </c>
      <c r="AR4" s="251"/>
      <c r="AS4" s="295">
        <f t="shared" si="7"/>
        <v>826.7</v>
      </c>
      <c r="AT4" s="295">
        <f t="shared" si="8"/>
        <v>339.9</v>
      </c>
      <c r="AU4" s="295">
        <f t="shared" si="9"/>
        <v>300</v>
      </c>
      <c r="AV4" s="295">
        <f t="shared" si="10"/>
        <v>180</v>
      </c>
      <c r="AW4" s="295">
        <f t="shared" si="11"/>
        <v>1646.6</v>
      </c>
      <c r="AX4" s="304">
        <f t="shared" si="12"/>
        <v>1166.6</v>
      </c>
      <c r="AY4" s="304"/>
      <c r="AZ4" s="304">
        <f t="shared" si="13"/>
        <v>480</v>
      </c>
      <c r="BA4" s="304"/>
      <c r="BB4" s="305">
        <v>80</v>
      </c>
      <c r="BC4" s="304">
        <f t="shared" si="14"/>
        <v>1726.6</v>
      </c>
      <c r="BD4" s="306"/>
      <c r="BE4" s="320"/>
      <c r="BF4" s="321"/>
      <c r="BG4" s="321"/>
      <c r="BH4" s="322" t="s">
        <v>47</v>
      </c>
    </row>
    <row r="5" s="239" customFormat="1" ht="18" customHeight="1" spans="1:60">
      <c r="A5" s="251"/>
      <c r="B5" s="252" t="s">
        <v>39</v>
      </c>
      <c r="C5" s="253" t="s">
        <v>40</v>
      </c>
      <c r="D5" s="254" t="s">
        <v>41</v>
      </c>
      <c r="E5" s="252" t="s">
        <v>42</v>
      </c>
      <c r="F5" s="255" t="s">
        <v>43</v>
      </c>
      <c r="G5" s="256" t="s">
        <v>44</v>
      </c>
      <c r="H5" s="254" t="s">
        <v>45</v>
      </c>
      <c r="I5" s="254" t="s">
        <v>45</v>
      </c>
      <c r="J5" s="254" t="s">
        <v>49</v>
      </c>
      <c r="K5" s="254" t="s">
        <v>49</v>
      </c>
      <c r="L5" s="251">
        <v>3300</v>
      </c>
      <c r="M5" s="251">
        <v>0.16</v>
      </c>
      <c r="N5" s="251">
        <f t="shared" si="0"/>
        <v>528</v>
      </c>
      <c r="O5" s="251">
        <v>0.08</v>
      </c>
      <c r="P5" s="251">
        <f t="shared" si="1"/>
        <v>264</v>
      </c>
      <c r="Q5" s="251">
        <v>3300</v>
      </c>
      <c r="R5" s="251">
        <v>0.08</v>
      </c>
      <c r="S5" s="251">
        <f t="shared" si="2"/>
        <v>264</v>
      </c>
      <c r="T5" s="251">
        <v>0.02</v>
      </c>
      <c r="U5" s="251">
        <f t="shared" si="3"/>
        <v>66</v>
      </c>
      <c r="V5" s="251">
        <v>3300</v>
      </c>
      <c r="W5" s="251">
        <v>0.007</v>
      </c>
      <c r="X5" s="251">
        <f t="shared" si="4"/>
        <v>23.1</v>
      </c>
      <c r="Y5" s="251">
        <v>0.003</v>
      </c>
      <c r="Z5" s="251">
        <f t="shared" si="5"/>
        <v>9.9</v>
      </c>
      <c r="AA5" s="251"/>
      <c r="AB5" s="251"/>
      <c r="AC5" s="251"/>
      <c r="AD5" s="251">
        <v>3300</v>
      </c>
      <c r="AE5" s="251">
        <v>0.002</v>
      </c>
      <c r="AF5" s="251">
        <f t="shared" si="6"/>
        <v>6.6</v>
      </c>
      <c r="AG5" s="251">
        <v>3000</v>
      </c>
      <c r="AH5" s="251">
        <v>0.1</v>
      </c>
      <c r="AI5" s="251">
        <f>ROUND(AG5*AH5,2)</f>
        <v>300</v>
      </c>
      <c r="AJ5" s="251">
        <v>0.06</v>
      </c>
      <c r="AK5" s="251">
        <f>ROUND(AG5*AJ5,2)</f>
        <v>180</v>
      </c>
      <c r="AL5" s="289"/>
      <c r="AM5" s="251"/>
      <c r="AN5" s="251"/>
      <c r="AO5" s="251"/>
      <c r="AP5" s="252" t="s">
        <v>47</v>
      </c>
      <c r="AQ5" s="294">
        <v>5</v>
      </c>
      <c r="AR5" s="251"/>
      <c r="AS5" s="295">
        <f t="shared" si="7"/>
        <v>826.7</v>
      </c>
      <c r="AT5" s="295">
        <f t="shared" si="8"/>
        <v>339.9</v>
      </c>
      <c r="AU5" s="295">
        <f t="shared" si="9"/>
        <v>300</v>
      </c>
      <c r="AV5" s="295">
        <f t="shared" si="10"/>
        <v>180</v>
      </c>
      <c r="AW5" s="295">
        <f t="shared" si="11"/>
        <v>1646.6</v>
      </c>
      <c r="AX5" s="304">
        <f t="shared" si="12"/>
        <v>1166.6</v>
      </c>
      <c r="AY5" s="304"/>
      <c r="AZ5" s="304">
        <f t="shared" si="13"/>
        <v>480</v>
      </c>
      <c r="BA5" s="304"/>
      <c r="BB5" s="305">
        <v>80</v>
      </c>
      <c r="BC5" s="304">
        <f t="shared" si="14"/>
        <v>1726.6</v>
      </c>
      <c r="BD5" s="306"/>
      <c r="BE5" s="320"/>
      <c r="BF5" s="321"/>
      <c r="BG5" s="321"/>
      <c r="BH5" s="322" t="s">
        <v>47</v>
      </c>
    </row>
    <row r="6" s="239" customFormat="1" ht="18" customHeight="1" spans="1:60">
      <c r="A6" s="251">
        <v>2</v>
      </c>
      <c r="B6" s="252" t="s">
        <v>39</v>
      </c>
      <c r="C6" s="253" t="s">
        <v>50</v>
      </c>
      <c r="D6" s="254" t="s">
        <v>41</v>
      </c>
      <c r="E6" s="252" t="s">
        <v>51</v>
      </c>
      <c r="F6" s="255" t="s">
        <v>52</v>
      </c>
      <c r="G6" s="325" t="s">
        <v>53</v>
      </c>
      <c r="H6" s="254" t="s">
        <v>45</v>
      </c>
      <c r="I6" s="254" t="s">
        <v>54</v>
      </c>
      <c r="J6" s="254" t="s">
        <v>46</v>
      </c>
      <c r="K6" s="254" t="s">
        <v>54</v>
      </c>
      <c r="L6" s="251">
        <v>3803</v>
      </c>
      <c r="M6" s="251">
        <v>0.14</v>
      </c>
      <c r="N6" s="251">
        <f t="shared" si="0"/>
        <v>532.42</v>
      </c>
      <c r="O6" s="251">
        <v>0.08</v>
      </c>
      <c r="P6" s="251">
        <f t="shared" si="1"/>
        <v>304.24</v>
      </c>
      <c r="Q6" s="251">
        <v>6175</v>
      </c>
      <c r="R6" s="251">
        <v>0.055</v>
      </c>
      <c r="S6" s="251">
        <f t="shared" si="2"/>
        <v>339.63</v>
      </c>
      <c r="T6" s="251">
        <v>0.02</v>
      </c>
      <c r="U6" s="251">
        <f t="shared" si="3"/>
        <v>123.5</v>
      </c>
      <c r="V6" s="251">
        <v>3803</v>
      </c>
      <c r="W6" s="251">
        <v>0.0032</v>
      </c>
      <c r="X6" s="251">
        <f t="shared" si="4"/>
        <v>12.17</v>
      </c>
      <c r="Y6" s="251">
        <v>0.002</v>
      </c>
      <c r="Z6" s="251">
        <f t="shared" si="5"/>
        <v>7.61</v>
      </c>
      <c r="AA6" s="251">
        <v>6175</v>
      </c>
      <c r="AB6" s="251">
        <v>0.0085</v>
      </c>
      <c r="AC6" s="251">
        <f t="shared" ref="AC6:AC8" si="15">ROUND(AA6*AB6,2)</f>
        <v>52.49</v>
      </c>
      <c r="AD6" s="251">
        <v>3803</v>
      </c>
      <c r="AE6" s="251">
        <v>0.0016</v>
      </c>
      <c r="AF6" s="251">
        <f t="shared" si="6"/>
        <v>6.08</v>
      </c>
      <c r="AG6" s="251"/>
      <c r="AH6" s="251"/>
      <c r="AI6" s="251"/>
      <c r="AJ6" s="251"/>
      <c r="AK6" s="251"/>
      <c r="AL6" s="289"/>
      <c r="AM6" s="251"/>
      <c r="AN6" s="251"/>
      <c r="AO6" s="251"/>
      <c r="AP6" s="252"/>
      <c r="AQ6" s="294">
        <v>26.76</v>
      </c>
      <c r="AR6" s="251"/>
      <c r="AS6" s="295">
        <f t="shared" si="7"/>
        <v>969.55</v>
      </c>
      <c r="AT6" s="295">
        <f t="shared" si="8"/>
        <v>435.35</v>
      </c>
      <c r="AU6" s="295">
        <f t="shared" si="9"/>
        <v>0</v>
      </c>
      <c r="AV6" s="295">
        <f t="shared" si="10"/>
        <v>0</v>
      </c>
      <c r="AW6" s="295">
        <f t="shared" si="11"/>
        <v>1404.9</v>
      </c>
      <c r="AX6" s="304">
        <f t="shared" si="12"/>
        <v>1404.9</v>
      </c>
      <c r="AY6" s="304"/>
      <c r="AZ6" s="304">
        <f t="shared" si="13"/>
        <v>0</v>
      </c>
      <c r="BA6" s="304"/>
      <c r="BB6" s="305">
        <v>80</v>
      </c>
      <c r="BC6" s="304">
        <f t="shared" si="14"/>
        <v>1484.9</v>
      </c>
      <c r="BD6" s="306"/>
      <c r="BE6" s="323"/>
      <c r="BF6" s="323"/>
      <c r="BG6" s="323"/>
      <c r="BH6" s="323"/>
    </row>
    <row r="7" s="239" customFormat="1" ht="18" customHeight="1" spans="1:60">
      <c r="A7" s="251"/>
      <c r="B7" s="252" t="s">
        <v>39</v>
      </c>
      <c r="C7" s="253" t="s">
        <v>50</v>
      </c>
      <c r="D7" s="254" t="s">
        <v>41</v>
      </c>
      <c r="E7" s="252" t="s">
        <v>51</v>
      </c>
      <c r="F7" s="255" t="s">
        <v>52</v>
      </c>
      <c r="G7" s="325" t="s">
        <v>53</v>
      </c>
      <c r="H7" s="254" t="s">
        <v>45</v>
      </c>
      <c r="I7" s="254" t="s">
        <v>54</v>
      </c>
      <c r="J7" s="254" t="s">
        <v>48</v>
      </c>
      <c r="K7" s="254" t="s">
        <v>54</v>
      </c>
      <c r="L7" s="251">
        <v>3803</v>
      </c>
      <c r="M7" s="251">
        <v>0.14</v>
      </c>
      <c r="N7" s="251">
        <f t="shared" si="0"/>
        <v>532.42</v>
      </c>
      <c r="O7" s="251">
        <v>0.08</v>
      </c>
      <c r="P7" s="251">
        <f t="shared" si="1"/>
        <v>304.24</v>
      </c>
      <c r="Q7" s="251">
        <v>6175</v>
      </c>
      <c r="R7" s="251">
        <v>0.055</v>
      </c>
      <c r="S7" s="251">
        <f t="shared" si="2"/>
        <v>339.63</v>
      </c>
      <c r="T7" s="251">
        <v>0.02</v>
      </c>
      <c r="U7" s="251">
        <f t="shared" si="3"/>
        <v>123.5</v>
      </c>
      <c r="V7" s="251">
        <v>3803</v>
      </c>
      <c r="W7" s="251">
        <v>0.0032</v>
      </c>
      <c r="X7" s="251">
        <f t="shared" si="4"/>
        <v>12.17</v>
      </c>
      <c r="Y7" s="251">
        <v>0.002</v>
      </c>
      <c r="Z7" s="251">
        <f t="shared" si="5"/>
        <v>7.61</v>
      </c>
      <c r="AA7" s="251">
        <v>6175</v>
      </c>
      <c r="AB7" s="251">
        <v>0.0085</v>
      </c>
      <c r="AC7" s="251">
        <f t="shared" si="15"/>
        <v>52.49</v>
      </c>
      <c r="AD7" s="251">
        <v>3803</v>
      </c>
      <c r="AE7" s="251">
        <v>0.0016</v>
      </c>
      <c r="AF7" s="251">
        <f t="shared" si="6"/>
        <v>6.08</v>
      </c>
      <c r="AG7" s="251"/>
      <c r="AH7" s="251"/>
      <c r="AI7" s="251"/>
      <c r="AJ7" s="251"/>
      <c r="AK7" s="251"/>
      <c r="AL7" s="289"/>
      <c r="AM7" s="251"/>
      <c r="AN7" s="251"/>
      <c r="AO7" s="251"/>
      <c r="AP7" s="252"/>
      <c r="AQ7" s="294">
        <v>26.76</v>
      </c>
      <c r="AR7" s="251"/>
      <c r="AS7" s="295">
        <f t="shared" si="7"/>
        <v>969.55</v>
      </c>
      <c r="AT7" s="295">
        <f t="shared" si="8"/>
        <v>435.35</v>
      </c>
      <c r="AU7" s="295">
        <f t="shared" si="9"/>
        <v>0</v>
      </c>
      <c r="AV7" s="295">
        <f t="shared" si="10"/>
        <v>0</v>
      </c>
      <c r="AW7" s="295">
        <f t="shared" si="11"/>
        <v>1404.9</v>
      </c>
      <c r="AX7" s="304">
        <f t="shared" si="12"/>
        <v>1404.9</v>
      </c>
      <c r="AY7" s="304"/>
      <c r="AZ7" s="304">
        <f t="shared" si="13"/>
        <v>0</v>
      </c>
      <c r="BA7" s="304"/>
      <c r="BB7" s="305">
        <v>80</v>
      </c>
      <c r="BC7" s="304">
        <f t="shared" si="14"/>
        <v>1484.9</v>
      </c>
      <c r="BD7" s="306"/>
      <c r="BE7" s="323"/>
      <c r="BF7" s="323"/>
      <c r="BG7" s="323"/>
      <c r="BH7" s="323"/>
    </row>
    <row r="8" s="239" customFormat="1" ht="18" customHeight="1" spans="1:60">
      <c r="A8" s="251"/>
      <c r="B8" s="252" t="s">
        <v>39</v>
      </c>
      <c r="C8" s="253" t="s">
        <v>50</v>
      </c>
      <c r="D8" s="254" t="s">
        <v>41</v>
      </c>
      <c r="E8" s="252" t="s">
        <v>51</v>
      </c>
      <c r="F8" s="255" t="s">
        <v>52</v>
      </c>
      <c r="G8" s="325" t="s">
        <v>53</v>
      </c>
      <c r="H8" s="254" t="s">
        <v>45</v>
      </c>
      <c r="I8" s="254" t="s">
        <v>54</v>
      </c>
      <c r="J8" s="254" t="s">
        <v>49</v>
      </c>
      <c r="K8" s="254" t="s">
        <v>54</v>
      </c>
      <c r="L8" s="251">
        <v>3803</v>
      </c>
      <c r="M8" s="251">
        <v>0.14</v>
      </c>
      <c r="N8" s="251">
        <f t="shared" si="0"/>
        <v>532.42</v>
      </c>
      <c r="O8" s="251">
        <v>0.08</v>
      </c>
      <c r="P8" s="251">
        <f t="shared" si="1"/>
        <v>304.24</v>
      </c>
      <c r="Q8" s="251">
        <v>6175</v>
      </c>
      <c r="R8" s="251">
        <v>0.055</v>
      </c>
      <c r="S8" s="251">
        <f t="shared" si="2"/>
        <v>339.63</v>
      </c>
      <c r="T8" s="251">
        <v>0.02</v>
      </c>
      <c r="U8" s="251">
        <f t="shared" si="3"/>
        <v>123.5</v>
      </c>
      <c r="V8" s="251">
        <v>3803</v>
      </c>
      <c r="W8" s="251">
        <v>0.0032</v>
      </c>
      <c r="X8" s="251">
        <f t="shared" si="4"/>
        <v>12.17</v>
      </c>
      <c r="Y8" s="251">
        <v>0.002</v>
      </c>
      <c r="Z8" s="251">
        <f t="shared" si="5"/>
        <v>7.61</v>
      </c>
      <c r="AA8" s="251">
        <v>6175</v>
      </c>
      <c r="AB8" s="251">
        <v>0.0085</v>
      </c>
      <c r="AC8" s="251">
        <f t="shared" si="15"/>
        <v>52.49</v>
      </c>
      <c r="AD8" s="251">
        <v>3803</v>
      </c>
      <c r="AE8" s="251">
        <v>0.0016</v>
      </c>
      <c r="AF8" s="251">
        <f t="shared" si="6"/>
        <v>6.08</v>
      </c>
      <c r="AG8" s="251"/>
      <c r="AH8" s="251"/>
      <c r="AI8" s="251"/>
      <c r="AJ8" s="251"/>
      <c r="AK8" s="251"/>
      <c r="AL8" s="289"/>
      <c r="AM8" s="251"/>
      <c r="AN8" s="251"/>
      <c r="AO8" s="251"/>
      <c r="AP8" s="252"/>
      <c r="AQ8" s="294">
        <v>26.76</v>
      </c>
      <c r="AR8" s="251"/>
      <c r="AS8" s="295">
        <f t="shared" si="7"/>
        <v>969.55</v>
      </c>
      <c r="AT8" s="295">
        <f t="shared" si="8"/>
        <v>435.35</v>
      </c>
      <c r="AU8" s="295">
        <f t="shared" si="9"/>
        <v>0</v>
      </c>
      <c r="AV8" s="295">
        <f t="shared" si="10"/>
        <v>0</v>
      </c>
      <c r="AW8" s="295">
        <f t="shared" si="11"/>
        <v>1404.9</v>
      </c>
      <c r="AX8" s="304">
        <f t="shared" si="12"/>
        <v>1404.9</v>
      </c>
      <c r="AY8" s="304"/>
      <c r="AZ8" s="304">
        <f t="shared" si="13"/>
        <v>0</v>
      </c>
      <c r="BA8" s="304"/>
      <c r="BB8" s="305">
        <v>80</v>
      </c>
      <c r="BC8" s="304">
        <f t="shared" si="14"/>
        <v>1484.9</v>
      </c>
      <c r="BD8" s="306"/>
      <c r="BE8" s="323"/>
      <c r="BF8" s="323"/>
      <c r="BG8" s="323"/>
      <c r="BH8" s="323"/>
    </row>
    <row r="9" s="240" customFormat="1" ht="18" customHeight="1" spans="1:60">
      <c r="A9" s="257" t="s">
        <v>55</v>
      </c>
      <c r="B9" s="258" t="s">
        <v>39</v>
      </c>
      <c r="C9" s="259" t="s">
        <v>50</v>
      </c>
      <c r="D9" s="260" t="s">
        <v>41</v>
      </c>
      <c r="E9" s="258" t="s">
        <v>51</v>
      </c>
      <c r="F9" s="261" t="s">
        <v>52</v>
      </c>
      <c r="G9" s="326" t="s">
        <v>53</v>
      </c>
      <c r="H9" s="260" t="s">
        <v>45</v>
      </c>
      <c r="I9" s="260" t="s">
        <v>54</v>
      </c>
      <c r="J9" s="260" t="s">
        <v>56</v>
      </c>
      <c r="K9" s="260" t="s">
        <v>54</v>
      </c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88">
        <f t="shared" ref="AD9:AD11" si="16">3803-3000</f>
        <v>803</v>
      </c>
      <c r="AE9" s="288">
        <v>0.0016</v>
      </c>
      <c r="AF9" s="288">
        <f t="shared" si="6"/>
        <v>1.28</v>
      </c>
      <c r="AG9" s="257"/>
      <c r="AH9" s="257"/>
      <c r="AI9" s="257"/>
      <c r="AJ9" s="257"/>
      <c r="AK9" s="257"/>
      <c r="AL9" s="290"/>
      <c r="AM9" s="257"/>
      <c r="AN9" s="257"/>
      <c r="AO9" s="257"/>
      <c r="AP9" s="258"/>
      <c r="AQ9" s="296"/>
      <c r="AR9" s="257"/>
      <c r="AS9" s="297">
        <f t="shared" si="7"/>
        <v>1.28</v>
      </c>
      <c r="AT9" s="297">
        <f t="shared" si="8"/>
        <v>0</v>
      </c>
      <c r="AU9" s="297">
        <f t="shared" si="9"/>
        <v>0</v>
      </c>
      <c r="AV9" s="297">
        <f t="shared" si="10"/>
        <v>0</v>
      </c>
      <c r="AW9" s="297">
        <f t="shared" si="11"/>
        <v>1.28</v>
      </c>
      <c r="AX9" s="307">
        <f t="shared" si="12"/>
        <v>1.28</v>
      </c>
      <c r="AY9" s="307"/>
      <c r="AZ9" s="307"/>
      <c r="BA9" s="307"/>
      <c r="BB9" s="308"/>
      <c r="BC9" s="307">
        <f t="shared" si="14"/>
        <v>1.28</v>
      </c>
      <c r="BD9" s="309" t="s">
        <v>57</v>
      </c>
      <c r="BE9" s="324"/>
      <c r="BF9" s="324"/>
      <c r="BG9" s="324"/>
      <c r="BH9" s="324"/>
    </row>
    <row r="10" s="240" customFormat="1" ht="18" customHeight="1" spans="1:60">
      <c r="A10" s="257" t="s">
        <v>55</v>
      </c>
      <c r="B10" s="258" t="s">
        <v>39</v>
      </c>
      <c r="C10" s="259" t="s">
        <v>50</v>
      </c>
      <c r="D10" s="260" t="s">
        <v>41</v>
      </c>
      <c r="E10" s="258" t="s">
        <v>51</v>
      </c>
      <c r="F10" s="261" t="s">
        <v>52</v>
      </c>
      <c r="G10" s="326" t="s">
        <v>53</v>
      </c>
      <c r="H10" s="260" t="s">
        <v>45</v>
      </c>
      <c r="I10" s="260" t="s">
        <v>54</v>
      </c>
      <c r="J10" s="260" t="s">
        <v>58</v>
      </c>
      <c r="K10" s="260" t="s">
        <v>54</v>
      </c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88">
        <f t="shared" si="16"/>
        <v>803</v>
      </c>
      <c r="AE10" s="288">
        <v>0.0016</v>
      </c>
      <c r="AF10" s="288">
        <f t="shared" si="6"/>
        <v>1.28</v>
      </c>
      <c r="AG10" s="257"/>
      <c r="AH10" s="257"/>
      <c r="AI10" s="257"/>
      <c r="AJ10" s="257"/>
      <c r="AK10" s="257"/>
      <c r="AL10" s="290"/>
      <c r="AM10" s="257"/>
      <c r="AN10" s="257"/>
      <c r="AO10" s="257"/>
      <c r="AP10" s="258"/>
      <c r="AQ10" s="296"/>
      <c r="AR10" s="257"/>
      <c r="AS10" s="297">
        <f t="shared" si="7"/>
        <v>1.28</v>
      </c>
      <c r="AT10" s="297">
        <f t="shared" si="8"/>
        <v>0</v>
      </c>
      <c r="AU10" s="297">
        <f t="shared" si="9"/>
        <v>0</v>
      </c>
      <c r="AV10" s="297">
        <f t="shared" si="10"/>
        <v>0</v>
      </c>
      <c r="AW10" s="297">
        <f t="shared" si="11"/>
        <v>1.28</v>
      </c>
      <c r="AX10" s="307">
        <f t="shared" si="12"/>
        <v>1.28</v>
      </c>
      <c r="AY10" s="307"/>
      <c r="AZ10" s="307"/>
      <c r="BA10" s="307"/>
      <c r="BB10" s="308"/>
      <c r="BC10" s="307">
        <f t="shared" si="14"/>
        <v>1.28</v>
      </c>
      <c r="BD10" s="309" t="s">
        <v>57</v>
      </c>
      <c r="BE10" s="324"/>
      <c r="BF10" s="324"/>
      <c r="BG10" s="324"/>
      <c r="BH10" s="324"/>
    </row>
    <row r="11" s="240" customFormat="1" ht="18" customHeight="1" spans="1:60">
      <c r="A11" s="257" t="s">
        <v>55</v>
      </c>
      <c r="B11" s="258" t="s">
        <v>39</v>
      </c>
      <c r="C11" s="259" t="s">
        <v>50</v>
      </c>
      <c r="D11" s="260" t="s">
        <v>41</v>
      </c>
      <c r="E11" s="258" t="s">
        <v>51</v>
      </c>
      <c r="F11" s="261" t="s">
        <v>52</v>
      </c>
      <c r="G11" s="326" t="s">
        <v>53</v>
      </c>
      <c r="H11" s="260" t="s">
        <v>45</v>
      </c>
      <c r="I11" s="260" t="s">
        <v>54</v>
      </c>
      <c r="J11" s="260" t="s">
        <v>59</v>
      </c>
      <c r="K11" s="260" t="s">
        <v>54</v>
      </c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88">
        <f t="shared" si="16"/>
        <v>803</v>
      </c>
      <c r="AE11" s="288">
        <v>0.0016</v>
      </c>
      <c r="AF11" s="288">
        <f t="shared" si="6"/>
        <v>1.28</v>
      </c>
      <c r="AG11" s="257"/>
      <c r="AH11" s="257"/>
      <c r="AI11" s="257"/>
      <c r="AJ11" s="257"/>
      <c r="AK11" s="257"/>
      <c r="AL11" s="290"/>
      <c r="AM11" s="257"/>
      <c r="AN11" s="257"/>
      <c r="AO11" s="257"/>
      <c r="AP11" s="258"/>
      <c r="AQ11" s="296"/>
      <c r="AR11" s="257"/>
      <c r="AS11" s="297">
        <f t="shared" si="7"/>
        <v>1.28</v>
      </c>
      <c r="AT11" s="297">
        <f t="shared" si="8"/>
        <v>0</v>
      </c>
      <c r="AU11" s="297">
        <f t="shared" si="9"/>
        <v>0</v>
      </c>
      <c r="AV11" s="297">
        <f t="shared" si="10"/>
        <v>0</v>
      </c>
      <c r="AW11" s="297">
        <f t="shared" si="11"/>
        <v>1.28</v>
      </c>
      <c r="AX11" s="307">
        <f t="shared" si="12"/>
        <v>1.28</v>
      </c>
      <c r="AY11" s="307"/>
      <c r="AZ11" s="307"/>
      <c r="BA11" s="307"/>
      <c r="BB11" s="308"/>
      <c r="BC11" s="307">
        <f t="shared" si="14"/>
        <v>1.28</v>
      </c>
      <c r="BD11" s="309" t="s">
        <v>57</v>
      </c>
      <c r="BE11" s="324"/>
      <c r="BF11" s="324"/>
      <c r="BG11" s="324"/>
      <c r="BH11" s="324"/>
    </row>
    <row r="12" s="239" customFormat="1" ht="18" customHeight="1" spans="1:60">
      <c r="A12" s="251">
        <v>3</v>
      </c>
      <c r="B12" s="252" t="s">
        <v>39</v>
      </c>
      <c r="C12" s="253" t="s">
        <v>60</v>
      </c>
      <c r="D12" s="254" t="s">
        <v>41</v>
      </c>
      <c r="E12" s="252" t="s">
        <v>51</v>
      </c>
      <c r="F12" s="255" t="s">
        <v>61</v>
      </c>
      <c r="G12" s="256" t="s">
        <v>62</v>
      </c>
      <c r="H12" s="254" t="s">
        <v>63</v>
      </c>
      <c r="I12" s="254" t="s">
        <v>63</v>
      </c>
      <c r="J12" s="254" t="s">
        <v>48</v>
      </c>
      <c r="K12" s="254" t="s">
        <v>48</v>
      </c>
      <c r="L12" s="251">
        <v>3053.05</v>
      </c>
      <c r="M12" s="251">
        <v>0.16</v>
      </c>
      <c r="N12" s="251">
        <f t="shared" ref="N12:N15" si="17">ROUND(L12*M12,2)</f>
        <v>488.49</v>
      </c>
      <c r="O12" s="251">
        <v>0.08</v>
      </c>
      <c r="P12" s="251">
        <f t="shared" ref="P12:P15" si="18">ROUND(L12*O12,2)</f>
        <v>244.24</v>
      </c>
      <c r="Q12" s="251">
        <v>3053.05</v>
      </c>
      <c r="R12" s="251">
        <v>0.06</v>
      </c>
      <c r="S12" s="251">
        <f t="shared" ref="S12:S15" si="19">ROUND(Q12*R12,2)</f>
        <v>183.18</v>
      </c>
      <c r="T12" s="251">
        <v>0.02</v>
      </c>
      <c r="U12" s="251">
        <f t="shared" ref="U12:U15" si="20">ROUND(Q12*T12,2)</f>
        <v>61.06</v>
      </c>
      <c r="V12" s="251">
        <v>3053.05</v>
      </c>
      <c r="W12" s="251">
        <v>0.007</v>
      </c>
      <c r="X12" s="251">
        <f t="shared" ref="X12:X15" si="21">ROUND(V12*W12,2)</f>
        <v>21.37</v>
      </c>
      <c r="Y12" s="251">
        <v>0.003</v>
      </c>
      <c r="Z12" s="251">
        <f t="shared" ref="Z12:Z15" si="22">ROUND(V12*Y12,2)</f>
        <v>9.16</v>
      </c>
      <c r="AA12" s="251">
        <v>3053.05</v>
      </c>
      <c r="AB12" s="251">
        <v>0.007</v>
      </c>
      <c r="AC12" s="251">
        <f t="shared" ref="AC12:AC15" si="23">ROUND(AA12*AB12,2)</f>
        <v>21.37</v>
      </c>
      <c r="AD12" s="251">
        <v>3053.05</v>
      </c>
      <c r="AE12" s="251">
        <v>0.002</v>
      </c>
      <c r="AF12" s="251">
        <f t="shared" si="6"/>
        <v>6.11</v>
      </c>
      <c r="AG12" s="251" t="s">
        <v>64</v>
      </c>
      <c r="AH12" s="251">
        <v>0.05</v>
      </c>
      <c r="AI12" s="251">
        <f t="shared" ref="AI12:AI15" si="24">ROUND(AG12*AH12,2)</f>
        <v>79</v>
      </c>
      <c r="AJ12" s="251">
        <v>0.05</v>
      </c>
      <c r="AK12" s="251">
        <f t="shared" ref="AK12:AK15" si="25">ROUND(AG12*AJ12,2)</f>
        <v>79</v>
      </c>
      <c r="AL12" s="289"/>
      <c r="AM12" s="251"/>
      <c r="AN12" s="251"/>
      <c r="AO12" s="251"/>
      <c r="AP12" s="252"/>
      <c r="AQ12" s="294"/>
      <c r="AR12" s="251">
        <v>96</v>
      </c>
      <c r="AS12" s="295">
        <f t="shared" si="7"/>
        <v>720.52</v>
      </c>
      <c r="AT12" s="295">
        <f t="shared" si="8"/>
        <v>314.46</v>
      </c>
      <c r="AU12" s="295">
        <f t="shared" si="9"/>
        <v>79</v>
      </c>
      <c r="AV12" s="295">
        <f t="shared" si="10"/>
        <v>79</v>
      </c>
      <c r="AW12" s="295">
        <f t="shared" si="11"/>
        <v>1192.98</v>
      </c>
      <c r="AX12" s="304">
        <f t="shared" si="12"/>
        <v>1034.98</v>
      </c>
      <c r="AY12" s="304"/>
      <c r="AZ12" s="304">
        <f t="shared" ref="AZ12:AZ15" si="26">AU12+AV12</f>
        <v>158</v>
      </c>
      <c r="BA12" s="304"/>
      <c r="BB12" s="305">
        <v>80</v>
      </c>
      <c r="BC12" s="304">
        <f t="shared" si="14"/>
        <v>1272.98</v>
      </c>
      <c r="BD12" s="306"/>
      <c r="BE12" s="323"/>
      <c r="BF12" s="323"/>
      <c r="BG12" s="323"/>
      <c r="BH12" s="323"/>
    </row>
    <row r="13" s="239" customFormat="1" ht="18" customHeight="1" spans="1:60">
      <c r="A13" s="251"/>
      <c r="B13" s="252" t="s">
        <v>39</v>
      </c>
      <c r="C13" s="253" t="s">
        <v>60</v>
      </c>
      <c r="D13" s="254" t="s">
        <v>41</v>
      </c>
      <c r="E13" s="252" t="s">
        <v>51</v>
      </c>
      <c r="F13" s="255" t="s">
        <v>61</v>
      </c>
      <c r="G13" s="256" t="s">
        <v>62</v>
      </c>
      <c r="H13" s="254" t="s">
        <v>63</v>
      </c>
      <c r="I13" s="254" t="s">
        <v>63</v>
      </c>
      <c r="J13" s="254" t="s">
        <v>49</v>
      </c>
      <c r="K13" s="254" t="s">
        <v>49</v>
      </c>
      <c r="L13" s="251">
        <v>3053.05</v>
      </c>
      <c r="M13" s="251">
        <v>0.16</v>
      </c>
      <c r="N13" s="251">
        <f t="shared" si="17"/>
        <v>488.49</v>
      </c>
      <c r="O13" s="251">
        <v>0.08</v>
      </c>
      <c r="P13" s="251">
        <f t="shared" si="18"/>
        <v>244.24</v>
      </c>
      <c r="Q13" s="251">
        <v>3053.05</v>
      </c>
      <c r="R13" s="251">
        <v>0.06</v>
      </c>
      <c r="S13" s="251">
        <f t="shared" si="19"/>
        <v>183.18</v>
      </c>
      <c r="T13" s="251">
        <v>0.02</v>
      </c>
      <c r="U13" s="251">
        <f t="shared" si="20"/>
        <v>61.06</v>
      </c>
      <c r="V13" s="251">
        <v>3053.05</v>
      </c>
      <c r="W13" s="251">
        <v>0.007</v>
      </c>
      <c r="X13" s="251">
        <f t="shared" si="21"/>
        <v>21.37</v>
      </c>
      <c r="Y13" s="251">
        <v>0.003</v>
      </c>
      <c r="Z13" s="251">
        <f t="shared" si="22"/>
        <v>9.16</v>
      </c>
      <c r="AA13" s="251">
        <v>3053.05</v>
      </c>
      <c r="AB13" s="251">
        <v>0.007</v>
      </c>
      <c r="AC13" s="251">
        <f t="shared" si="23"/>
        <v>21.37</v>
      </c>
      <c r="AD13" s="251">
        <v>3053.05</v>
      </c>
      <c r="AE13" s="251">
        <v>0.002</v>
      </c>
      <c r="AF13" s="251">
        <f t="shared" si="6"/>
        <v>6.11</v>
      </c>
      <c r="AG13" s="251" t="s">
        <v>64</v>
      </c>
      <c r="AH13" s="251">
        <v>0.05</v>
      </c>
      <c r="AI13" s="251">
        <f t="shared" si="24"/>
        <v>79</v>
      </c>
      <c r="AJ13" s="251">
        <v>0.05</v>
      </c>
      <c r="AK13" s="251">
        <f t="shared" si="25"/>
        <v>79</v>
      </c>
      <c r="AL13" s="289"/>
      <c r="AM13" s="251"/>
      <c r="AN13" s="251"/>
      <c r="AO13" s="251"/>
      <c r="AP13" s="252"/>
      <c r="AQ13" s="294"/>
      <c r="AR13" s="294"/>
      <c r="AS13" s="295">
        <f t="shared" si="7"/>
        <v>720.52</v>
      </c>
      <c r="AT13" s="295">
        <f t="shared" si="8"/>
        <v>314.46</v>
      </c>
      <c r="AU13" s="295">
        <f t="shared" si="9"/>
        <v>79</v>
      </c>
      <c r="AV13" s="295">
        <f t="shared" si="10"/>
        <v>79</v>
      </c>
      <c r="AW13" s="295">
        <f t="shared" si="11"/>
        <v>1192.98</v>
      </c>
      <c r="AX13" s="304">
        <f t="shared" si="12"/>
        <v>1034.98</v>
      </c>
      <c r="AY13" s="304"/>
      <c r="AZ13" s="304">
        <f t="shared" si="26"/>
        <v>158</v>
      </c>
      <c r="BA13" s="304"/>
      <c r="BB13" s="305">
        <v>80</v>
      </c>
      <c r="BC13" s="304">
        <f t="shared" si="14"/>
        <v>1272.98</v>
      </c>
      <c r="BD13" s="306"/>
      <c r="BE13" s="323"/>
      <c r="BF13" s="323"/>
      <c r="BG13" s="323"/>
      <c r="BH13" s="323"/>
    </row>
    <row r="14" s="239" customFormat="1" ht="18" customHeight="1" spans="1:60">
      <c r="A14" s="251"/>
      <c r="B14" s="252" t="s">
        <v>39</v>
      </c>
      <c r="C14" s="253" t="s">
        <v>60</v>
      </c>
      <c r="D14" s="254" t="s">
        <v>41</v>
      </c>
      <c r="E14" s="252" t="s">
        <v>51</v>
      </c>
      <c r="F14" s="255" t="s">
        <v>61</v>
      </c>
      <c r="G14" s="256" t="s">
        <v>62</v>
      </c>
      <c r="H14" s="254" t="s">
        <v>63</v>
      </c>
      <c r="I14" s="254" t="s">
        <v>63</v>
      </c>
      <c r="J14" s="254" t="s">
        <v>65</v>
      </c>
      <c r="K14" s="254" t="s">
        <v>65</v>
      </c>
      <c r="L14" s="251">
        <v>3053.05</v>
      </c>
      <c r="M14" s="251">
        <v>0.16</v>
      </c>
      <c r="N14" s="251">
        <f t="shared" si="17"/>
        <v>488.49</v>
      </c>
      <c r="O14" s="251">
        <v>0.08</v>
      </c>
      <c r="P14" s="251">
        <f t="shared" si="18"/>
        <v>244.24</v>
      </c>
      <c r="Q14" s="251">
        <v>3053.05</v>
      </c>
      <c r="R14" s="251">
        <v>0.06</v>
      </c>
      <c r="S14" s="251">
        <f t="shared" si="19"/>
        <v>183.18</v>
      </c>
      <c r="T14" s="251">
        <v>0.02</v>
      </c>
      <c r="U14" s="251">
        <f t="shared" si="20"/>
        <v>61.06</v>
      </c>
      <c r="V14" s="251">
        <v>3053.05</v>
      </c>
      <c r="W14" s="251">
        <v>0.007</v>
      </c>
      <c r="X14" s="251">
        <f t="shared" si="21"/>
        <v>21.37</v>
      </c>
      <c r="Y14" s="251">
        <v>0.003</v>
      </c>
      <c r="Z14" s="251">
        <f t="shared" si="22"/>
        <v>9.16</v>
      </c>
      <c r="AA14" s="251">
        <v>3053.05</v>
      </c>
      <c r="AB14" s="251">
        <v>0.007</v>
      </c>
      <c r="AC14" s="251">
        <f t="shared" si="23"/>
        <v>21.37</v>
      </c>
      <c r="AD14" s="251">
        <v>3053.05</v>
      </c>
      <c r="AE14" s="251">
        <v>0.002</v>
      </c>
      <c r="AF14" s="251">
        <f t="shared" si="6"/>
        <v>6.11</v>
      </c>
      <c r="AG14" s="251" t="s">
        <v>64</v>
      </c>
      <c r="AH14" s="251">
        <v>0.05</v>
      </c>
      <c r="AI14" s="251">
        <f t="shared" si="24"/>
        <v>79</v>
      </c>
      <c r="AJ14" s="251">
        <v>0.05</v>
      </c>
      <c r="AK14" s="251">
        <f t="shared" si="25"/>
        <v>79</v>
      </c>
      <c r="AL14" s="289"/>
      <c r="AM14" s="251"/>
      <c r="AN14" s="251"/>
      <c r="AO14" s="251"/>
      <c r="AP14" s="252"/>
      <c r="AQ14" s="294"/>
      <c r="AR14" s="294"/>
      <c r="AS14" s="295">
        <f t="shared" si="7"/>
        <v>720.52</v>
      </c>
      <c r="AT14" s="295">
        <f t="shared" si="8"/>
        <v>314.46</v>
      </c>
      <c r="AU14" s="295">
        <f t="shared" si="9"/>
        <v>79</v>
      </c>
      <c r="AV14" s="295">
        <f t="shared" si="10"/>
        <v>79</v>
      </c>
      <c r="AW14" s="295">
        <f t="shared" si="11"/>
        <v>1192.98</v>
      </c>
      <c r="AX14" s="304">
        <f t="shared" si="12"/>
        <v>1034.98</v>
      </c>
      <c r="AY14" s="304"/>
      <c r="AZ14" s="304">
        <f t="shared" si="26"/>
        <v>158</v>
      </c>
      <c r="BA14" s="304"/>
      <c r="BB14" s="305">
        <v>80</v>
      </c>
      <c r="BC14" s="304">
        <f t="shared" si="14"/>
        <v>1272.98</v>
      </c>
      <c r="BD14" s="306"/>
      <c r="BE14" s="323"/>
      <c r="BF14" s="323"/>
      <c r="BG14" s="323"/>
      <c r="BH14" s="323"/>
    </row>
    <row r="15" s="240" customFormat="1" ht="18" customHeight="1" spans="1:60">
      <c r="A15" s="257" t="s">
        <v>55</v>
      </c>
      <c r="B15" s="258" t="s">
        <v>39</v>
      </c>
      <c r="C15" s="259" t="s">
        <v>60</v>
      </c>
      <c r="D15" s="260" t="s">
        <v>41</v>
      </c>
      <c r="E15" s="258" t="s">
        <v>51</v>
      </c>
      <c r="F15" s="261" t="s">
        <v>61</v>
      </c>
      <c r="G15" s="262" t="s">
        <v>62</v>
      </c>
      <c r="H15" s="260" t="s">
        <v>63</v>
      </c>
      <c r="I15" s="260" t="s">
        <v>63</v>
      </c>
      <c r="J15" s="260" t="s">
        <v>63</v>
      </c>
      <c r="K15" s="260" t="s">
        <v>63</v>
      </c>
      <c r="L15" s="257">
        <v>3053.05</v>
      </c>
      <c r="M15" s="257">
        <v>0.16</v>
      </c>
      <c r="N15" s="257">
        <f t="shared" si="17"/>
        <v>488.49</v>
      </c>
      <c r="O15" s="257">
        <v>0.08</v>
      </c>
      <c r="P15" s="257">
        <f t="shared" si="18"/>
        <v>244.24</v>
      </c>
      <c r="Q15" s="257">
        <v>3053.05</v>
      </c>
      <c r="R15" s="257">
        <v>0.06</v>
      </c>
      <c r="S15" s="257">
        <f t="shared" si="19"/>
        <v>183.18</v>
      </c>
      <c r="T15" s="257">
        <v>0.02</v>
      </c>
      <c r="U15" s="257">
        <f t="shared" si="20"/>
        <v>61.06</v>
      </c>
      <c r="V15" s="257">
        <v>3053.05</v>
      </c>
      <c r="W15" s="257">
        <v>0.007</v>
      </c>
      <c r="X15" s="257">
        <f t="shared" si="21"/>
        <v>21.37</v>
      </c>
      <c r="Y15" s="257">
        <v>0.003</v>
      </c>
      <c r="Z15" s="257">
        <f t="shared" si="22"/>
        <v>9.16</v>
      </c>
      <c r="AA15" s="257">
        <v>3053.05</v>
      </c>
      <c r="AB15" s="257">
        <v>0.007</v>
      </c>
      <c r="AC15" s="257">
        <f t="shared" si="23"/>
        <v>21.37</v>
      </c>
      <c r="AD15" s="257">
        <v>3053.05</v>
      </c>
      <c r="AE15" s="257">
        <v>0.002</v>
      </c>
      <c r="AF15" s="257">
        <f t="shared" si="6"/>
        <v>6.11</v>
      </c>
      <c r="AG15" s="257" t="s">
        <v>64</v>
      </c>
      <c r="AH15" s="257">
        <v>0.05</v>
      </c>
      <c r="AI15" s="257">
        <f t="shared" si="24"/>
        <v>79</v>
      </c>
      <c r="AJ15" s="257">
        <v>0.05</v>
      </c>
      <c r="AK15" s="257">
        <f t="shared" si="25"/>
        <v>79</v>
      </c>
      <c r="AL15" s="290"/>
      <c r="AM15" s="257"/>
      <c r="AN15" s="257"/>
      <c r="AO15" s="257"/>
      <c r="AP15" s="258"/>
      <c r="AQ15" s="296"/>
      <c r="AR15" s="296"/>
      <c r="AS15" s="297">
        <f t="shared" si="7"/>
        <v>720.52</v>
      </c>
      <c r="AT15" s="297">
        <f t="shared" si="8"/>
        <v>314.46</v>
      </c>
      <c r="AU15" s="297">
        <f t="shared" si="9"/>
        <v>79</v>
      </c>
      <c r="AV15" s="297">
        <f t="shared" si="10"/>
        <v>79</v>
      </c>
      <c r="AW15" s="297">
        <f t="shared" si="11"/>
        <v>1192.98</v>
      </c>
      <c r="AX15" s="307">
        <f t="shared" si="12"/>
        <v>1034.98</v>
      </c>
      <c r="AY15" s="307"/>
      <c r="AZ15" s="307">
        <f t="shared" si="26"/>
        <v>158</v>
      </c>
      <c r="BA15" s="307"/>
      <c r="BB15" s="308">
        <v>80</v>
      </c>
      <c r="BC15" s="307">
        <f t="shared" si="14"/>
        <v>1272.98</v>
      </c>
      <c r="BD15" s="309"/>
      <c r="BE15" s="324"/>
      <c r="BF15" s="324"/>
      <c r="BG15" s="324"/>
      <c r="BH15" s="324"/>
    </row>
    <row r="16" s="241" customFormat="1" ht="18" customHeight="1" spans="1:60">
      <c r="A16" s="263"/>
      <c r="B16" s="264"/>
      <c r="C16" s="265"/>
      <c r="D16" s="266"/>
      <c r="E16" s="267"/>
      <c r="F16" s="268"/>
      <c r="G16" s="269"/>
      <c r="H16" s="270"/>
      <c r="I16" s="266"/>
      <c r="J16" s="270"/>
      <c r="K16" s="270"/>
      <c r="L16" s="283"/>
      <c r="M16" s="283"/>
      <c r="N16" s="284"/>
      <c r="O16" s="283"/>
      <c r="P16" s="283"/>
      <c r="Q16" s="283"/>
      <c r="R16" s="283"/>
      <c r="S16" s="283"/>
      <c r="T16" s="283"/>
      <c r="U16" s="283"/>
      <c r="V16" s="286"/>
      <c r="W16" s="286"/>
      <c r="X16" s="287"/>
      <c r="Y16" s="286"/>
      <c r="Z16" s="283"/>
      <c r="AA16" s="283"/>
      <c r="AB16" s="283"/>
      <c r="AC16" s="283"/>
      <c r="AD16" s="283"/>
      <c r="AE16" s="283"/>
      <c r="AF16" s="284"/>
      <c r="AG16" s="283"/>
      <c r="AH16" s="283"/>
      <c r="AI16" s="283"/>
      <c r="AJ16" s="283"/>
      <c r="AK16" s="283"/>
      <c r="AL16" s="291"/>
      <c r="AM16" s="283"/>
      <c r="AN16" s="283"/>
      <c r="AO16" s="283"/>
      <c r="AP16" s="298"/>
      <c r="AQ16" s="299"/>
      <c r="AR16" s="283"/>
      <c r="AS16" s="300"/>
      <c r="AT16" s="300"/>
      <c r="AU16" s="300"/>
      <c r="AV16" s="300"/>
      <c r="AW16" s="300"/>
      <c r="AX16" s="310"/>
      <c r="AY16" s="311"/>
      <c r="AZ16" s="310"/>
      <c r="BA16" s="311"/>
      <c r="BB16" s="312"/>
      <c r="BC16" s="310"/>
      <c r="BD16" s="313"/>
      <c r="BE16" s="244"/>
      <c r="BF16" s="244"/>
      <c r="BG16" s="244"/>
      <c r="BH16" s="244"/>
    </row>
    <row r="17" ht="14.25" spans="1:56">
      <c r="A17" s="271" t="s">
        <v>66</v>
      </c>
      <c r="B17" s="272"/>
      <c r="C17" s="273"/>
      <c r="D17" s="273"/>
      <c r="E17" s="274"/>
      <c r="F17" s="273"/>
      <c r="G17" s="273"/>
      <c r="H17" s="273"/>
      <c r="I17" s="273"/>
      <c r="J17" s="273"/>
      <c r="K17" s="273"/>
      <c r="L17" s="274">
        <f t="shared" ref="L17:BC17" si="27">SUM(L3:L15)</f>
        <v>33521.2</v>
      </c>
      <c r="M17" s="274">
        <f t="shared" si="27"/>
        <v>1.54</v>
      </c>
      <c r="N17" s="274">
        <f t="shared" si="27"/>
        <v>5135.22</v>
      </c>
      <c r="O17" s="274">
        <f t="shared" si="27"/>
        <v>0.8</v>
      </c>
      <c r="P17" s="274">
        <f t="shared" si="27"/>
        <v>2681.68</v>
      </c>
      <c r="Q17" s="274">
        <f t="shared" si="27"/>
        <v>40637.2</v>
      </c>
      <c r="R17" s="274">
        <f t="shared" si="27"/>
        <v>0.645</v>
      </c>
      <c r="S17" s="274">
        <f t="shared" si="27"/>
        <v>2543.61</v>
      </c>
      <c r="T17" s="274">
        <f t="shared" si="27"/>
        <v>0.2</v>
      </c>
      <c r="U17" s="274">
        <f t="shared" si="27"/>
        <v>812.74</v>
      </c>
      <c r="V17" s="274">
        <f t="shared" si="27"/>
        <v>33521.2</v>
      </c>
      <c r="W17" s="274">
        <f t="shared" si="27"/>
        <v>0.0586</v>
      </c>
      <c r="X17" s="274">
        <f t="shared" si="27"/>
        <v>191.29</v>
      </c>
      <c r="Y17" s="274">
        <f t="shared" si="27"/>
        <v>0.027</v>
      </c>
      <c r="Z17" s="274">
        <f t="shared" si="27"/>
        <v>89.17</v>
      </c>
      <c r="AA17" s="274">
        <f t="shared" si="27"/>
        <v>30737.2</v>
      </c>
      <c r="AB17" s="274">
        <f t="shared" si="27"/>
        <v>0.0535</v>
      </c>
      <c r="AC17" s="274">
        <f t="shared" si="27"/>
        <v>242.95</v>
      </c>
      <c r="AD17" s="274">
        <f t="shared" si="27"/>
        <v>35930.2</v>
      </c>
      <c r="AE17" s="274">
        <f t="shared" si="27"/>
        <v>0.0236</v>
      </c>
      <c r="AF17" s="274">
        <f t="shared" si="27"/>
        <v>66.32</v>
      </c>
      <c r="AG17" s="274">
        <f t="shared" si="27"/>
        <v>9000</v>
      </c>
      <c r="AH17" s="274">
        <f t="shared" si="27"/>
        <v>0.5</v>
      </c>
      <c r="AI17" s="274">
        <f t="shared" si="27"/>
        <v>1216</v>
      </c>
      <c r="AJ17" s="274">
        <f t="shared" si="27"/>
        <v>0.38</v>
      </c>
      <c r="AK17" s="274">
        <f t="shared" si="27"/>
        <v>856</v>
      </c>
      <c r="AL17" s="274">
        <f t="shared" si="27"/>
        <v>0</v>
      </c>
      <c r="AM17" s="274">
        <f t="shared" si="27"/>
        <v>0</v>
      </c>
      <c r="AN17" s="274">
        <f t="shared" si="27"/>
        <v>0</v>
      </c>
      <c r="AO17" s="274">
        <f t="shared" si="27"/>
        <v>0</v>
      </c>
      <c r="AP17" s="274">
        <f t="shared" si="27"/>
        <v>0</v>
      </c>
      <c r="AQ17" s="274">
        <f t="shared" si="27"/>
        <v>95.28</v>
      </c>
      <c r="AR17" s="274">
        <f t="shared" si="27"/>
        <v>96</v>
      </c>
      <c r="AS17" s="274">
        <f t="shared" si="27"/>
        <v>8274.67</v>
      </c>
      <c r="AT17" s="274">
        <f t="shared" si="27"/>
        <v>3583.59</v>
      </c>
      <c r="AU17" s="274">
        <f t="shared" si="27"/>
        <v>1216</v>
      </c>
      <c r="AV17" s="274">
        <f t="shared" si="27"/>
        <v>856</v>
      </c>
      <c r="AW17" s="274">
        <f t="shared" si="27"/>
        <v>13930.26</v>
      </c>
      <c r="AX17" s="274">
        <f t="shared" si="27"/>
        <v>11858.26</v>
      </c>
      <c r="AY17" s="274">
        <f t="shared" si="27"/>
        <v>0</v>
      </c>
      <c r="AZ17" s="274">
        <f t="shared" si="27"/>
        <v>2072</v>
      </c>
      <c r="BA17" s="274">
        <f t="shared" si="27"/>
        <v>0</v>
      </c>
      <c r="BB17" s="274">
        <f t="shared" si="27"/>
        <v>800</v>
      </c>
      <c r="BC17" s="274">
        <f t="shared" si="27"/>
        <v>14730.26</v>
      </c>
      <c r="BD17" s="314"/>
    </row>
    <row r="18" ht="15" spans="1:56">
      <c r="A18" s="275" t="s">
        <v>23</v>
      </c>
      <c r="B18" s="276"/>
      <c r="C18" s="277"/>
      <c r="D18" s="277"/>
      <c r="E18" s="278"/>
      <c r="F18" s="278"/>
      <c r="G18" s="278"/>
      <c r="H18" s="278"/>
      <c r="I18" s="278"/>
      <c r="J18" s="278"/>
      <c r="K18" s="278"/>
      <c r="L18" s="285">
        <f t="shared" ref="L18:AX18" si="28">SUM(L17:L17)</f>
        <v>33521.2</v>
      </c>
      <c r="M18" s="285">
        <f t="shared" si="28"/>
        <v>1.54</v>
      </c>
      <c r="N18" s="285">
        <f t="shared" si="28"/>
        <v>5135.22</v>
      </c>
      <c r="O18" s="285">
        <f t="shared" si="28"/>
        <v>0.8</v>
      </c>
      <c r="P18" s="285">
        <f t="shared" si="28"/>
        <v>2681.68</v>
      </c>
      <c r="Q18" s="285">
        <f t="shared" si="28"/>
        <v>40637.2</v>
      </c>
      <c r="R18" s="285">
        <f t="shared" si="28"/>
        <v>0.645</v>
      </c>
      <c r="S18" s="285">
        <f t="shared" si="28"/>
        <v>2543.61</v>
      </c>
      <c r="T18" s="285">
        <f t="shared" si="28"/>
        <v>0.2</v>
      </c>
      <c r="U18" s="285">
        <f t="shared" si="28"/>
        <v>812.74</v>
      </c>
      <c r="V18" s="285">
        <f t="shared" si="28"/>
        <v>33521.2</v>
      </c>
      <c r="W18" s="285">
        <f t="shared" si="28"/>
        <v>0.0586</v>
      </c>
      <c r="X18" s="285">
        <f t="shared" si="28"/>
        <v>191.29</v>
      </c>
      <c r="Y18" s="285">
        <f t="shared" si="28"/>
        <v>0.027</v>
      </c>
      <c r="Z18" s="285">
        <f t="shared" si="28"/>
        <v>89.17</v>
      </c>
      <c r="AA18" s="285">
        <f t="shared" si="28"/>
        <v>30737.2</v>
      </c>
      <c r="AB18" s="285">
        <f t="shared" si="28"/>
        <v>0.0535</v>
      </c>
      <c r="AC18" s="285">
        <f t="shared" si="28"/>
        <v>242.95</v>
      </c>
      <c r="AD18" s="285">
        <f t="shared" si="28"/>
        <v>35930.2</v>
      </c>
      <c r="AE18" s="285">
        <f t="shared" si="28"/>
        <v>0.0236</v>
      </c>
      <c r="AF18" s="285">
        <f t="shared" si="28"/>
        <v>66.32</v>
      </c>
      <c r="AG18" s="285">
        <f t="shared" si="28"/>
        <v>9000</v>
      </c>
      <c r="AH18" s="285">
        <f t="shared" si="28"/>
        <v>0.5</v>
      </c>
      <c r="AI18" s="285">
        <f t="shared" si="28"/>
        <v>1216</v>
      </c>
      <c r="AJ18" s="285">
        <f t="shared" si="28"/>
        <v>0.38</v>
      </c>
      <c r="AK18" s="285">
        <f t="shared" si="28"/>
        <v>856</v>
      </c>
      <c r="AL18" s="285">
        <f t="shared" si="28"/>
        <v>0</v>
      </c>
      <c r="AM18" s="285">
        <f t="shared" si="28"/>
        <v>0</v>
      </c>
      <c r="AN18" s="285">
        <f t="shared" si="28"/>
        <v>0</v>
      </c>
      <c r="AO18" s="285">
        <f t="shared" si="28"/>
        <v>0</v>
      </c>
      <c r="AP18" s="285">
        <f t="shared" si="28"/>
        <v>0</v>
      </c>
      <c r="AQ18" s="285">
        <f t="shared" si="28"/>
        <v>95.28</v>
      </c>
      <c r="AR18" s="285">
        <f t="shared" si="28"/>
        <v>96</v>
      </c>
      <c r="AS18" s="301">
        <f t="shared" si="28"/>
        <v>8274.67</v>
      </c>
      <c r="AT18" s="301">
        <f t="shared" si="28"/>
        <v>3583.59</v>
      </c>
      <c r="AU18" s="301">
        <f t="shared" si="28"/>
        <v>1216</v>
      </c>
      <c r="AV18" s="301">
        <f t="shared" si="28"/>
        <v>856</v>
      </c>
      <c r="AW18" s="301">
        <f t="shared" si="28"/>
        <v>13930.26</v>
      </c>
      <c r="AX18" s="315">
        <f t="shared" si="28"/>
        <v>11858.26</v>
      </c>
      <c r="AY18" s="315"/>
      <c r="AZ18" s="315">
        <f t="shared" ref="AZ18:BC18" si="29">SUM(AZ17:AZ17)</f>
        <v>2072</v>
      </c>
      <c r="BA18" s="315"/>
      <c r="BB18" s="285">
        <f t="shared" si="29"/>
        <v>800</v>
      </c>
      <c r="BC18" s="285">
        <f t="shared" si="29"/>
        <v>14730.26</v>
      </c>
      <c r="BD18" s="316"/>
    </row>
    <row r="19" s="242" customFormat="1" spans="1:56">
      <c r="A19" s="279"/>
      <c r="B19" s="279"/>
      <c r="C19" s="279"/>
      <c r="D19" s="279"/>
      <c r="E19" s="279"/>
      <c r="F19" s="280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79"/>
      <c r="AJ19" s="279"/>
      <c r="AK19" s="279"/>
      <c r="AL19" s="279"/>
      <c r="AM19" s="279"/>
      <c r="AN19" s="279"/>
      <c r="AO19" s="279"/>
      <c r="AP19" s="279"/>
      <c r="AQ19" s="279"/>
      <c r="AR19" s="279"/>
      <c r="AS19" s="302"/>
      <c r="AT19" s="302"/>
      <c r="AU19" s="302"/>
      <c r="AV19" s="302"/>
      <c r="AW19" s="302"/>
      <c r="AX19" s="279"/>
      <c r="AY19" s="279"/>
      <c r="AZ19" s="279"/>
      <c r="BA19" s="279"/>
      <c r="BB19" s="279"/>
      <c r="BC19" s="279"/>
      <c r="BD19" s="317"/>
    </row>
    <row r="20" s="243" customFormat="1" spans="1:56">
      <c r="A20" s="244"/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44"/>
      <c r="AK20" s="244"/>
      <c r="AL20" s="244"/>
      <c r="AM20" s="244"/>
      <c r="AN20" s="244"/>
      <c r="AO20" s="244"/>
      <c r="AP20" s="244"/>
      <c r="AQ20" s="244"/>
      <c r="AR20" s="244"/>
      <c r="AS20" s="245"/>
      <c r="AT20" s="245"/>
      <c r="AU20" s="245"/>
      <c r="AV20" s="245"/>
      <c r="AW20" s="245"/>
      <c r="AX20" s="244"/>
      <c r="AY20" s="244"/>
      <c r="AZ20" s="244"/>
      <c r="BA20" s="244"/>
      <c r="BB20" s="244"/>
      <c r="BC20" s="244"/>
      <c r="BD20" s="246"/>
    </row>
    <row r="22" spans="50:55">
      <c r="AX22" s="318"/>
      <c r="AY22" s="318"/>
      <c r="BC22" s="319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1" priority="2" stopIfTrue="1"/>
  </conditionalFormatting>
  <conditionalFormatting sqref="K1:L1">
    <cfRule type="duplicateValues" dxfId="1" priority="3" stopIfTrue="1"/>
  </conditionalFormatting>
  <conditionalFormatting sqref="Q1">
    <cfRule type="duplicateValues" dxfId="1" priority="4" stopIfTrue="1"/>
  </conditionalFormatting>
  <conditionalFormatting sqref="V1">
    <cfRule type="duplicateValues" dxfId="1" priority="5" stopIfTrue="1"/>
  </conditionalFormatting>
  <conditionalFormatting sqref="AG1">
    <cfRule type="duplicateValues" dxfId="1" priority="6" stopIfTrue="1"/>
  </conditionalFormatting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T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$A4:$XFD16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70">
        <f>ROUND(SUM(M4:P4),2)</f>
        <v>621.03</v>
      </c>
      <c r="R4" s="70">
        <v>0</v>
      </c>
      <c r="S4" s="92">
        <f>L4</f>
        <v>8000</v>
      </c>
      <c r="T4" s="93">
        <v>5000</v>
      </c>
      <c r="U4" s="93">
        <f>Q4</f>
        <v>621.03</v>
      </c>
      <c r="V4" s="70"/>
      <c r="W4" s="70"/>
      <c r="X4" s="70"/>
      <c r="Y4" s="70"/>
      <c r="Z4" s="70"/>
      <c r="AA4" s="70"/>
      <c r="AB4" s="92">
        <f>ROUND(SUM(V4:AA4),2)</f>
        <v>0</v>
      </c>
      <c r="AC4" s="92">
        <f>R4</f>
        <v>0</v>
      </c>
      <c r="AD4" s="98">
        <f>ROUND(S4-T4-U4-AB4-AC4,2)</f>
        <v>2378.97</v>
      </c>
      <c r="AE4" s="99">
        <f>ROUND(MAX((AD4)*{0.03;0.1;0.2;0.25;0.3;0.35;0.45}-{0;2520;16920;31920;52920;85920;181920},0),2)</f>
        <v>71.37</v>
      </c>
      <c r="AF4" s="100">
        <v>0</v>
      </c>
      <c r="AG4" s="100">
        <f>IF((AE4-AF4)&lt;0,0,AE4-AF4)</f>
        <v>71.37</v>
      </c>
      <c r="AH4" s="109">
        <f>ROUND(IF((L4-Q4-AG4)&lt;0,0,(L4-Q4-AG4)),2)</f>
        <v>7307.6</v>
      </c>
      <c r="AI4" s="108"/>
      <c r="AJ4" s="109">
        <f>AH4+AI4</f>
        <v>7307.6</v>
      </c>
      <c r="AK4" s="109"/>
      <c r="AL4" s="109">
        <f>AJ4+AG4+AK4</f>
        <v>7378.97</v>
      </c>
      <c r="AM4" s="109"/>
      <c r="AN4" s="109"/>
      <c r="AO4" s="109"/>
      <c r="AP4" s="109"/>
      <c r="AQ4" s="109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144</v>
      </c>
      <c r="C5" s="37" t="s">
        <v>148</v>
      </c>
      <c r="D5" s="37" t="s">
        <v>145</v>
      </c>
      <c r="E5" s="328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70">
        <f t="shared" ref="Q5:Q19" si="0">ROUND(SUM(M5:P5),2)</f>
        <v>662.24</v>
      </c>
      <c r="R5" s="70">
        <v>0</v>
      </c>
      <c r="S5" s="92">
        <f t="shared" ref="S5:S21" si="1">L5</f>
        <v>6100</v>
      </c>
      <c r="T5" s="93">
        <v>5000</v>
      </c>
      <c r="U5" s="93">
        <f t="shared" ref="U5:U21" si="2">Q5</f>
        <v>662.24</v>
      </c>
      <c r="V5" s="70"/>
      <c r="W5" s="70"/>
      <c r="X5" s="70"/>
      <c r="Y5" s="70"/>
      <c r="Z5" s="70"/>
      <c r="AA5" s="70"/>
      <c r="AB5" s="92">
        <f t="shared" ref="AB5:AB21" si="3">ROUND(SUM(V5:AA5),2)</f>
        <v>0</v>
      </c>
      <c r="AC5" s="92">
        <f t="shared" ref="AC5:AC21" si="4">R5</f>
        <v>0</v>
      </c>
      <c r="AD5" s="98">
        <f t="shared" ref="AD5:AD21" si="5">ROUND(S5-T5-U5-AB5-AC5,2)</f>
        <v>437.76</v>
      </c>
      <c r="AE5" s="99">
        <f>ROUND(MAX((AD5)*{0.03;0.1;0.2;0.25;0.3;0.35;0.45}-{0;2520;16920;31920;52920;85920;181920},0),2)</f>
        <v>13.13</v>
      </c>
      <c r="AF5" s="100">
        <v>0</v>
      </c>
      <c r="AG5" s="100">
        <f t="shared" ref="AG5:AG21" si="6">IF((AE5-AF5)&lt;0,0,AE5-AF5)</f>
        <v>13.13</v>
      </c>
      <c r="AH5" s="109">
        <f t="shared" ref="AH5:AH21" si="7">ROUND(IF((L5-Q5-AG5)&lt;0,0,(L5-Q5-AG5)),2)</f>
        <v>5424.63</v>
      </c>
      <c r="AI5" s="108"/>
      <c r="AJ5" s="109">
        <f t="shared" ref="AJ5:AJ21" si="8">AH5+AI5</f>
        <v>5424.63</v>
      </c>
      <c r="AK5" s="109"/>
      <c r="AL5" s="109">
        <f t="shared" ref="AL5:AL21" si="9">AJ5+AG5+AK5</f>
        <v>5437.76</v>
      </c>
      <c r="AM5" s="109"/>
      <c r="AN5" s="109"/>
      <c r="AO5" s="109"/>
      <c r="AP5" s="109"/>
      <c r="AQ5" s="109"/>
      <c r="AR5" s="117" t="str">
        <f t="shared" ref="AR5:AR21" si="10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 t="shared" ref="AS5:AS21" si="11">IF(SUMPRODUCT(N(E$1:E$18=E5))&gt;1,"重复","不")</f>
        <v>不</v>
      </c>
      <c r="AT5" s="117" t="str">
        <f t="shared" ref="AT5:AT21" si="12">IF(SUMPRODUCT(N(AO$1:AO$18=AO5))&gt;1,"重复","不")</f>
        <v>重复</v>
      </c>
    </row>
    <row r="6" s="12" customFormat="1" ht="18" customHeight="1" spans="1:46">
      <c r="A6" s="36">
        <v>3</v>
      </c>
      <c r="B6" s="37" t="s">
        <v>144</v>
      </c>
      <c r="C6" s="37" t="s">
        <v>151</v>
      </c>
      <c r="D6" s="37" t="s">
        <v>145</v>
      </c>
      <c r="E6" s="328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70">
        <f t="shared" si="0"/>
        <v>963.32</v>
      </c>
      <c r="R6" s="70">
        <v>0</v>
      </c>
      <c r="S6" s="92">
        <f t="shared" si="1"/>
        <v>30060</v>
      </c>
      <c r="T6" s="93">
        <v>5000</v>
      </c>
      <c r="U6" s="93">
        <f t="shared" si="2"/>
        <v>963.32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24096.68</v>
      </c>
      <c r="AE6" s="99">
        <f>ROUND(MAX((AD6)*{0.03;0.1;0.2;0.25;0.3;0.35;0.45}-{0;2520;16920;31920;52920;85920;181920},0),2)</f>
        <v>722.9</v>
      </c>
      <c r="AF6" s="100">
        <v>0</v>
      </c>
      <c r="AG6" s="100">
        <f t="shared" si="6"/>
        <v>722.9</v>
      </c>
      <c r="AH6" s="109">
        <f t="shared" si="7"/>
        <v>28373.78</v>
      </c>
      <c r="AI6" s="108"/>
      <c r="AJ6" s="109">
        <f t="shared" si="8"/>
        <v>28373.78</v>
      </c>
      <c r="AK6" s="109"/>
      <c r="AL6" s="109">
        <f t="shared" si="9"/>
        <v>29096.68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 t="shared" si="11"/>
        <v>不</v>
      </c>
      <c r="AT6" s="117" t="str">
        <f t="shared" si="12"/>
        <v>重复</v>
      </c>
    </row>
    <row r="7" s="12" customFormat="1" ht="18" customHeight="1" spans="1:46">
      <c r="A7" s="36">
        <v>4</v>
      </c>
      <c r="B7" s="37" t="s">
        <v>144</v>
      </c>
      <c r="C7" s="37" t="s">
        <v>156</v>
      </c>
      <c r="D7" s="37" t="s">
        <v>145</v>
      </c>
      <c r="E7" s="328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70">
        <f t="shared" si="0"/>
        <v>550</v>
      </c>
      <c r="R7" s="70">
        <v>0</v>
      </c>
      <c r="S7" s="92">
        <f t="shared" si="1"/>
        <v>9000</v>
      </c>
      <c r="T7" s="93">
        <v>5000</v>
      </c>
      <c r="U7" s="93">
        <f t="shared" si="2"/>
        <v>550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3450</v>
      </c>
      <c r="AE7" s="99">
        <f>ROUND(MAX((AD7)*{0.03;0.1;0.2;0.25;0.3;0.35;0.45}-{0;2520;16920;31920;52920;85920;181920},0),2)</f>
        <v>103.5</v>
      </c>
      <c r="AF7" s="100">
        <v>0</v>
      </c>
      <c r="AG7" s="100">
        <f t="shared" si="6"/>
        <v>103.5</v>
      </c>
      <c r="AH7" s="109">
        <f t="shared" si="7"/>
        <v>8346.5</v>
      </c>
      <c r="AI7" s="108"/>
      <c r="AJ7" s="109">
        <f t="shared" si="8"/>
        <v>8346.5</v>
      </c>
      <c r="AK7" s="109"/>
      <c r="AL7" s="109">
        <f t="shared" si="9"/>
        <v>8450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 t="shared" si="11"/>
        <v>不</v>
      </c>
      <c r="AT7" s="117" t="str">
        <f t="shared" si="12"/>
        <v>重复</v>
      </c>
    </row>
    <row r="8" s="12" customFormat="1" ht="18" customHeight="1" spans="1:46">
      <c r="A8" s="36">
        <v>5</v>
      </c>
      <c r="B8" s="37" t="s">
        <v>144</v>
      </c>
      <c r="C8" s="37" t="s">
        <v>160</v>
      </c>
      <c r="D8" s="37" t="s">
        <v>145</v>
      </c>
      <c r="E8" s="328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70">
        <f t="shared" si="0"/>
        <v>793.84</v>
      </c>
      <c r="R8" s="70">
        <v>0</v>
      </c>
      <c r="S8" s="92">
        <f t="shared" si="1"/>
        <v>10500</v>
      </c>
      <c r="T8" s="93">
        <v>5000</v>
      </c>
      <c r="U8" s="93">
        <f t="shared" si="2"/>
        <v>793.84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4706.16</v>
      </c>
      <c r="AE8" s="99">
        <f>ROUND(MAX((AD8)*{0.03;0.1;0.2;0.25;0.3;0.35;0.45}-{0;2520;16920;31920;52920;85920;181920},0),2)</f>
        <v>141.18</v>
      </c>
      <c r="AF8" s="100">
        <v>0</v>
      </c>
      <c r="AG8" s="100">
        <f t="shared" si="6"/>
        <v>141.18</v>
      </c>
      <c r="AH8" s="109">
        <f t="shared" si="7"/>
        <v>9564.98</v>
      </c>
      <c r="AI8" s="108"/>
      <c r="AJ8" s="109">
        <f t="shared" si="8"/>
        <v>9564.98</v>
      </c>
      <c r="AK8" s="109"/>
      <c r="AL8" s="109">
        <f t="shared" si="9"/>
        <v>9706.16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 t="shared" si="11"/>
        <v>不</v>
      </c>
      <c r="AT8" s="117" t="str">
        <f t="shared" si="12"/>
        <v>重复</v>
      </c>
    </row>
    <row r="9" s="12" customFormat="1" ht="18" customHeight="1" spans="1:46">
      <c r="A9" s="36">
        <v>6</v>
      </c>
      <c r="B9" s="37" t="s">
        <v>144</v>
      </c>
      <c r="C9" s="37" t="s">
        <v>162</v>
      </c>
      <c r="D9" s="37" t="s">
        <v>145</v>
      </c>
      <c r="E9" s="328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322.16</v>
      </c>
      <c r="N9" s="71">
        <v>95.54</v>
      </c>
      <c r="O9" s="71">
        <v>12.08</v>
      </c>
      <c r="P9" s="71">
        <v>100</v>
      </c>
      <c r="Q9" s="70">
        <f t="shared" si="0"/>
        <v>529.78</v>
      </c>
      <c r="R9" s="70">
        <v>0</v>
      </c>
      <c r="S9" s="92">
        <f t="shared" si="1"/>
        <v>6500</v>
      </c>
      <c r="T9" s="93">
        <v>5000</v>
      </c>
      <c r="U9" s="93">
        <f t="shared" si="2"/>
        <v>529.78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970.22</v>
      </c>
      <c r="AE9" s="99">
        <f>ROUND(MAX((AD9)*{0.03;0.1;0.2;0.25;0.3;0.35;0.45}-{0;2520;16920;31920;52920;85920;181920},0),2)</f>
        <v>29.11</v>
      </c>
      <c r="AF9" s="100">
        <v>0</v>
      </c>
      <c r="AG9" s="100">
        <f t="shared" si="6"/>
        <v>29.11</v>
      </c>
      <c r="AH9" s="109">
        <f t="shared" si="7"/>
        <v>5941.11</v>
      </c>
      <c r="AI9" s="108"/>
      <c r="AJ9" s="109">
        <f t="shared" si="8"/>
        <v>5941.11</v>
      </c>
      <c r="AK9" s="109"/>
      <c r="AL9" s="109">
        <f t="shared" si="9"/>
        <v>5970.22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 t="shared" si="11"/>
        <v>不</v>
      </c>
      <c r="AT9" s="117" t="str">
        <f t="shared" si="12"/>
        <v>重复</v>
      </c>
    </row>
    <row r="10" s="12" customFormat="1" ht="18" customHeight="1" spans="1:46">
      <c r="A10" s="36">
        <v>7</v>
      </c>
      <c r="B10" s="37" t="s">
        <v>144</v>
      </c>
      <c r="C10" s="37" t="s">
        <v>165</v>
      </c>
      <c r="D10" s="37" t="s">
        <v>145</v>
      </c>
      <c r="E10" s="328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70">
        <f t="shared" si="0"/>
        <v>664.37</v>
      </c>
      <c r="R10" s="70">
        <v>0</v>
      </c>
      <c r="S10" s="92">
        <f t="shared" si="1"/>
        <v>4447.97</v>
      </c>
      <c r="T10" s="93">
        <v>5000</v>
      </c>
      <c r="U10" s="93">
        <f t="shared" si="2"/>
        <v>664.37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-1216.4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3783.6</v>
      </c>
      <c r="AI10" s="108"/>
      <c r="AJ10" s="109">
        <f t="shared" si="8"/>
        <v>3783.6</v>
      </c>
      <c r="AK10" s="109"/>
      <c r="AL10" s="109">
        <f t="shared" si="9"/>
        <v>3783.6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 t="shared" si="11"/>
        <v>不</v>
      </c>
      <c r="AT10" s="117" t="str">
        <f t="shared" si="12"/>
        <v>重复</v>
      </c>
    </row>
    <row r="11" s="12" customFormat="1" ht="18" customHeight="1" spans="1:46">
      <c r="A11" s="36">
        <v>8</v>
      </c>
      <c r="B11" s="37" t="s">
        <v>144</v>
      </c>
      <c r="C11" s="37" t="s">
        <v>170</v>
      </c>
      <c r="D11" s="37" t="s">
        <v>145</v>
      </c>
      <c r="E11" s="328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70">
        <f t="shared" si="0"/>
        <v>580.84</v>
      </c>
      <c r="R11" s="70">
        <v>0</v>
      </c>
      <c r="S11" s="92">
        <f t="shared" si="1"/>
        <v>9000</v>
      </c>
      <c r="T11" s="93">
        <v>5000</v>
      </c>
      <c r="U11" s="93">
        <f t="shared" si="2"/>
        <v>580.84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3419.16</v>
      </c>
      <c r="AE11" s="99">
        <f>ROUND(MAX((AD11)*{0.03;0.1;0.2;0.25;0.3;0.35;0.45}-{0;2520;16920;31920;52920;85920;181920},0),2)</f>
        <v>102.57</v>
      </c>
      <c r="AF11" s="100">
        <v>0</v>
      </c>
      <c r="AG11" s="100">
        <f t="shared" si="6"/>
        <v>102.57</v>
      </c>
      <c r="AH11" s="109">
        <f t="shared" si="7"/>
        <v>8316.59</v>
      </c>
      <c r="AI11" s="108"/>
      <c r="AJ11" s="109">
        <f t="shared" si="8"/>
        <v>8316.59</v>
      </c>
      <c r="AK11" s="109"/>
      <c r="AL11" s="109">
        <f t="shared" si="9"/>
        <v>8419.16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 t="shared" si="11"/>
        <v>不</v>
      </c>
      <c r="AT11" s="117" t="str">
        <f t="shared" si="12"/>
        <v>重复</v>
      </c>
    </row>
    <row r="12" s="12" customFormat="1" ht="18" customHeight="1" spans="1:46">
      <c r="A12" s="36">
        <v>9</v>
      </c>
      <c r="B12" s="37" t="s">
        <v>144</v>
      </c>
      <c r="C12" s="37" t="s">
        <v>174</v>
      </c>
      <c r="D12" s="37" t="s">
        <v>145</v>
      </c>
      <c r="E12" s="328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70">
        <f t="shared" si="0"/>
        <v>793.84</v>
      </c>
      <c r="R12" s="70">
        <v>0</v>
      </c>
      <c r="S12" s="92">
        <f t="shared" si="1"/>
        <v>7500</v>
      </c>
      <c r="T12" s="93">
        <v>5000</v>
      </c>
      <c r="U12" s="93">
        <f t="shared" si="2"/>
        <v>793.84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1706.16</v>
      </c>
      <c r="AE12" s="99">
        <f>ROUND(MAX((AD12)*{0.03;0.1;0.2;0.25;0.3;0.35;0.45}-{0;2520;16920;31920;52920;85920;181920},0),2)</f>
        <v>51.18</v>
      </c>
      <c r="AF12" s="100">
        <v>0</v>
      </c>
      <c r="AG12" s="100">
        <f t="shared" si="6"/>
        <v>51.18</v>
      </c>
      <c r="AH12" s="109">
        <f t="shared" si="7"/>
        <v>6654.98</v>
      </c>
      <c r="AI12" s="108"/>
      <c r="AJ12" s="109">
        <f t="shared" si="8"/>
        <v>6654.98</v>
      </c>
      <c r="AK12" s="109"/>
      <c r="AL12" s="109">
        <f t="shared" si="9"/>
        <v>6706.16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 t="shared" si="11"/>
        <v>不</v>
      </c>
      <c r="AT12" s="117" t="str">
        <f t="shared" si="12"/>
        <v>重复</v>
      </c>
    </row>
    <row r="13" s="12" customFormat="1" ht="18" customHeight="1" spans="1:46">
      <c r="A13" s="36">
        <v>10</v>
      </c>
      <c r="B13" s="37" t="s">
        <v>144</v>
      </c>
      <c r="C13" s="37" t="s">
        <v>176</v>
      </c>
      <c r="D13" s="37" t="s">
        <v>145</v>
      </c>
      <c r="E13" s="328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70">
        <f t="shared" si="0"/>
        <v>793.84</v>
      </c>
      <c r="R13" s="70">
        <v>0</v>
      </c>
      <c r="S13" s="92">
        <f t="shared" si="1"/>
        <v>8000</v>
      </c>
      <c r="T13" s="93">
        <v>5000</v>
      </c>
      <c r="U13" s="93">
        <f t="shared" si="2"/>
        <v>793.84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2206.16</v>
      </c>
      <c r="AE13" s="99">
        <f>ROUND(MAX((AD13)*{0.03;0.1;0.2;0.25;0.3;0.35;0.45}-{0;2520;16920;31920;52920;85920;181920},0),2)</f>
        <v>66.18</v>
      </c>
      <c r="AF13" s="100">
        <v>0</v>
      </c>
      <c r="AG13" s="100">
        <f t="shared" si="6"/>
        <v>66.18</v>
      </c>
      <c r="AH13" s="109">
        <f t="shared" si="7"/>
        <v>7139.98</v>
      </c>
      <c r="AI13" s="108"/>
      <c r="AJ13" s="109">
        <f t="shared" si="8"/>
        <v>7139.98</v>
      </c>
      <c r="AK13" s="109"/>
      <c r="AL13" s="109">
        <f t="shared" si="9"/>
        <v>7206.16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 t="shared" si="11"/>
        <v>不</v>
      </c>
      <c r="AT13" s="117" t="str">
        <f t="shared" si="12"/>
        <v>重复</v>
      </c>
    </row>
    <row r="14" s="12" customFormat="1" ht="18" customHeight="1" spans="1:46">
      <c r="A14" s="36">
        <v>11</v>
      </c>
      <c r="B14" s="37" t="s">
        <v>144</v>
      </c>
      <c r="C14" s="37" t="s">
        <v>183</v>
      </c>
      <c r="D14" s="37" t="s">
        <v>145</v>
      </c>
      <c r="E14" s="328" t="s">
        <v>184</v>
      </c>
      <c r="F14" s="38" t="s">
        <v>150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70">
        <f t="shared" si="0"/>
        <v>546.84</v>
      </c>
      <c r="R14" s="70">
        <v>0</v>
      </c>
      <c r="S14" s="92">
        <f t="shared" si="1"/>
        <v>6000</v>
      </c>
      <c r="T14" s="93">
        <v>5000</v>
      </c>
      <c r="U14" s="93">
        <f t="shared" si="2"/>
        <v>546.84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453.16</v>
      </c>
      <c r="AE14" s="99">
        <f>ROUND(MAX((AD14)*{0.03;0.1;0.2;0.25;0.3;0.35;0.45}-{0;2520;16920;31920;52920;85920;181920},0),2)</f>
        <v>13.59</v>
      </c>
      <c r="AF14" s="100">
        <v>0</v>
      </c>
      <c r="AG14" s="100">
        <f t="shared" si="6"/>
        <v>13.59</v>
      </c>
      <c r="AH14" s="109">
        <f t="shared" si="7"/>
        <v>5439.57</v>
      </c>
      <c r="AI14" s="108"/>
      <c r="AJ14" s="109">
        <f t="shared" si="8"/>
        <v>5439.57</v>
      </c>
      <c r="AK14" s="109"/>
      <c r="AL14" s="109">
        <f t="shared" si="9"/>
        <v>5453.16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 t="shared" si="11"/>
        <v>不</v>
      </c>
      <c r="AT14" s="117" t="str">
        <f t="shared" si="12"/>
        <v>重复</v>
      </c>
    </row>
    <row r="15" s="12" customFormat="1" ht="18" customHeight="1" spans="1:46">
      <c r="A15" s="36">
        <v>12</v>
      </c>
      <c r="B15" s="37" t="s">
        <v>144</v>
      </c>
      <c r="C15" s="37" t="s">
        <v>185</v>
      </c>
      <c r="D15" s="37" t="s">
        <v>145</v>
      </c>
      <c r="E15" s="328" t="s">
        <v>186</v>
      </c>
      <c r="F15" s="38" t="s">
        <v>146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70">
        <f t="shared" si="0"/>
        <v>550</v>
      </c>
      <c r="R15" s="70">
        <v>0</v>
      </c>
      <c r="S15" s="92">
        <f t="shared" si="1"/>
        <v>10000</v>
      </c>
      <c r="T15" s="93">
        <v>5000</v>
      </c>
      <c r="U15" s="93">
        <f t="shared" si="2"/>
        <v>550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4450</v>
      </c>
      <c r="AE15" s="99">
        <f>ROUND(MAX((AD15)*{0.03;0.1;0.2;0.25;0.3;0.35;0.45}-{0;2520;16920;31920;52920;85920;181920},0),2)</f>
        <v>133.5</v>
      </c>
      <c r="AF15" s="100">
        <v>0</v>
      </c>
      <c r="AG15" s="100">
        <f t="shared" si="6"/>
        <v>133.5</v>
      </c>
      <c r="AH15" s="109">
        <f t="shared" si="7"/>
        <v>9316.5</v>
      </c>
      <c r="AI15" s="108"/>
      <c r="AJ15" s="109">
        <f t="shared" si="8"/>
        <v>9316.5</v>
      </c>
      <c r="AK15" s="109"/>
      <c r="AL15" s="109">
        <f t="shared" si="9"/>
        <v>9450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 t="shared" si="11"/>
        <v>不</v>
      </c>
      <c r="AT15" s="117" t="str">
        <f t="shared" si="12"/>
        <v>重复</v>
      </c>
    </row>
    <row r="16" s="12" customFormat="1" ht="18" customHeight="1" spans="1:46">
      <c r="A16" s="36">
        <v>13</v>
      </c>
      <c r="B16" s="37" t="s">
        <v>144</v>
      </c>
      <c r="C16" s="37" t="s">
        <v>187</v>
      </c>
      <c r="D16" s="37" t="s">
        <v>145</v>
      </c>
      <c r="E16" s="37" t="s">
        <v>188</v>
      </c>
      <c r="F16" s="38" t="s">
        <v>146</v>
      </c>
      <c r="G16" s="39">
        <v>13711361074</v>
      </c>
      <c r="H16" s="40"/>
      <c r="I16" s="40"/>
      <c r="J16" s="69"/>
      <c r="K16" s="40"/>
      <c r="L16" s="70">
        <v>7392.73</v>
      </c>
      <c r="M16" s="71">
        <v>510.72</v>
      </c>
      <c r="N16" s="71">
        <v>102.28</v>
      </c>
      <c r="O16" s="71">
        <v>19.15</v>
      </c>
      <c r="P16" s="71">
        <v>110.5</v>
      </c>
      <c r="Q16" s="70">
        <f t="shared" si="0"/>
        <v>742.65</v>
      </c>
      <c r="R16" s="70">
        <v>0</v>
      </c>
      <c r="S16" s="92">
        <f t="shared" si="1"/>
        <v>7392.73</v>
      </c>
      <c r="T16" s="93">
        <v>5000</v>
      </c>
      <c r="U16" s="93">
        <f t="shared" si="2"/>
        <v>742.65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1650.08</v>
      </c>
      <c r="AE16" s="99">
        <f>ROUND(MAX((AD16)*{0.03;0.1;0.2;0.25;0.3;0.35;0.45}-{0;2520;16920;31920;52920;85920;181920},0),2)</f>
        <v>49.5</v>
      </c>
      <c r="AF16" s="100">
        <v>0</v>
      </c>
      <c r="AG16" s="100">
        <f t="shared" si="6"/>
        <v>49.5</v>
      </c>
      <c r="AH16" s="109">
        <f t="shared" si="7"/>
        <v>6600.58</v>
      </c>
      <c r="AI16" s="108"/>
      <c r="AJ16" s="109">
        <f t="shared" si="8"/>
        <v>6600.58</v>
      </c>
      <c r="AK16" s="109"/>
      <c r="AL16" s="109">
        <f t="shared" si="9"/>
        <v>6650.08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 t="shared" si="11"/>
        <v>不</v>
      </c>
      <c r="AT16" s="117" t="str">
        <f t="shared" si="12"/>
        <v>重复</v>
      </c>
    </row>
    <row r="17" s="12" customFormat="1" ht="18" customHeight="1" spans="1:46">
      <c r="A17" s="36"/>
      <c r="B17" s="37"/>
      <c r="C17" s="37"/>
      <c r="D17" s="37"/>
      <c r="E17" s="37"/>
      <c r="F17" s="127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70"/>
      <c r="R17" s="70"/>
      <c r="S17" s="92"/>
      <c r="T17" s="93"/>
      <c r="U17" s="93"/>
      <c r="V17" s="70"/>
      <c r="W17" s="70"/>
      <c r="X17" s="70"/>
      <c r="Y17" s="70"/>
      <c r="Z17" s="70"/>
      <c r="AA17" s="70"/>
      <c r="AB17" s="92"/>
      <c r="AC17" s="92"/>
      <c r="AD17" s="98"/>
      <c r="AE17" s="99"/>
      <c r="AF17" s="100"/>
      <c r="AG17" s="100"/>
      <c r="AH17" s="109"/>
      <c r="AI17" s="108"/>
      <c r="AJ17" s="109"/>
      <c r="AK17" s="109"/>
      <c r="AL17" s="109"/>
      <c r="AM17" s="109"/>
      <c r="AN17" s="109"/>
      <c r="AO17" s="109"/>
      <c r="AP17" s="109"/>
      <c r="AQ17" s="109"/>
      <c r="AR17" s="117"/>
      <c r="AS17" s="117"/>
      <c r="AT17" s="117"/>
    </row>
    <row r="18" s="12" customFormat="1" ht="18" customHeight="1" spans="1:46">
      <c r="A18" s="36"/>
      <c r="B18" s="37"/>
      <c r="C18" s="37"/>
      <c r="D18" s="37"/>
      <c r="E18" s="37"/>
      <c r="F18" s="127"/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70"/>
      <c r="R18" s="70"/>
      <c r="S18" s="92"/>
      <c r="T18" s="93"/>
      <c r="U18" s="93"/>
      <c r="V18" s="70"/>
      <c r="W18" s="70"/>
      <c r="X18" s="70"/>
      <c r="Y18" s="70"/>
      <c r="Z18" s="70"/>
      <c r="AA18" s="70"/>
      <c r="AB18" s="92"/>
      <c r="AC18" s="92"/>
      <c r="AD18" s="98"/>
      <c r="AE18" s="99"/>
      <c r="AF18" s="100"/>
      <c r="AG18" s="100"/>
      <c r="AH18" s="109"/>
      <c r="AI18" s="108"/>
      <c r="AJ18" s="109"/>
      <c r="AK18" s="109"/>
      <c r="AL18" s="109"/>
      <c r="AM18" s="109"/>
      <c r="AN18" s="109"/>
      <c r="AO18" s="109"/>
      <c r="AP18" s="109"/>
      <c r="AQ18" s="109"/>
      <c r="AR18" s="117"/>
      <c r="AS18" s="117"/>
      <c r="AT18" s="117"/>
    </row>
    <row r="19" s="13" customFormat="1" ht="18" customHeight="1" spans="1:46">
      <c r="A19" s="41"/>
      <c r="B19" s="42" t="s">
        <v>189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 t="shared" ref="L19:AL19" si="13">SUM(L4:L18)</f>
        <v>122500.7</v>
      </c>
      <c r="M19" s="74">
        <f t="shared" si="13"/>
        <v>4959.05</v>
      </c>
      <c r="N19" s="74">
        <f t="shared" si="13"/>
        <v>1341.92</v>
      </c>
      <c r="O19" s="74">
        <f t="shared" si="13"/>
        <v>258.72</v>
      </c>
      <c r="P19" s="74">
        <f t="shared" si="13"/>
        <v>2232.9</v>
      </c>
      <c r="Q19" s="74">
        <f t="shared" si="13"/>
        <v>8792.59</v>
      </c>
      <c r="R19" s="74">
        <f t="shared" si="13"/>
        <v>0</v>
      </c>
      <c r="S19" s="74">
        <f t="shared" si="13"/>
        <v>122500.7</v>
      </c>
      <c r="T19" s="74">
        <f t="shared" si="13"/>
        <v>65000</v>
      </c>
      <c r="U19" s="74">
        <f t="shared" si="13"/>
        <v>8792.59</v>
      </c>
      <c r="V19" s="74">
        <f t="shared" si="13"/>
        <v>0</v>
      </c>
      <c r="W19" s="74">
        <f t="shared" si="13"/>
        <v>0</v>
      </c>
      <c r="X19" s="74">
        <f t="shared" si="13"/>
        <v>0</v>
      </c>
      <c r="Y19" s="74">
        <f t="shared" si="13"/>
        <v>0</v>
      </c>
      <c r="Z19" s="74">
        <f t="shared" si="13"/>
        <v>0</v>
      </c>
      <c r="AA19" s="74">
        <f t="shared" si="13"/>
        <v>0</v>
      </c>
      <c r="AB19" s="74">
        <f t="shared" si="13"/>
        <v>0</v>
      </c>
      <c r="AC19" s="74">
        <f t="shared" si="13"/>
        <v>0</v>
      </c>
      <c r="AD19" s="74">
        <f t="shared" si="13"/>
        <v>48708.11</v>
      </c>
      <c r="AE19" s="74">
        <f t="shared" si="13"/>
        <v>1497.71</v>
      </c>
      <c r="AF19" s="74">
        <f t="shared" si="13"/>
        <v>0</v>
      </c>
      <c r="AG19" s="74">
        <f t="shared" si="13"/>
        <v>1497.71</v>
      </c>
      <c r="AH19" s="74">
        <f t="shared" si="13"/>
        <v>112210.4</v>
      </c>
      <c r="AI19" s="126">
        <f t="shared" si="13"/>
        <v>0</v>
      </c>
      <c r="AJ19" s="74">
        <f t="shared" si="13"/>
        <v>112210.4</v>
      </c>
      <c r="AK19" s="74">
        <f t="shared" si="13"/>
        <v>0</v>
      </c>
      <c r="AL19" s="74">
        <f t="shared" si="13"/>
        <v>113708.11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133</v>
      </c>
      <c r="C23" s="47" t="s">
        <v>190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112210.4</v>
      </c>
      <c r="C24" s="48">
        <f>AG19</f>
        <v>1497.71</v>
      </c>
      <c r="D24" s="48">
        <f>AK19</f>
        <v>0</v>
      </c>
      <c r="E24" s="48">
        <f>B24+C24+D24</f>
        <v>113708.11</v>
      </c>
    </row>
    <row r="25" spans="2:5">
      <c r="B25" s="49"/>
      <c r="C25" s="49"/>
      <c r="D25" s="49"/>
      <c r="E25" s="49"/>
    </row>
    <row r="26" s="14" customFormat="1" spans="1:35">
      <c r="A26" s="51" t="s">
        <v>191</v>
      </c>
      <c r="B26" s="52" t="s">
        <v>192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193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194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195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196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197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198</v>
      </c>
    </row>
    <row r="34" spans="2:2">
      <c r="B34" s="59" t="s">
        <v>199</v>
      </c>
    </row>
    <row r="35" spans="2:2">
      <c r="B35" s="59" t="s">
        <v>200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10" stopIfTrue="1"/>
  </conditionalFormatting>
  <conditionalFormatting sqref="B26:B30">
    <cfRule type="duplicateValues" dxfId="4" priority="1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17" stopIfTrue="1"/>
    <cfRule type="expression" dxfId="5" priority="19" stopIfTrue="1">
      <formula>AND(COUNTIF($B$19:$B$65455,C23)+COUNTIF($B$1:$B$3,C23)&gt;1,NOT(ISBLANK(C23)))</formula>
    </cfRule>
    <cfRule type="expression" dxfId="5" priority="21" stopIfTrue="1">
      <formula>AND(COUNTIF($B$30:$B$65406,C23)+COUNTIF($B$1:$B$29,C23)&gt;1,NOT(ISBLANK(C23)))</formula>
    </cfRule>
    <cfRule type="expression" dxfId="5" priority="23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2.375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f>VLOOKUP(C4,[2]Sheet1!$B$2:$F$14,5,0)</f>
        <v>12.92</v>
      </c>
      <c r="P4" s="71">
        <v>177.4</v>
      </c>
      <c r="Q4" s="89">
        <f t="shared" ref="Q4:Q19" si="0">ROUND(SUM(M4:P4),2)</f>
        <v>621.03</v>
      </c>
      <c r="R4" s="70">
        <v>0</v>
      </c>
      <c r="S4" s="90">
        <f>L4+IFERROR(VLOOKUP($E:$E,'（居民）工资表-11月'!$E:$S,15,0),0)</f>
        <v>88000</v>
      </c>
      <c r="T4" s="91">
        <f>5000+IFERROR(VLOOKUP($E:$E,'（居民）工资表-11月'!$E:$T,16,0),0)</f>
        <v>55000</v>
      </c>
      <c r="U4" s="91">
        <f>Q4+IFERROR(VLOOKUP($E:$E,'（居民）工资表-11月'!$E:$U,17,0),0)</f>
        <v>6753.8</v>
      </c>
      <c r="V4" s="70">
        <v>12000</v>
      </c>
      <c r="W4" s="70"/>
      <c r="X4" s="70">
        <v>12000</v>
      </c>
      <c r="Y4" s="70"/>
      <c r="Z4" s="70">
        <v>4800</v>
      </c>
      <c r="AA4" s="70"/>
      <c r="AB4" s="90">
        <f t="shared" ref="AB4:AB19" si="1">ROUND(SUM(V4:AA4),2)</f>
        <v>28800</v>
      </c>
      <c r="AC4" s="90">
        <f>R4+IFERROR(VLOOKUP($E:$E,'（居民）工资表-11月'!$E:$AC,25,0),0)</f>
        <v>0</v>
      </c>
      <c r="AD4" s="95">
        <f t="shared" ref="AD4:AD19" si="2">ROUND(S4-T4-U4-AB4-AC4,2)</f>
        <v>-2553.8</v>
      </c>
      <c r="AE4" s="96">
        <f>ROUND(MAX((AD4)*{0.03;0.1;0.2;0.25;0.3;0.35;0.45}-{0;2520;16920;31920;52920;85920;181920},0),2)</f>
        <v>0</v>
      </c>
      <c r="AF4" s="97">
        <f>IFERROR(VLOOKUP(E:E,'（居民）工资表-11月'!E:AF,28,0)+VLOOKUP(E:E,'（居民）工资表-11月'!E:AG,29,0),0)</f>
        <v>716.02</v>
      </c>
      <c r="AG4" s="97">
        <f t="shared" ref="AG4:AG19" si="3">IF((AE4-AF4)&lt;0,0,AE4-AF4)</f>
        <v>0</v>
      </c>
      <c r="AH4" s="107">
        <f t="shared" ref="AH4:AH19" si="4">ROUND(IF((L4-Q4-AG4)&lt;0,0,(L4-Q4-AG4)),2)</f>
        <v>7378.97</v>
      </c>
      <c r="AI4" s="108"/>
      <c r="AJ4" s="107">
        <f t="shared" ref="AJ4:AJ19" si="5">AH4+AI4</f>
        <v>7378.97</v>
      </c>
      <c r="AK4" s="109"/>
      <c r="AL4" s="107">
        <f t="shared" ref="AL4:AL19" si="6">AJ4+AG4+AK4</f>
        <v>7378.97</v>
      </c>
      <c r="AM4" s="109"/>
      <c r="AN4" s="109"/>
      <c r="AO4" s="109"/>
      <c r="AP4" s="109"/>
      <c r="AQ4" s="109"/>
      <c r="AR4" s="116" t="str">
        <f t="shared" ref="AR4:AR19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IF(SUMPRODUCT(N(E$1:E$17=E4))&gt;1,"重复","不")</f>
        <v>不</v>
      </c>
      <c r="AT4" s="116" t="str">
        <f>IF(SUMPRODUCT(N(AO$1:AO$17=AO4))&gt;1,"重复","不")</f>
        <v>重复</v>
      </c>
    </row>
    <row r="5" s="12" customFormat="1" ht="18" customHeight="1" spans="1:46">
      <c r="A5" s="36">
        <v>2</v>
      </c>
      <c r="B5" s="37" t="s">
        <v>144</v>
      </c>
      <c r="C5" s="37" t="s">
        <v>148</v>
      </c>
      <c r="D5" s="37" t="s">
        <v>145</v>
      </c>
      <c r="E5" s="328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f>VLOOKUP(C5,[2]Sheet1!$B$2:$F$14,5,0)</f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L5+IFERROR(VLOOKUP($E:$E,'（居民）工资表-11月'!$E:$S,15,0),0)</f>
        <v>66880</v>
      </c>
      <c r="T5" s="91">
        <f>5000+IFERROR(VLOOKUP($E:$E,'（居民）工资表-11月'!$E:$T,16,0),0)</f>
        <v>55000</v>
      </c>
      <c r="U5" s="91">
        <f>Q5+IFERROR(VLOOKUP($E:$E,'（居民）工资表-11月'!$E:$U,17,0),0)</f>
        <v>7497.44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R5+IFERROR(VLOOKUP($E:$E,'（居民）工资表-11月'!$E:$AC,25,0),0)</f>
        <v>0</v>
      </c>
      <c r="AD5" s="95">
        <f t="shared" si="2"/>
        <v>4382.56</v>
      </c>
      <c r="AE5" s="96">
        <f>ROUND(MAX((AD5)*{0.03;0.1;0.2;0.25;0.3;0.35;0.45}-{0;2520;16920;31920;52920;85920;181920},0),2)</f>
        <v>131.48</v>
      </c>
      <c r="AF5" s="97">
        <f>IFERROR(VLOOKUP(E:E,'（居民）工资表-11月'!E:AF,28,0)+VLOOKUP(E:E,'（居民）工资表-11月'!E:AG,29,0),0)</f>
        <v>118.34</v>
      </c>
      <c r="AG5" s="97">
        <f t="shared" si="3"/>
        <v>13.14</v>
      </c>
      <c r="AH5" s="107">
        <f t="shared" si="4"/>
        <v>5424.62</v>
      </c>
      <c r="AI5" s="108"/>
      <c r="AJ5" s="107">
        <f t="shared" si="5"/>
        <v>5424.62</v>
      </c>
      <c r="AK5" s="109"/>
      <c r="AL5" s="107">
        <f t="shared" si="6"/>
        <v>5437.76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IF(SUMPRODUCT(N(E$1:E$17=E5))&gt;1,"重复","不")</f>
        <v>不</v>
      </c>
      <c r="AT5" s="116" t="str">
        <f>IF(SUMPRODUCT(N(AO$1:AO$17=AO5))&gt;1,"重复","不")</f>
        <v>重复</v>
      </c>
    </row>
    <row r="6" s="12" customFormat="1" ht="18" customHeight="1" spans="1:46">
      <c r="A6" s="36">
        <v>3</v>
      </c>
      <c r="B6" s="37" t="s">
        <v>144</v>
      </c>
      <c r="C6" s="37" t="s">
        <v>151</v>
      </c>
      <c r="D6" s="37" t="s">
        <v>145</v>
      </c>
      <c r="E6" s="328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f>VLOOKUP(C6,[2]Sheet1!$B$2:$F$14,5,0)</f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L6+IFERROR(VLOOKUP($E:$E,'（居民）工资表-11月'!$E:$S,15,0),0)</f>
        <v>330660</v>
      </c>
      <c r="T6" s="91">
        <f>5000+IFERROR(VLOOKUP($E:$E,'（居民）工资表-11月'!$E:$T,16,0),0)</f>
        <v>55000</v>
      </c>
      <c r="U6" s="91">
        <f>Q6+IFERROR(VLOOKUP($E:$E,'（居民）工资表-11月'!$E:$U,17,0),0)</f>
        <v>10566.98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R6+IFERROR(VLOOKUP($E:$E,'（居民）工资表-11月'!$E:$AC,25,0),0)</f>
        <v>0</v>
      </c>
      <c r="AD6" s="95">
        <f t="shared" si="2"/>
        <v>265093.02</v>
      </c>
      <c r="AE6" s="96">
        <f>ROUND(MAX((AD6)*{0.03;0.1;0.2;0.25;0.3;0.35;0.45}-{0;2520;16920;31920;52920;85920;181920},0),2)</f>
        <v>36098.6</v>
      </c>
      <c r="AF6" s="97">
        <f>IFERROR(VLOOKUP(E:E,'（居民）工资表-11月'!E:AF,28,0)+VLOOKUP(E:E,'（居民）工资表-11月'!E:AG,29,0),0)</f>
        <v>31279.27</v>
      </c>
      <c r="AG6" s="97">
        <f t="shared" si="3"/>
        <v>4819.33</v>
      </c>
      <c r="AH6" s="107">
        <f t="shared" si="4"/>
        <v>24277.35</v>
      </c>
      <c r="AI6" s="108"/>
      <c r="AJ6" s="107">
        <f t="shared" si="5"/>
        <v>24277.35</v>
      </c>
      <c r="AK6" s="109"/>
      <c r="AL6" s="107">
        <f t="shared" si="6"/>
        <v>29096.68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IF(SUMPRODUCT(N(E$1:E$17=E6))&gt;1,"重复","不")</f>
        <v>不</v>
      </c>
      <c r="AT6" s="116" t="str">
        <f>IF(SUMPRODUCT(N(AO$1:AO$17=AO6))&gt;1,"重复","不")</f>
        <v>重复</v>
      </c>
    </row>
    <row r="7" s="12" customFormat="1" ht="18" customHeight="1" spans="1:46">
      <c r="A7" s="36">
        <v>4</v>
      </c>
      <c r="B7" s="37" t="s">
        <v>144</v>
      </c>
      <c r="C7" s="37" t="s">
        <v>156</v>
      </c>
      <c r="D7" s="37" t="s">
        <v>145</v>
      </c>
      <c r="E7" s="328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f>VLOOKUP(C7,[2]Sheet1!$B$2:$F$14,5,0)</f>
        <v>21.14</v>
      </c>
      <c r="P7" s="71">
        <v>97</v>
      </c>
      <c r="Q7" s="89">
        <f t="shared" si="0"/>
        <v>550</v>
      </c>
      <c r="R7" s="70">
        <v>0</v>
      </c>
      <c r="S7" s="90">
        <f>L7+IFERROR(VLOOKUP($E:$E,'（居民）工资表-11月'!$E:$S,15,0),0)</f>
        <v>102000</v>
      </c>
      <c r="T7" s="91">
        <f>5000+IFERROR(VLOOKUP($E:$E,'（居民）工资表-11月'!$E:$T,16,0),0)</f>
        <v>55000</v>
      </c>
      <c r="U7" s="91">
        <f>Q7+IFERROR(VLOOKUP($E:$E,'（居民）工资表-11月'!$E:$U,17,0),0)</f>
        <v>6161.45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R7+IFERROR(VLOOKUP($E:$E,'（居民）工资表-11月'!$E:$AC,25,0),0)</f>
        <v>0</v>
      </c>
      <c r="AD7" s="95">
        <f t="shared" si="2"/>
        <v>40838.55</v>
      </c>
      <c r="AE7" s="96">
        <f>ROUND(MAX((AD7)*{0.03;0.1;0.2;0.25;0.3;0.35;0.45}-{0;2520;16920;31920;52920;85920;181920},0),2)</f>
        <v>1563.86</v>
      </c>
      <c r="AF7" s="97">
        <f>IFERROR(VLOOKUP(E:E,'（居民）工资表-11月'!E:AF,28,0)+VLOOKUP(E:E,'（居民）工资表-11月'!E:AG,29,0),0)</f>
        <v>1218.86</v>
      </c>
      <c r="AG7" s="97">
        <f t="shared" si="3"/>
        <v>345</v>
      </c>
      <c r="AH7" s="107">
        <f t="shared" si="4"/>
        <v>8105</v>
      </c>
      <c r="AI7" s="108"/>
      <c r="AJ7" s="107">
        <f t="shared" si="5"/>
        <v>8105</v>
      </c>
      <c r="AK7" s="109"/>
      <c r="AL7" s="107">
        <f t="shared" si="6"/>
        <v>8450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IF(SUMPRODUCT(N(E$1:E$17=E7))&gt;1,"重复","不")</f>
        <v>不</v>
      </c>
      <c r="AT7" s="116" t="str">
        <f>IF(SUMPRODUCT(N(AO$1:AO$17=AO7))&gt;1,"重复","不")</f>
        <v>重复</v>
      </c>
    </row>
    <row r="8" s="12" customFormat="1" ht="18" customHeight="1" spans="1:46">
      <c r="A8" s="36">
        <v>5</v>
      </c>
      <c r="B8" s="37" t="s">
        <v>144</v>
      </c>
      <c r="C8" s="37" t="s">
        <v>160</v>
      </c>
      <c r="D8" s="37" t="s">
        <v>145</v>
      </c>
      <c r="E8" s="328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f>VLOOKUP(C8,[2]Sheet1!$B$2:$F$14,5,0)</f>
        <v>21.14</v>
      </c>
      <c r="P8" s="71">
        <v>344</v>
      </c>
      <c r="Q8" s="89">
        <f t="shared" si="0"/>
        <v>793.84</v>
      </c>
      <c r="R8" s="70">
        <v>0</v>
      </c>
      <c r="S8" s="90">
        <f>L8+IFERROR(VLOOKUP($E:$E,'（居民）工资表-11月'!$E:$S,15,0),0)</f>
        <v>118500</v>
      </c>
      <c r="T8" s="91">
        <f>5000+IFERROR(VLOOKUP($E:$E,'（居民）工资表-11月'!$E:$T,16,0),0)</f>
        <v>55000</v>
      </c>
      <c r="U8" s="91">
        <f>Q8+IFERROR(VLOOKUP($E:$E,'（居民）工资表-11月'!$E:$U,17,0),0)</f>
        <v>8841.44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R8+IFERROR(VLOOKUP($E:$E,'（居民）工资表-11月'!$E:$AC,25,0),0)</f>
        <v>0</v>
      </c>
      <c r="AD8" s="95">
        <f t="shared" si="2"/>
        <v>54658.56</v>
      </c>
      <c r="AE8" s="96">
        <f>ROUND(MAX((AD8)*{0.03;0.1;0.2;0.25;0.3;0.35;0.45}-{0;2520;16920;31920;52920;85920;181920},0),2)</f>
        <v>2945.86</v>
      </c>
      <c r="AF8" s="97">
        <f>IFERROR(VLOOKUP(E:E,'（居民）工资表-11月'!E:AF,28,0)+VLOOKUP(E:E,'（居民）工资表-11月'!E:AG,29,0),0)</f>
        <v>2475.24</v>
      </c>
      <c r="AG8" s="97">
        <f t="shared" si="3"/>
        <v>470.62</v>
      </c>
      <c r="AH8" s="107">
        <f t="shared" si="4"/>
        <v>9235.54</v>
      </c>
      <c r="AI8" s="108"/>
      <c r="AJ8" s="107">
        <f t="shared" si="5"/>
        <v>9235.54</v>
      </c>
      <c r="AK8" s="109"/>
      <c r="AL8" s="107">
        <f t="shared" si="6"/>
        <v>9706.16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>IF(SUMPRODUCT(N(E$1:E$17=E8))&gt;1,"重复","不")</f>
        <v>不</v>
      </c>
      <c r="AT8" s="116" t="str">
        <f>IF(SUMPRODUCT(N(AO$1:AO$17=AO8))&gt;1,"重复","不")</f>
        <v>重复</v>
      </c>
    </row>
    <row r="9" s="12" customFormat="1" ht="18" customHeight="1" spans="1:46">
      <c r="A9" s="36">
        <v>6</v>
      </c>
      <c r="B9" s="37" t="s">
        <v>144</v>
      </c>
      <c r="C9" s="37" t="s">
        <v>162</v>
      </c>
      <c r="D9" s="37" t="s">
        <v>145</v>
      </c>
      <c r="E9" s="328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322.16</v>
      </c>
      <c r="N9" s="71">
        <v>95.54</v>
      </c>
      <c r="O9" s="71">
        <f>VLOOKUP(C9,[2]Sheet1!$B$2:$F$14,5,0)</f>
        <v>12.08</v>
      </c>
      <c r="P9" s="71">
        <v>100</v>
      </c>
      <c r="Q9" s="89">
        <f t="shared" si="0"/>
        <v>529.78</v>
      </c>
      <c r="R9" s="70">
        <v>0</v>
      </c>
      <c r="S9" s="90">
        <f>L9+IFERROR(VLOOKUP($E:$E,'（居民）工资表-11月'!$E:$S,15,0),0)</f>
        <v>71500</v>
      </c>
      <c r="T9" s="91">
        <f>5000+IFERROR(VLOOKUP($E:$E,'（居民）工资表-11月'!$E:$T,16,0),0)</f>
        <v>55000</v>
      </c>
      <c r="U9" s="91">
        <f>Q9+IFERROR(VLOOKUP($E:$E,'（居民）工资表-11月'!$E:$U,17,0),0)</f>
        <v>5917.99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R9+IFERROR(VLOOKUP($E:$E,'（居民）工资表-11月'!$E:$AC,25,0),0)</f>
        <v>0</v>
      </c>
      <c r="AD9" s="95">
        <f t="shared" si="2"/>
        <v>10582.01</v>
      </c>
      <c r="AE9" s="96">
        <f>ROUND(MAX((AD9)*{0.03;0.1;0.2;0.25;0.3;0.35;0.45}-{0;2520;16920;31920;52920;85920;181920},0),2)</f>
        <v>317.46</v>
      </c>
      <c r="AF9" s="97">
        <f>IFERROR(VLOOKUP(E:E,'（居民）工资表-11月'!E:AF,28,0)+VLOOKUP(E:E,'（居民）工资表-11月'!E:AG,29,0),0)</f>
        <v>288.35</v>
      </c>
      <c r="AG9" s="97">
        <f t="shared" si="3"/>
        <v>29.11</v>
      </c>
      <c r="AH9" s="107">
        <f t="shared" si="4"/>
        <v>5941.11</v>
      </c>
      <c r="AI9" s="108"/>
      <c r="AJ9" s="107">
        <f t="shared" si="5"/>
        <v>5941.11</v>
      </c>
      <c r="AK9" s="109"/>
      <c r="AL9" s="107">
        <f t="shared" si="6"/>
        <v>5970.22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>IF(SUMPRODUCT(N(E$1:E$17=E9))&gt;1,"重复","不")</f>
        <v>不</v>
      </c>
      <c r="AT9" s="116" t="str">
        <f>IF(SUMPRODUCT(N(AO$1:AO$17=AO9))&gt;1,"重复","不")</f>
        <v>重复</v>
      </c>
    </row>
    <row r="10" s="12" customFormat="1" ht="18" customHeight="1" spans="1:46">
      <c r="A10" s="36">
        <v>7</v>
      </c>
      <c r="B10" s="37" t="s">
        <v>144</v>
      </c>
      <c r="C10" s="37" t="s">
        <v>165</v>
      </c>
      <c r="D10" s="37" t="s">
        <v>145</v>
      </c>
      <c r="E10" s="328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f>VLOOKUP(C10,[2]Sheet1!$B$2:$F$14,5,0)</f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L10+IFERROR(VLOOKUP($E:$E,'（居民）工资表-11月'!$E:$S,15,0),0)</f>
        <v>49079.08</v>
      </c>
      <c r="T10" s="91">
        <f>5000+IFERROR(VLOOKUP($E:$E,'（居民）工资表-11月'!$E:$T,16,0),0)</f>
        <v>55000</v>
      </c>
      <c r="U10" s="91">
        <f>Q10+IFERROR(VLOOKUP($E:$E,'（居民）工资表-11月'!$E:$U,17,0),0)</f>
        <v>7211.54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R10+IFERROR(VLOOKUP($E:$E,'（居民）工资表-11月'!$E:$AC,25,0),0)</f>
        <v>0</v>
      </c>
      <c r="AD10" s="95">
        <f t="shared" si="2"/>
        <v>-13132.46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>IF(SUMPRODUCT(N(E$1:E$17=E10))&gt;1,"重复","不")</f>
        <v>不</v>
      </c>
      <c r="AT10" s="116" t="str">
        <f>IF(SUMPRODUCT(N(AO$1:AO$17=AO10))&gt;1,"重复","不")</f>
        <v>重复</v>
      </c>
    </row>
    <row r="11" s="12" customFormat="1" ht="18" customHeight="1" spans="1:46">
      <c r="A11" s="36">
        <v>8</v>
      </c>
      <c r="B11" s="37" t="s">
        <v>144</v>
      </c>
      <c r="C11" s="37" t="s">
        <v>170</v>
      </c>
      <c r="D11" s="37" t="s">
        <v>145</v>
      </c>
      <c r="E11" s="328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f>VLOOKUP(C11,[2]Sheet1!$B$2:$F$14,5,0)</f>
        <v>21.14</v>
      </c>
      <c r="P11" s="71">
        <v>97</v>
      </c>
      <c r="Q11" s="89">
        <f t="shared" si="0"/>
        <v>580.84</v>
      </c>
      <c r="R11" s="70">
        <v>0</v>
      </c>
      <c r="S11" s="90">
        <f>L11+IFERROR(VLOOKUP($E:$E,'（居民）工资表-11月'!$E:$S,15,0),0)</f>
        <v>98500</v>
      </c>
      <c r="T11" s="91">
        <f>5000+IFERROR(VLOOKUP($E:$E,'（居民）工资表-11月'!$E:$T,16,0),0)</f>
        <v>55000</v>
      </c>
      <c r="U11" s="91">
        <f>Q11+IFERROR(VLOOKUP($E:$E,'（居民）工资表-11月'!$E:$U,17,0),0)</f>
        <v>6498.44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R11+IFERROR(VLOOKUP($E:$E,'（居民）工资表-11月'!$E:$AC,25,0),0)</f>
        <v>0</v>
      </c>
      <c r="AD11" s="95">
        <f t="shared" si="2"/>
        <v>37001.56</v>
      </c>
      <c r="AE11" s="96">
        <f>ROUND(MAX((AD11)*{0.03;0.1;0.2;0.25;0.3;0.35;0.45}-{0;2520;16920;31920;52920;85920;181920},0),2)</f>
        <v>1180.16</v>
      </c>
      <c r="AF11" s="97">
        <f>IFERROR(VLOOKUP(E:E,'（居民）工资表-11月'!E:AF,28,0)+VLOOKUP(E:E,'（居民）工资表-11月'!E:AG,29,0),0)</f>
        <v>1007.47</v>
      </c>
      <c r="AG11" s="97">
        <f t="shared" si="3"/>
        <v>172.69</v>
      </c>
      <c r="AH11" s="107">
        <f t="shared" si="4"/>
        <v>8246.47</v>
      </c>
      <c r="AI11" s="108"/>
      <c r="AJ11" s="107">
        <f t="shared" si="5"/>
        <v>8246.47</v>
      </c>
      <c r="AK11" s="109"/>
      <c r="AL11" s="107">
        <f t="shared" si="6"/>
        <v>8419.16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>IF(SUMPRODUCT(N(E$1:E$17=E11))&gt;1,"重复","不")</f>
        <v>不</v>
      </c>
      <c r="AT11" s="116" t="str">
        <f>IF(SUMPRODUCT(N(AO$1:AO$17=AO11))&gt;1,"重复","不")</f>
        <v>重复</v>
      </c>
    </row>
    <row r="12" s="12" customFormat="1" ht="18" customHeight="1" spans="1:46">
      <c r="A12" s="36">
        <v>9</v>
      </c>
      <c r="B12" s="37" t="s">
        <v>144</v>
      </c>
      <c r="C12" s="37" t="s">
        <v>174</v>
      </c>
      <c r="D12" s="37" t="s">
        <v>145</v>
      </c>
      <c r="E12" s="328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f>VLOOKUP(C12,[2]Sheet1!$B$2:$F$14,5,0)</f>
        <v>21.14</v>
      </c>
      <c r="P12" s="71">
        <v>344</v>
      </c>
      <c r="Q12" s="89">
        <f t="shared" si="0"/>
        <v>793.84</v>
      </c>
      <c r="R12" s="70">
        <v>0</v>
      </c>
      <c r="S12" s="90">
        <f>L12+IFERROR(VLOOKUP($E:$E,'（居民）工资表-11月'!$E:$S,15,0),0)</f>
        <v>82000</v>
      </c>
      <c r="T12" s="91">
        <f>5000+IFERROR(VLOOKUP($E:$E,'（居民）工资表-11月'!$E:$T,16,0),0)</f>
        <v>55000</v>
      </c>
      <c r="U12" s="91">
        <f>Q12+IFERROR(VLOOKUP($E:$E,'（居民）工资表-11月'!$E:$U,17,0),0)</f>
        <v>8841.44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R12+IFERROR(VLOOKUP($E:$E,'（居民）工资表-11月'!$E:$AC,25,0),0)</f>
        <v>0</v>
      </c>
      <c r="AD12" s="95">
        <f t="shared" si="2"/>
        <v>18158.56</v>
      </c>
      <c r="AE12" s="96">
        <f>ROUND(MAX((AD12)*{0.03;0.1;0.2;0.25;0.3;0.35;0.45}-{0;2520;16920;31920;52920;85920;181920},0),2)</f>
        <v>544.76</v>
      </c>
      <c r="AF12" s="97">
        <f>IFERROR(VLOOKUP(E:E,'（居民）工资表-11月'!E:AF,28,0)+VLOOKUP(E:E,'（居民）工资表-11月'!E:AG,29,0),0)</f>
        <v>493.57</v>
      </c>
      <c r="AG12" s="97">
        <f t="shared" si="3"/>
        <v>51.19</v>
      </c>
      <c r="AH12" s="107">
        <f t="shared" si="4"/>
        <v>6654.97</v>
      </c>
      <c r="AI12" s="108"/>
      <c r="AJ12" s="107">
        <f t="shared" si="5"/>
        <v>6654.97</v>
      </c>
      <c r="AK12" s="109"/>
      <c r="AL12" s="107">
        <f t="shared" si="6"/>
        <v>6706.16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>IF(SUMPRODUCT(N(E$1:E$17=E12))&gt;1,"重复","不")</f>
        <v>不</v>
      </c>
      <c r="AT12" s="116" t="str">
        <f>IF(SUMPRODUCT(N(AO$1:AO$17=AO12))&gt;1,"重复","不")</f>
        <v>重复</v>
      </c>
    </row>
    <row r="13" s="12" customFormat="1" ht="18" customHeight="1" spans="1:46">
      <c r="A13" s="36">
        <v>10</v>
      </c>
      <c r="B13" s="37" t="s">
        <v>144</v>
      </c>
      <c r="C13" s="37" t="s">
        <v>176</v>
      </c>
      <c r="D13" s="37" t="s">
        <v>145</v>
      </c>
      <c r="E13" s="328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f>VLOOKUP(C13,[2]Sheet1!$B$2:$F$14,5,0)</f>
        <v>21.14</v>
      </c>
      <c r="P13" s="71">
        <v>344</v>
      </c>
      <c r="Q13" s="89">
        <f t="shared" si="0"/>
        <v>793.84</v>
      </c>
      <c r="R13" s="70">
        <v>0</v>
      </c>
      <c r="S13" s="90">
        <f>L13+IFERROR(VLOOKUP($E:$E,'（居民）工资表-11月'!$E:$S,15,0),0)</f>
        <v>87000</v>
      </c>
      <c r="T13" s="91">
        <f>5000+IFERROR(VLOOKUP($E:$E,'（居民）工资表-11月'!$E:$T,16,0),0)</f>
        <v>55000</v>
      </c>
      <c r="U13" s="91">
        <f>Q13+IFERROR(VLOOKUP($E:$E,'（居民）工资表-11月'!$E:$U,17,0),0)</f>
        <v>8851.14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R13+IFERROR(VLOOKUP($E:$E,'（居民）工资表-11月'!$E:$AC,25,0),0)</f>
        <v>0</v>
      </c>
      <c r="AD13" s="95">
        <f t="shared" si="2"/>
        <v>23148.86</v>
      </c>
      <c r="AE13" s="96">
        <f>ROUND(MAX((AD13)*{0.03;0.1;0.2;0.25;0.3;0.35;0.45}-{0;2520;16920;31920;52920;85920;181920},0),2)</f>
        <v>694.47</v>
      </c>
      <c r="AF13" s="97">
        <f>IFERROR(VLOOKUP(E:E,'（居民）工资表-11月'!E:AF,28,0)+VLOOKUP(E:E,'（居民）工资表-11月'!E:AG,29,0),0)</f>
        <v>628.28</v>
      </c>
      <c r="AG13" s="97">
        <f t="shared" si="3"/>
        <v>66.1900000000001</v>
      </c>
      <c r="AH13" s="107">
        <f t="shared" si="4"/>
        <v>7139.97</v>
      </c>
      <c r="AI13" s="108"/>
      <c r="AJ13" s="107">
        <f t="shared" si="5"/>
        <v>7139.97</v>
      </c>
      <c r="AK13" s="109"/>
      <c r="AL13" s="107">
        <f t="shared" si="6"/>
        <v>7206.16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IF(SUMPRODUCT(N(E$1:E$17=E13))&gt;1,"重复","不")</f>
        <v>不</v>
      </c>
      <c r="AT13" s="116" t="str">
        <f>IF(SUMPRODUCT(N(AO$1:AO$17=AO13))&gt;1,"重复","不")</f>
        <v>重复</v>
      </c>
    </row>
    <row r="14" s="12" customFormat="1" ht="18" customHeight="1" spans="1:46">
      <c r="A14" s="36">
        <v>11</v>
      </c>
      <c r="B14" s="37" t="s">
        <v>144</v>
      </c>
      <c r="C14" s="37" t="s">
        <v>183</v>
      </c>
      <c r="D14" s="37" t="s">
        <v>145</v>
      </c>
      <c r="E14" s="328" t="s">
        <v>184</v>
      </c>
      <c r="F14" s="38" t="s">
        <v>150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f>VLOOKUP(C14,[2]Sheet1!$B$2:$F$14,5,0)</f>
        <v>21.14</v>
      </c>
      <c r="P14" s="71">
        <v>103</v>
      </c>
      <c r="Q14" s="89">
        <f t="shared" si="0"/>
        <v>546.84</v>
      </c>
      <c r="R14" s="70">
        <v>0</v>
      </c>
      <c r="S14" s="90">
        <f>L14+IFERROR(VLOOKUP($E:$E,'（居民）工资表-11月'!$E:$S,15,0),0)</f>
        <v>66000</v>
      </c>
      <c r="T14" s="91">
        <f>5000+IFERROR(VLOOKUP($E:$E,'（居民）工资表-11月'!$E:$T,16,0),0)</f>
        <v>55000</v>
      </c>
      <c r="U14" s="91">
        <f>Q14+IFERROR(VLOOKUP($E:$E,'（居民）工资表-11月'!$E:$U,17,0),0)</f>
        <v>6124.44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R14+IFERROR(VLOOKUP($E:$E,'（居民）工资表-11月'!$E:$AC,25,0),0)</f>
        <v>0</v>
      </c>
      <c r="AD14" s="95">
        <f t="shared" si="2"/>
        <v>4875.56</v>
      </c>
      <c r="AE14" s="96">
        <f>ROUND(MAX((AD14)*{0.03;0.1;0.2;0.25;0.3;0.35;0.45}-{0;2520;16920;31920;52920;85920;181920},0),2)</f>
        <v>146.27</v>
      </c>
      <c r="AF14" s="97">
        <f>IFERROR(VLOOKUP(E:E,'（居民）工资表-11月'!E:AF,28,0)+VLOOKUP(E:E,'（居民）工资表-11月'!E:AG,29,0),0)</f>
        <v>132.67</v>
      </c>
      <c r="AG14" s="97">
        <f t="shared" si="3"/>
        <v>13.6</v>
      </c>
      <c r="AH14" s="107">
        <f t="shared" si="4"/>
        <v>5439.56</v>
      </c>
      <c r="AI14" s="108"/>
      <c r="AJ14" s="107">
        <f t="shared" si="5"/>
        <v>5439.56</v>
      </c>
      <c r="AK14" s="109"/>
      <c r="AL14" s="107">
        <f t="shared" si="6"/>
        <v>5453.16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IF(SUMPRODUCT(N(E$1:E$17=E14))&gt;1,"重复","不")</f>
        <v>不</v>
      </c>
      <c r="AT14" s="116" t="str">
        <f>IF(SUMPRODUCT(N(AO$1:AO$17=AO14))&gt;1,"重复","不")</f>
        <v>重复</v>
      </c>
    </row>
    <row r="15" s="12" customFormat="1" ht="18" customHeight="1" spans="1:46">
      <c r="A15" s="36">
        <v>12</v>
      </c>
      <c r="B15" s="37" t="s">
        <v>144</v>
      </c>
      <c r="C15" s="37" t="s">
        <v>185</v>
      </c>
      <c r="D15" s="37" t="s">
        <v>145</v>
      </c>
      <c r="E15" s="328" t="s">
        <v>186</v>
      </c>
      <c r="F15" s="38" t="s">
        <v>146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f>VLOOKUP(C15,[2]Sheet1!$B$2:$F$14,5,0)</f>
        <v>21.14</v>
      </c>
      <c r="P15" s="71">
        <v>97</v>
      </c>
      <c r="Q15" s="89">
        <f t="shared" si="0"/>
        <v>550</v>
      </c>
      <c r="R15" s="70">
        <v>0</v>
      </c>
      <c r="S15" s="90">
        <f>L15+IFERROR(VLOOKUP($E:$E,'（居民）工资表-11月'!$E:$S,15,0),0)</f>
        <v>110000</v>
      </c>
      <c r="T15" s="91">
        <f>5000+IFERROR(VLOOKUP($E:$E,'（居民）工资表-11月'!$E:$T,16,0),0)</f>
        <v>55000</v>
      </c>
      <c r="U15" s="91">
        <f>Q15+IFERROR(VLOOKUP($E:$E,'（居民）工资表-11月'!$E:$U,17,0),0)</f>
        <v>6161.45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R15+IFERROR(VLOOKUP($E:$E,'（居民）工资表-11月'!$E:$AC,25,0),0)</f>
        <v>0</v>
      </c>
      <c r="AD15" s="95">
        <f t="shared" si="2"/>
        <v>48838.55</v>
      </c>
      <c r="AE15" s="96">
        <f>ROUND(MAX((AD15)*{0.03;0.1;0.2;0.25;0.3;0.35;0.45}-{0;2520;16920;31920;52920;85920;181920},0),2)</f>
        <v>2363.86</v>
      </c>
      <c r="AF15" s="97">
        <f>IFERROR(VLOOKUP(E:E,'（居民）工资表-11月'!E:AF,28,0)+VLOOKUP(E:E,'（居民）工资表-11月'!E:AG,29,0),0)</f>
        <v>1918.86</v>
      </c>
      <c r="AG15" s="97">
        <f t="shared" si="3"/>
        <v>445</v>
      </c>
      <c r="AH15" s="107">
        <f t="shared" si="4"/>
        <v>9005</v>
      </c>
      <c r="AI15" s="108"/>
      <c r="AJ15" s="107">
        <f t="shared" si="5"/>
        <v>9005</v>
      </c>
      <c r="AK15" s="109"/>
      <c r="AL15" s="107">
        <f t="shared" si="6"/>
        <v>9450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IF(SUMPRODUCT(N(E$1:E$17=E15))&gt;1,"重复","不")</f>
        <v>不</v>
      </c>
      <c r="AT15" s="116" t="str">
        <f>IF(SUMPRODUCT(N(AO$1:AO$17=AO15))&gt;1,"重复","不")</f>
        <v>重复</v>
      </c>
    </row>
    <row r="16" s="12" customFormat="1" ht="18" customHeight="1" spans="1:46">
      <c r="A16" s="36">
        <v>12</v>
      </c>
      <c r="B16" s="37" t="s">
        <v>144</v>
      </c>
      <c r="C16" s="37" t="s">
        <v>187</v>
      </c>
      <c r="D16" s="37" t="s">
        <v>145</v>
      </c>
      <c r="E16" s="37" t="s">
        <v>188</v>
      </c>
      <c r="F16" s="38" t="s">
        <v>146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f>VLOOKUP(C16,[2]Sheet1!$B$2:$F$14,5,0)</f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L16+IFERROR(VLOOKUP($E:$E,'（居民）工资表-11月'!$E:$S,15,0),0)</f>
        <v>65423.98</v>
      </c>
      <c r="T16" s="91">
        <f>5000+IFERROR(VLOOKUP($E:$E,'（居民）工资表-11月'!$E:$T,16,0),0)</f>
        <v>50000</v>
      </c>
      <c r="U16" s="91">
        <f>Q16+IFERROR(VLOOKUP($E:$E,'（居民）工资表-11月'!$E:$U,17,0),0)</f>
        <v>4448.37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R16+IFERROR(VLOOKUP($E:$E,'（居民）工资表-11月'!$E:$AC,25,0),0)</f>
        <v>0</v>
      </c>
      <c r="AD16" s="95">
        <f t="shared" si="2"/>
        <v>10975.61</v>
      </c>
      <c r="AE16" s="96">
        <f>ROUND(MAX((AD16)*{0.03;0.1;0.2;0.25;0.3;0.35;0.45}-{0;2520;16920;31920;52920;85920;181920},0),2)</f>
        <v>329.27</v>
      </c>
      <c r="AF16" s="97">
        <f>IFERROR(VLOOKUP(E:E,'（居民）工资表-11月'!E:AF,28,0)+VLOOKUP(E:E,'（居民）工资表-11月'!E:AG,29,0),0)</f>
        <v>267.85</v>
      </c>
      <c r="AG16" s="97">
        <f t="shared" si="3"/>
        <v>61.42</v>
      </c>
      <c r="AH16" s="107">
        <f t="shared" si="4"/>
        <v>6986.01</v>
      </c>
      <c r="AI16" s="108"/>
      <c r="AJ16" s="107">
        <f t="shared" si="5"/>
        <v>6986.01</v>
      </c>
      <c r="AK16" s="109"/>
      <c r="AL16" s="107">
        <f t="shared" si="6"/>
        <v>7047.43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IF(SUMPRODUCT(N(E$1:E$17=E16))&gt;1,"重复","不")</f>
        <v>不</v>
      </c>
      <c r="AT16" s="116" t="str">
        <f>IF(SUMPRODUCT(N(AO$1:AO$17=AO16))&gt;1,"重复","不")</f>
        <v>重复</v>
      </c>
    </row>
    <row r="17" s="12" customFormat="1" ht="18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189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 t="shared" ref="L18:AL18" si="8">SUM(L4:L17)</f>
        <v>122707.97</v>
      </c>
      <c r="M18" s="74">
        <f t="shared" si="8"/>
        <v>4786.25</v>
      </c>
      <c r="N18" s="74">
        <f t="shared" si="8"/>
        <v>1331.12</v>
      </c>
      <c r="O18" s="74">
        <f t="shared" si="8"/>
        <v>252.24</v>
      </c>
      <c r="P18" s="74">
        <f t="shared" si="8"/>
        <v>2232.9</v>
      </c>
      <c r="Q18" s="74">
        <f t="shared" si="8"/>
        <v>8602.51</v>
      </c>
      <c r="R18" s="74">
        <f t="shared" si="8"/>
        <v>0</v>
      </c>
      <c r="S18" s="74">
        <f t="shared" si="8"/>
        <v>1335543.06</v>
      </c>
      <c r="T18" s="74">
        <f t="shared" si="8"/>
        <v>710000</v>
      </c>
      <c r="U18" s="74">
        <f t="shared" si="8"/>
        <v>93875.92</v>
      </c>
      <c r="V18" s="74">
        <f t="shared" si="8"/>
        <v>12000</v>
      </c>
      <c r="W18" s="74">
        <f t="shared" si="8"/>
        <v>0</v>
      </c>
      <c r="X18" s="74">
        <f t="shared" si="8"/>
        <v>12000</v>
      </c>
      <c r="Y18" s="74">
        <f t="shared" si="8"/>
        <v>0</v>
      </c>
      <c r="Z18" s="74">
        <f t="shared" si="8"/>
        <v>4800</v>
      </c>
      <c r="AA18" s="74">
        <f t="shared" si="8"/>
        <v>0</v>
      </c>
      <c r="AB18" s="74">
        <f t="shared" si="8"/>
        <v>28800</v>
      </c>
      <c r="AC18" s="74">
        <f t="shared" si="8"/>
        <v>0</v>
      </c>
      <c r="AD18" s="74">
        <f t="shared" si="8"/>
        <v>502867.14</v>
      </c>
      <c r="AE18" s="74">
        <f t="shared" si="8"/>
        <v>46316.05</v>
      </c>
      <c r="AF18" s="74">
        <f t="shared" si="8"/>
        <v>40544.78</v>
      </c>
      <c r="AG18" s="74">
        <f t="shared" si="8"/>
        <v>6487.29</v>
      </c>
      <c r="AH18" s="74">
        <f t="shared" si="8"/>
        <v>107618.17</v>
      </c>
      <c r="AI18" s="126">
        <f t="shared" si="8"/>
        <v>0</v>
      </c>
      <c r="AJ18" s="74">
        <f t="shared" si="8"/>
        <v>107618.17</v>
      </c>
      <c r="AK18" s="74">
        <f t="shared" si="8"/>
        <v>0</v>
      </c>
      <c r="AL18" s="74">
        <f t="shared" si="8"/>
        <v>114105.46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133</v>
      </c>
      <c r="C22" s="47" t="s">
        <v>190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107618.17</v>
      </c>
      <c r="C23" s="48">
        <f>AG18</f>
        <v>6487.29</v>
      </c>
      <c r="D23" s="48">
        <f>AK18</f>
        <v>0</v>
      </c>
      <c r="E23" s="48">
        <f>B23+C23+D23</f>
        <v>114105.46</v>
      </c>
    </row>
    <row r="24" spans="2:5">
      <c r="B24" s="49"/>
      <c r="C24" s="49"/>
      <c r="D24" s="49"/>
      <c r="E24" s="49"/>
    </row>
    <row r="25" s="14" customFormat="1" spans="1:35">
      <c r="A25" s="51" t="s">
        <v>191</v>
      </c>
      <c r="B25" s="52" t="s">
        <v>192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193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194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195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196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197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198</v>
      </c>
    </row>
    <row r="33" spans="2:2">
      <c r="B33" s="59" t="s">
        <v>199</v>
      </c>
    </row>
    <row r="34" spans="2:2">
      <c r="B34" s="59" t="s">
        <v>200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25" style="15" customWidth="1"/>
    <col min="39" max="39" width="0.75" style="15" hidden="1" customWidth="1"/>
    <col min="40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>
        <f>U4/2</f>
        <v>310.515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210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70">
        <f t="shared" ref="Q4:Q16" si="0">ROUND(SUM(M4:P4),2)</f>
        <v>621.03</v>
      </c>
      <c r="R4" s="70">
        <v>0</v>
      </c>
      <c r="S4" s="92">
        <f t="shared" ref="S4:S16" si="1">L4</f>
        <v>8000</v>
      </c>
      <c r="T4" s="93">
        <v>5000</v>
      </c>
      <c r="U4" s="93">
        <f t="shared" ref="U4:U16" si="2">Q4</f>
        <v>621.03</v>
      </c>
      <c r="V4" s="70"/>
      <c r="W4" s="70"/>
      <c r="X4" s="70"/>
      <c r="Y4" s="70"/>
      <c r="Z4" s="70"/>
      <c r="AA4" s="70"/>
      <c r="AB4" s="92">
        <f t="shared" ref="AB4:AB16" si="3">ROUND(SUM(V4:AA4),2)</f>
        <v>0</v>
      </c>
      <c r="AC4" s="92">
        <f t="shared" ref="AC4:AC16" si="4">R4</f>
        <v>0</v>
      </c>
      <c r="AD4" s="98">
        <f t="shared" ref="AD4:AD16" si="5">ROUND(S4-T4-U4-AB4-AC4,2)</f>
        <v>2378.97</v>
      </c>
      <c r="AE4" s="99">
        <f>ROUND(MAX((AD4)*{0.03;0.1;0.2;0.25;0.3;0.35;0.45}-{0;2520;16920;31920;52920;85920;181920},0),2)</f>
        <v>71.37</v>
      </c>
      <c r="AF4" s="100">
        <v>0</v>
      </c>
      <c r="AG4" s="100">
        <f t="shared" ref="AG4:AG16" si="6">IF((AE4-AF4)&lt;0,0,AE4-AF4)</f>
        <v>71.37</v>
      </c>
      <c r="AH4" s="109">
        <f t="shared" ref="AH4:AH16" si="7">ROUND(IF((L4-Q4-AG4)&lt;0,0,(L4-Q4-AG4)),2)</f>
        <v>7307.6</v>
      </c>
      <c r="AI4" s="108"/>
      <c r="AJ4" s="109">
        <f t="shared" ref="AJ4:AJ16" si="8">AH4+AI4</f>
        <v>7307.6</v>
      </c>
      <c r="AK4" s="109"/>
      <c r="AL4" s="109">
        <f t="shared" ref="AL4:AL16" si="9">AJ4+AG4+AK4</f>
        <v>7378.97</v>
      </c>
      <c r="AM4" s="109"/>
      <c r="AN4" s="109"/>
      <c r="AO4" s="109"/>
      <c r="AP4" s="109"/>
      <c r="AQ4" s="109"/>
      <c r="AR4" s="117" t="str">
        <f t="shared" ref="AR4:AR16" si="10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IF(SUMPRODUCT(N(E$1:E$17=E4))&gt;1,"重复","不")</f>
        <v>不</v>
      </c>
      <c r="AT4" s="117" t="str">
        <f>IF(SUMPRODUCT(N(AO$1:AO$17=AO4))&gt;1,"重复","不")</f>
        <v>重复</v>
      </c>
    </row>
    <row r="5" s="12" customFormat="1" ht="18" customHeight="1" spans="1:46">
      <c r="A5" s="36">
        <v>2</v>
      </c>
      <c r="B5" s="37" t="s">
        <v>144</v>
      </c>
      <c r="C5" s="37" t="s">
        <v>148</v>
      </c>
      <c r="D5" s="37" t="s">
        <v>145</v>
      </c>
      <c r="E5" s="328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6160</v>
      </c>
      <c r="M5" s="71">
        <v>560.96</v>
      </c>
      <c r="N5" s="71">
        <v>133.12</v>
      </c>
      <c r="O5" s="71">
        <v>4.6</v>
      </c>
      <c r="P5" s="71">
        <v>115</v>
      </c>
      <c r="Q5" s="70">
        <f t="shared" si="0"/>
        <v>813.68</v>
      </c>
      <c r="R5" s="70">
        <v>0</v>
      </c>
      <c r="S5" s="92">
        <f t="shared" si="1"/>
        <v>6160</v>
      </c>
      <c r="T5" s="93">
        <v>5000</v>
      </c>
      <c r="U5" s="93">
        <f t="shared" si="2"/>
        <v>813.68</v>
      </c>
      <c r="V5" s="70"/>
      <c r="W5" s="70"/>
      <c r="X5" s="70"/>
      <c r="Y5" s="70"/>
      <c r="Z5" s="70"/>
      <c r="AA5" s="70"/>
      <c r="AB5" s="92">
        <f t="shared" si="3"/>
        <v>0</v>
      </c>
      <c r="AC5" s="92">
        <f t="shared" si="4"/>
        <v>0</v>
      </c>
      <c r="AD5" s="98">
        <f t="shared" si="5"/>
        <v>346.32</v>
      </c>
      <c r="AE5" s="99">
        <f>ROUND(MAX((AD5)*{0.03;0.1;0.2;0.25;0.3;0.35;0.45}-{0;2520;16920;31920;52920;85920;181920},0),2)</f>
        <v>10.39</v>
      </c>
      <c r="AF5" s="100">
        <v>0</v>
      </c>
      <c r="AG5" s="100">
        <f t="shared" si="6"/>
        <v>10.39</v>
      </c>
      <c r="AH5" s="109">
        <f t="shared" si="7"/>
        <v>5335.93</v>
      </c>
      <c r="AI5" s="108"/>
      <c r="AJ5" s="109">
        <f t="shared" si="8"/>
        <v>5335.93</v>
      </c>
      <c r="AK5" s="109"/>
      <c r="AL5" s="109">
        <f t="shared" si="9"/>
        <v>5346.32</v>
      </c>
      <c r="AM5" s="109"/>
      <c r="AN5" s="109"/>
      <c r="AO5" s="109"/>
      <c r="AP5" s="109"/>
      <c r="AQ5" s="109"/>
      <c r="AR5" s="117" t="str">
        <f t="shared" si="10"/>
        <v>正确</v>
      </c>
      <c r="AS5" s="117" t="str">
        <f>IF(SUMPRODUCT(N(E$1:E$17=E5))&gt;1,"重复","不")</f>
        <v>不</v>
      </c>
      <c r="AT5" s="117" t="str">
        <f>IF(SUMPRODUCT(N(AO$1:AO$17=AO5))&gt;1,"重复","不")</f>
        <v>重复</v>
      </c>
    </row>
    <row r="6" s="12" customFormat="1" ht="18" customHeight="1" spans="1:46">
      <c r="A6" s="36">
        <v>3</v>
      </c>
      <c r="B6" s="37" t="s">
        <v>144</v>
      </c>
      <c r="C6" s="37" t="s">
        <v>151</v>
      </c>
      <c r="D6" s="37" t="s">
        <v>145</v>
      </c>
      <c r="E6" s="328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70">
        <f t="shared" si="0"/>
        <v>963.32</v>
      </c>
      <c r="R6" s="70">
        <v>0</v>
      </c>
      <c r="S6" s="92">
        <f t="shared" si="1"/>
        <v>30060</v>
      </c>
      <c r="T6" s="93">
        <v>5000</v>
      </c>
      <c r="U6" s="93">
        <f t="shared" si="2"/>
        <v>963.32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24096.68</v>
      </c>
      <c r="AE6" s="99">
        <f>ROUND(MAX((AD6)*{0.03;0.1;0.2;0.25;0.3;0.35;0.45}-{0;2520;16920;31920;52920;85920;181920},0),2)</f>
        <v>722.9</v>
      </c>
      <c r="AF6" s="100">
        <v>0</v>
      </c>
      <c r="AG6" s="100">
        <f t="shared" si="6"/>
        <v>722.9</v>
      </c>
      <c r="AH6" s="109">
        <f t="shared" si="7"/>
        <v>28373.78</v>
      </c>
      <c r="AI6" s="108"/>
      <c r="AJ6" s="109">
        <f t="shared" si="8"/>
        <v>28373.78</v>
      </c>
      <c r="AK6" s="109"/>
      <c r="AL6" s="109">
        <f t="shared" si="9"/>
        <v>29096.68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>IF(SUMPRODUCT(N(E$1:E$17=E6))&gt;1,"重复","不")</f>
        <v>不</v>
      </c>
      <c r="AT6" s="117" t="str">
        <f>IF(SUMPRODUCT(N(AO$1:AO$17=AO6))&gt;1,"重复","不")</f>
        <v>重复</v>
      </c>
    </row>
    <row r="7" s="12" customFormat="1" ht="18" customHeight="1" spans="1:46">
      <c r="A7" s="36">
        <v>4</v>
      </c>
      <c r="B7" s="37" t="s">
        <v>144</v>
      </c>
      <c r="C7" s="37" t="s">
        <v>156</v>
      </c>
      <c r="D7" s="37" t="s">
        <v>145</v>
      </c>
      <c r="E7" s="328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70">
        <f t="shared" si="0"/>
        <v>550</v>
      </c>
      <c r="R7" s="70">
        <v>0</v>
      </c>
      <c r="S7" s="92">
        <f t="shared" si="1"/>
        <v>9000</v>
      </c>
      <c r="T7" s="93">
        <v>5000</v>
      </c>
      <c r="U7" s="93">
        <f t="shared" si="2"/>
        <v>550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3450</v>
      </c>
      <c r="AE7" s="99">
        <f>ROUND(MAX((AD7)*{0.03;0.1;0.2;0.25;0.3;0.35;0.45}-{0;2520;16920;31920;52920;85920;181920},0),2)</f>
        <v>103.5</v>
      </c>
      <c r="AF7" s="100">
        <v>0</v>
      </c>
      <c r="AG7" s="100">
        <f t="shared" si="6"/>
        <v>103.5</v>
      </c>
      <c r="AH7" s="109">
        <f t="shared" si="7"/>
        <v>8346.5</v>
      </c>
      <c r="AI7" s="108"/>
      <c r="AJ7" s="109">
        <f t="shared" si="8"/>
        <v>8346.5</v>
      </c>
      <c r="AK7" s="109"/>
      <c r="AL7" s="109">
        <f t="shared" si="9"/>
        <v>8450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>IF(SUMPRODUCT(N(E$1:E$17=E7))&gt;1,"重复","不")</f>
        <v>不</v>
      </c>
      <c r="AT7" s="117" t="str">
        <f>IF(SUMPRODUCT(N(AO$1:AO$17=AO7))&gt;1,"重复","不")</f>
        <v>重复</v>
      </c>
    </row>
    <row r="8" s="12" customFormat="1" ht="18" customHeight="1" spans="1:46">
      <c r="A8" s="36">
        <v>5</v>
      </c>
      <c r="B8" s="37" t="s">
        <v>144</v>
      </c>
      <c r="C8" s="37" t="s">
        <v>160</v>
      </c>
      <c r="D8" s="37" t="s">
        <v>145</v>
      </c>
      <c r="E8" s="328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70">
        <f t="shared" si="0"/>
        <v>793.84</v>
      </c>
      <c r="R8" s="70">
        <v>0</v>
      </c>
      <c r="S8" s="92">
        <f t="shared" si="1"/>
        <v>10500</v>
      </c>
      <c r="T8" s="93">
        <v>5000</v>
      </c>
      <c r="U8" s="93">
        <f t="shared" si="2"/>
        <v>793.84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4706.16</v>
      </c>
      <c r="AE8" s="99">
        <f>ROUND(MAX((AD8)*{0.03;0.1;0.2;0.25;0.3;0.35;0.45}-{0;2520;16920;31920;52920;85920;181920},0),2)</f>
        <v>141.18</v>
      </c>
      <c r="AF8" s="100">
        <v>0</v>
      </c>
      <c r="AG8" s="100">
        <f t="shared" si="6"/>
        <v>141.18</v>
      </c>
      <c r="AH8" s="109">
        <f t="shared" si="7"/>
        <v>9564.98</v>
      </c>
      <c r="AI8" s="108"/>
      <c r="AJ8" s="109">
        <f t="shared" si="8"/>
        <v>9564.98</v>
      </c>
      <c r="AK8" s="109"/>
      <c r="AL8" s="109">
        <f t="shared" si="9"/>
        <v>9706.16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>IF(SUMPRODUCT(N(E$1:E$17=E8))&gt;1,"重复","不")</f>
        <v>不</v>
      </c>
      <c r="AT8" s="117" t="str">
        <f>IF(SUMPRODUCT(N(AO$1:AO$17=AO8))&gt;1,"重复","不")</f>
        <v>重复</v>
      </c>
    </row>
    <row r="9" s="12" customFormat="1" ht="18" customHeight="1" spans="1:46">
      <c r="A9" s="36">
        <v>6</v>
      </c>
      <c r="B9" s="37" t="s">
        <v>144</v>
      </c>
      <c r="C9" s="37" t="s">
        <v>162</v>
      </c>
      <c r="D9" s="37" t="s">
        <v>145</v>
      </c>
      <c r="E9" s="328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322.16</v>
      </c>
      <c r="N9" s="71">
        <v>95.54</v>
      </c>
      <c r="O9" s="71">
        <v>12.08</v>
      </c>
      <c r="P9" s="71">
        <v>100</v>
      </c>
      <c r="Q9" s="70">
        <f t="shared" si="0"/>
        <v>529.78</v>
      </c>
      <c r="R9" s="70">
        <v>0</v>
      </c>
      <c r="S9" s="92">
        <f t="shared" si="1"/>
        <v>6500</v>
      </c>
      <c r="T9" s="93">
        <v>5000</v>
      </c>
      <c r="U9" s="93">
        <f t="shared" si="2"/>
        <v>529.78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970.22</v>
      </c>
      <c r="AE9" s="99">
        <f>ROUND(MAX((AD9)*{0.03;0.1;0.2;0.25;0.3;0.35;0.45}-{0;2520;16920;31920;52920;85920;181920},0),2)</f>
        <v>29.11</v>
      </c>
      <c r="AF9" s="100">
        <v>0</v>
      </c>
      <c r="AG9" s="100">
        <f t="shared" si="6"/>
        <v>29.11</v>
      </c>
      <c r="AH9" s="109">
        <f t="shared" si="7"/>
        <v>5941.11</v>
      </c>
      <c r="AI9" s="108"/>
      <c r="AJ9" s="109">
        <f t="shared" si="8"/>
        <v>5941.11</v>
      </c>
      <c r="AK9" s="109"/>
      <c r="AL9" s="109">
        <f t="shared" si="9"/>
        <v>5970.22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>IF(SUMPRODUCT(N(E$1:E$17=E9))&gt;1,"重复","不")</f>
        <v>不</v>
      </c>
      <c r="AT9" s="117" t="str">
        <f>IF(SUMPRODUCT(N(AO$1:AO$17=AO9))&gt;1,"重复","不")</f>
        <v>重复</v>
      </c>
    </row>
    <row r="10" s="12" customFormat="1" ht="18" customHeight="1" spans="1:46">
      <c r="A10" s="36">
        <v>7</v>
      </c>
      <c r="B10" s="37" t="s">
        <v>144</v>
      </c>
      <c r="C10" s="37" t="s">
        <v>165</v>
      </c>
      <c r="D10" s="37" t="s">
        <v>145</v>
      </c>
      <c r="E10" s="328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4422.9</v>
      </c>
      <c r="M10" s="71">
        <v>401.04</v>
      </c>
      <c r="N10" s="71">
        <v>122.26</v>
      </c>
      <c r="O10" s="71">
        <v>25.07</v>
      </c>
      <c r="P10" s="71">
        <v>116</v>
      </c>
      <c r="Q10" s="70">
        <f t="shared" si="0"/>
        <v>664.37</v>
      </c>
      <c r="R10" s="70">
        <v>0</v>
      </c>
      <c r="S10" s="92">
        <f t="shared" si="1"/>
        <v>4422.9</v>
      </c>
      <c r="T10" s="93">
        <v>5000</v>
      </c>
      <c r="U10" s="93">
        <f t="shared" si="2"/>
        <v>664.37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-1241.47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3758.53</v>
      </c>
      <c r="AI10" s="108"/>
      <c r="AJ10" s="109">
        <f t="shared" si="8"/>
        <v>3758.53</v>
      </c>
      <c r="AK10" s="109"/>
      <c r="AL10" s="109">
        <f t="shared" si="9"/>
        <v>3758.53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>IF(SUMPRODUCT(N(E$1:E$17=E10))&gt;1,"重复","不")</f>
        <v>不</v>
      </c>
      <c r="AT10" s="117" t="str">
        <f>IF(SUMPRODUCT(N(AO$1:AO$17=AO10))&gt;1,"重复","不")</f>
        <v>重复</v>
      </c>
    </row>
    <row r="11" s="12" customFormat="1" ht="18" customHeight="1" spans="1:46">
      <c r="A11" s="36">
        <v>8</v>
      </c>
      <c r="B11" s="37" t="s">
        <v>144</v>
      </c>
      <c r="C11" s="37" t="s">
        <v>170</v>
      </c>
      <c r="D11" s="37" t="s">
        <v>145</v>
      </c>
      <c r="E11" s="328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70">
        <f t="shared" si="0"/>
        <v>580.84</v>
      </c>
      <c r="R11" s="70">
        <v>0</v>
      </c>
      <c r="S11" s="92">
        <f t="shared" si="1"/>
        <v>9000</v>
      </c>
      <c r="T11" s="93">
        <v>5000</v>
      </c>
      <c r="U11" s="93">
        <f t="shared" si="2"/>
        <v>580.84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3419.16</v>
      </c>
      <c r="AE11" s="99">
        <f>ROUND(MAX((AD11)*{0.03;0.1;0.2;0.25;0.3;0.35;0.45}-{0;2520;16920;31920;52920;85920;181920},0),2)</f>
        <v>102.57</v>
      </c>
      <c r="AF11" s="100">
        <v>0</v>
      </c>
      <c r="AG11" s="100">
        <f t="shared" si="6"/>
        <v>102.57</v>
      </c>
      <c r="AH11" s="109">
        <f t="shared" si="7"/>
        <v>8316.59</v>
      </c>
      <c r="AI11" s="108"/>
      <c r="AJ11" s="109">
        <f t="shared" si="8"/>
        <v>8316.59</v>
      </c>
      <c r="AK11" s="109"/>
      <c r="AL11" s="109">
        <f t="shared" si="9"/>
        <v>8419.16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>IF(SUMPRODUCT(N(E$1:E$17=E11))&gt;1,"重复","不")</f>
        <v>不</v>
      </c>
      <c r="AT11" s="117" t="str">
        <f>IF(SUMPRODUCT(N(AO$1:AO$17=AO11))&gt;1,"重复","不")</f>
        <v>重复</v>
      </c>
    </row>
    <row r="12" s="12" customFormat="1" ht="18" customHeight="1" spans="1:46">
      <c r="A12" s="36">
        <v>9</v>
      </c>
      <c r="B12" s="37" t="s">
        <v>144</v>
      </c>
      <c r="C12" s="37" t="s">
        <v>174</v>
      </c>
      <c r="D12" s="37" t="s">
        <v>145</v>
      </c>
      <c r="E12" s="328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70">
        <f t="shared" si="0"/>
        <v>793.84</v>
      </c>
      <c r="R12" s="70">
        <v>0</v>
      </c>
      <c r="S12" s="92">
        <f t="shared" si="1"/>
        <v>7500</v>
      </c>
      <c r="T12" s="93">
        <v>5000</v>
      </c>
      <c r="U12" s="93">
        <f t="shared" si="2"/>
        <v>793.84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1706.16</v>
      </c>
      <c r="AE12" s="99">
        <f>ROUND(MAX((AD12)*{0.03;0.1;0.2;0.25;0.3;0.35;0.45}-{0;2520;16920;31920;52920;85920;181920},0),2)</f>
        <v>51.18</v>
      </c>
      <c r="AF12" s="100">
        <v>0</v>
      </c>
      <c r="AG12" s="100">
        <f t="shared" si="6"/>
        <v>51.18</v>
      </c>
      <c r="AH12" s="109">
        <f t="shared" si="7"/>
        <v>6654.98</v>
      </c>
      <c r="AI12" s="108"/>
      <c r="AJ12" s="109">
        <f t="shared" si="8"/>
        <v>6654.98</v>
      </c>
      <c r="AK12" s="109"/>
      <c r="AL12" s="109">
        <f t="shared" si="9"/>
        <v>6706.16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>IF(SUMPRODUCT(N(E$1:E$17=E12))&gt;1,"重复","不")</f>
        <v>不</v>
      </c>
      <c r="AT12" s="117" t="str">
        <f>IF(SUMPRODUCT(N(AO$1:AO$17=AO12))&gt;1,"重复","不")</f>
        <v>重复</v>
      </c>
    </row>
    <row r="13" s="12" customFormat="1" ht="18" customHeight="1" spans="1:46">
      <c r="A13" s="36">
        <v>10</v>
      </c>
      <c r="B13" s="37" t="s">
        <v>144</v>
      </c>
      <c r="C13" s="37" t="s">
        <v>176</v>
      </c>
      <c r="D13" s="37" t="s">
        <v>145</v>
      </c>
      <c r="E13" s="328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70">
        <f t="shared" si="0"/>
        <v>793.84</v>
      </c>
      <c r="R13" s="70">
        <v>0</v>
      </c>
      <c r="S13" s="92">
        <f t="shared" si="1"/>
        <v>8000</v>
      </c>
      <c r="T13" s="93">
        <v>5000</v>
      </c>
      <c r="U13" s="93">
        <f t="shared" si="2"/>
        <v>793.84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2206.16</v>
      </c>
      <c r="AE13" s="99">
        <f>ROUND(MAX((AD13)*{0.03;0.1;0.2;0.25;0.3;0.35;0.45}-{0;2520;16920;31920;52920;85920;181920},0),2)</f>
        <v>66.18</v>
      </c>
      <c r="AF13" s="100">
        <v>0</v>
      </c>
      <c r="AG13" s="100">
        <f t="shared" si="6"/>
        <v>66.18</v>
      </c>
      <c r="AH13" s="109">
        <f t="shared" si="7"/>
        <v>7139.98</v>
      </c>
      <c r="AI13" s="108"/>
      <c r="AJ13" s="109">
        <f t="shared" si="8"/>
        <v>7139.98</v>
      </c>
      <c r="AK13" s="109"/>
      <c r="AL13" s="109">
        <f t="shared" si="9"/>
        <v>7206.16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>IF(SUMPRODUCT(N(E$1:E$17=E13))&gt;1,"重复","不")</f>
        <v>不</v>
      </c>
      <c r="AT13" s="117" t="str">
        <f>IF(SUMPRODUCT(N(AO$1:AO$17=AO13))&gt;1,"重复","不")</f>
        <v>重复</v>
      </c>
    </row>
    <row r="14" s="12" customFormat="1" ht="18" customHeight="1" spans="1:46">
      <c r="A14" s="36">
        <v>11</v>
      </c>
      <c r="B14" s="37" t="s">
        <v>144</v>
      </c>
      <c r="C14" s="37" t="s">
        <v>183</v>
      </c>
      <c r="D14" s="37" t="s">
        <v>145</v>
      </c>
      <c r="E14" s="328" t="s">
        <v>184</v>
      </c>
      <c r="F14" s="38" t="s">
        <v>150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70">
        <f t="shared" si="0"/>
        <v>546.84</v>
      </c>
      <c r="R14" s="70">
        <v>0</v>
      </c>
      <c r="S14" s="92">
        <f t="shared" si="1"/>
        <v>6000</v>
      </c>
      <c r="T14" s="93">
        <v>5000</v>
      </c>
      <c r="U14" s="93">
        <f t="shared" si="2"/>
        <v>546.84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453.16</v>
      </c>
      <c r="AE14" s="99">
        <f>ROUND(MAX((AD14)*{0.03;0.1;0.2;0.25;0.3;0.35;0.45}-{0;2520;16920;31920;52920;85920;181920},0),2)</f>
        <v>13.59</v>
      </c>
      <c r="AF14" s="100">
        <v>0</v>
      </c>
      <c r="AG14" s="100">
        <f t="shared" si="6"/>
        <v>13.59</v>
      </c>
      <c r="AH14" s="109">
        <f t="shared" si="7"/>
        <v>5439.57</v>
      </c>
      <c r="AI14" s="108"/>
      <c r="AJ14" s="109">
        <f t="shared" si="8"/>
        <v>5439.57</v>
      </c>
      <c r="AK14" s="109"/>
      <c r="AL14" s="109">
        <f t="shared" si="9"/>
        <v>5453.16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>IF(SUMPRODUCT(N(E$1:E$17=E14))&gt;1,"重复","不")</f>
        <v>不</v>
      </c>
      <c r="AT14" s="117" t="str">
        <f>IF(SUMPRODUCT(N(AO$1:AO$17=AO14))&gt;1,"重复","不")</f>
        <v>重复</v>
      </c>
    </row>
    <row r="15" s="12" customFormat="1" ht="18" customHeight="1" spans="1:46">
      <c r="A15" s="36">
        <v>12</v>
      </c>
      <c r="B15" s="37" t="s">
        <v>144</v>
      </c>
      <c r="C15" s="37" t="s">
        <v>185</v>
      </c>
      <c r="D15" s="37" t="s">
        <v>145</v>
      </c>
      <c r="E15" s="328" t="s">
        <v>186</v>
      </c>
      <c r="F15" s="38" t="s">
        <v>146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70">
        <f t="shared" si="0"/>
        <v>550</v>
      </c>
      <c r="R15" s="70">
        <v>0</v>
      </c>
      <c r="S15" s="92">
        <f t="shared" si="1"/>
        <v>10000</v>
      </c>
      <c r="T15" s="93">
        <v>5000</v>
      </c>
      <c r="U15" s="93">
        <f t="shared" si="2"/>
        <v>550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4450</v>
      </c>
      <c r="AE15" s="99">
        <f>ROUND(MAX((AD15)*{0.03;0.1;0.2;0.25;0.3;0.35;0.45}-{0;2520;16920;31920;52920;85920;181920},0),2)</f>
        <v>133.5</v>
      </c>
      <c r="AF15" s="100">
        <v>0</v>
      </c>
      <c r="AG15" s="100">
        <f t="shared" si="6"/>
        <v>133.5</v>
      </c>
      <c r="AH15" s="109">
        <f t="shared" si="7"/>
        <v>9316.5</v>
      </c>
      <c r="AI15" s="108"/>
      <c r="AJ15" s="109">
        <f t="shared" si="8"/>
        <v>9316.5</v>
      </c>
      <c r="AK15" s="109"/>
      <c r="AL15" s="109">
        <f t="shared" si="9"/>
        <v>9450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>IF(SUMPRODUCT(N(E$1:E$17=E15))&gt;1,"重复","不")</f>
        <v>不</v>
      </c>
      <c r="AT15" s="117" t="str">
        <f>IF(SUMPRODUCT(N(AO$1:AO$17=AO15))&gt;1,"重复","不")</f>
        <v>重复</v>
      </c>
    </row>
    <row r="16" s="12" customFormat="1" ht="18" customHeight="1" spans="1:46">
      <c r="A16" s="36">
        <v>13</v>
      </c>
      <c r="B16" s="37" t="s">
        <v>144</v>
      </c>
      <c r="C16" s="37" t="s">
        <v>187</v>
      </c>
      <c r="D16" s="37" t="s">
        <v>145</v>
      </c>
      <c r="E16" s="37" t="s">
        <v>188</v>
      </c>
      <c r="F16" s="38" t="s">
        <v>146</v>
      </c>
      <c r="G16" s="39">
        <v>13711361074</v>
      </c>
      <c r="H16" s="40"/>
      <c r="I16" s="40"/>
      <c r="J16" s="69"/>
      <c r="K16" s="40"/>
      <c r="L16" s="70">
        <v>7600</v>
      </c>
      <c r="M16" s="71">
        <v>359.52</v>
      </c>
      <c r="N16" s="71">
        <v>96.88</v>
      </c>
      <c r="O16" s="71">
        <v>13.48</v>
      </c>
      <c r="P16" s="71">
        <v>110.5</v>
      </c>
      <c r="Q16" s="70">
        <f t="shared" si="0"/>
        <v>580.38</v>
      </c>
      <c r="R16" s="70">
        <v>0</v>
      </c>
      <c r="S16" s="92">
        <f t="shared" si="1"/>
        <v>7600</v>
      </c>
      <c r="T16" s="93">
        <v>5000</v>
      </c>
      <c r="U16" s="93">
        <f t="shared" si="2"/>
        <v>580.38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2019.62</v>
      </c>
      <c r="AE16" s="99">
        <f>ROUND(MAX((AD16)*{0.03;0.1;0.2;0.25;0.3;0.35;0.45}-{0;2520;16920;31920;52920;85920;181920},0),2)</f>
        <v>60.59</v>
      </c>
      <c r="AF16" s="100">
        <v>0</v>
      </c>
      <c r="AG16" s="100">
        <f t="shared" si="6"/>
        <v>60.59</v>
      </c>
      <c r="AH16" s="109">
        <f t="shared" si="7"/>
        <v>6959.03</v>
      </c>
      <c r="AI16" s="108"/>
      <c r="AJ16" s="109">
        <f t="shared" si="8"/>
        <v>6959.03</v>
      </c>
      <c r="AK16" s="109"/>
      <c r="AL16" s="109">
        <f t="shared" si="9"/>
        <v>7019.62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>IF(SUMPRODUCT(N(E$1:E$17=E16))&gt;1,"重复","不")</f>
        <v>不</v>
      </c>
      <c r="AT16" s="117" t="str">
        <f>IF(SUMPRODUCT(N(AO$1:AO$17=AO16))&gt;1,"重复","不")</f>
        <v>重复</v>
      </c>
    </row>
    <row r="17" s="12" customFormat="1" ht="18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125"/>
      <c r="W17" s="125"/>
      <c r="X17" s="125"/>
      <c r="Y17" s="125"/>
      <c r="Z17" s="125"/>
      <c r="AA17" s="125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189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122742.9</v>
      </c>
      <c r="M18" s="74">
        <f t="shared" ref="M18:AL18" si="11">SUM(M4:M17)</f>
        <v>4946.09</v>
      </c>
      <c r="N18" s="74">
        <f t="shared" si="11"/>
        <v>1349.72</v>
      </c>
      <c r="O18" s="74">
        <f t="shared" si="11"/>
        <v>253.05</v>
      </c>
      <c r="P18" s="74">
        <f t="shared" si="11"/>
        <v>2232.9</v>
      </c>
      <c r="Q18" s="74">
        <f t="shared" si="11"/>
        <v>8781.76</v>
      </c>
      <c r="R18" s="74">
        <f t="shared" si="11"/>
        <v>0</v>
      </c>
      <c r="S18" s="74">
        <f t="shared" si="11"/>
        <v>122742.9</v>
      </c>
      <c r="T18" s="74">
        <f t="shared" si="11"/>
        <v>65000</v>
      </c>
      <c r="U18" s="74">
        <f t="shared" si="11"/>
        <v>8781.76</v>
      </c>
      <c r="V18" s="74">
        <f t="shared" si="11"/>
        <v>0</v>
      </c>
      <c r="W18" s="74">
        <f t="shared" si="11"/>
        <v>0</v>
      </c>
      <c r="X18" s="74">
        <f t="shared" si="11"/>
        <v>0</v>
      </c>
      <c r="Y18" s="74">
        <f t="shared" si="11"/>
        <v>0</v>
      </c>
      <c r="Z18" s="74">
        <f t="shared" si="11"/>
        <v>0</v>
      </c>
      <c r="AA18" s="74">
        <f t="shared" si="11"/>
        <v>0</v>
      </c>
      <c r="AB18" s="74">
        <f t="shared" si="11"/>
        <v>0</v>
      </c>
      <c r="AC18" s="74">
        <f t="shared" si="11"/>
        <v>0</v>
      </c>
      <c r="AD18" s="74">
        <f t="shared" si="11"/>
        <v>48961.14</v>
      </c>
      <c r="AE18" s="74">
        <f t="shared" si="11"/>
        <v>1506.06</v>
      </c>
      <c r="AF18" s="74">
        <f t="shared" si="11"/>
        <v>0</v>
      </c>
      <c r="AG18" s="74">
        <f t="shared" si="11"/>
        <v>1506.06</v>
      </c>
      <c r="AH18" s="74">
        <f t="shared" si="11"/>
        <v>112455.08</v>
      </c>
      <c r="AI18" s="74">
        <f t="shared" si="11"/>
        <v>0</v>
      </c>
      <c r="AJ18" s="74">
        <f t="shared" si="11"/>
        <v>112455.08</v>
      </c>
      <c r="AK18" s="74">
        <f t="shared" si="11"/>
        <v>0</v>
      </c>
      <c r="AL18" s="74">
        <f t="shared" si="11"/>
        <v>113961.14</v>
      </c>
      <c r="AM18" s="110"/>
      <c r="AN18" s="110"/>
      <c r="AO18" s="110"/>
      <c r="AP18" s="110"/>
      <c r="AQ18" s="110"/>
      <c r="AR18" s="45"/>
      <c r="AS18" s="45"/>
      <c r="AT18" s="118"/>
    </row>
    <row r="19" spans="38:38">
      <c r="AL19" s="15">
        <v>31841.4778</v>
      </c>
    </row>
    <row r="21" spans="30:30">
      <c r="AD21" s="101"/>
    </row>
    <row r="22" ht="18.75" customHeight="1" spans="2:30">
      <c r="B22" s="47" t="s">
        <v>133</v>
      </c>
      <c r="C22" s="47" t="s">
        <v>190</v>
      </c>
      <c r="D22" s="47" t="s">
        <v>210</v>
      </c>
      <c r="E22" s="47" t="s">
        <v>23</v>
      </c>
      <c r="AD22" s="10"/>
    </row>
    <row r="23" ht="18.75" customHeight="1" spans="2:5">
      <c r="B23" s="48">
        <f>AJ18</f>
        <v>112455.08</v>
      </c>
      <c r="C23" s="48">
        <f>AG18</f>
        <v>1506.06</v>
      </c>
      <c r="D23" s="48">
        <f>AK18</f>
        <v>0</v>
      </c>
      <c r="E23" s="48">
        <f>B23+C23+D23</f>
        <v>113961.14</v>
      </c>
    </row>
    <row r="24" spans="2:5">
      <c r="B24" s="49"/>
      <c r="C24" s="49"/>
      <c r="D24" s="49"/>
      <c r="E24" s="49"/>
    </row>
    <row r="25" s="14" customFormat="1" spans="1:35">
      <c r="A25" s="51" t="s">
        <v>191</v>
      </c>
      <c r="B25" s="52" t="s">
        <v>192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193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194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195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196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197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198</v>
      </c>
    </row>
    <row r="33" spans="2:2">
      <c r="B33" s="59" t="s">
        <v>199</v>
      </c>
    </row>
    <row r="34" spans="2:2">
      <c r="B34" s="59" t="s">
        <v>200</v>
      </c>
    </row>
  </sheetData>
  <autoFilter xmlns:etc="http://www.wps.cn/officeDocument/2017/etCustomData" ref="A3:AT19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V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>ROUND(SUM(M4:P4),2)</f>
        <v>621.03</v>
      </c>
      <c r="R4" s="70">
        <v>0</v>
      </c>
      <c r="S4" s="90">
        <f>L4+IFERROR(VLOOKUP($E:$E,'（居民）工资表-2月'!$E:$S,15,0),0)</f>
        <v>16000</v>
      </c>
      <c r="T4" s="91">
        <f>5000+IFERROR(VLOOKUP($E:$E,'（居民）工资表-2月'!$E:$T,16,0),0)</f>
        <v>10000</v>
      </c>
      <c r="U4" s="91">
        <f>Q4+IFERROR(VLOOKUP($E:$E,'（居民）工资表-2月'!$E:$U,17,0),0)</f>
        <v>1242.06</v>
      </c>
      <c r="V4" s="70">
        <v>3000</v>
      </c>
      <c r="W4" s="70"/>
      <c r="X4" s="70">
        <v>3000</v>
      </c>
      <c r="Y4" s="70"/>
      <c r="Z4" s="70">
        <v>1200</v>
      </c>
      <c r="AA4" s="70"/>
      <c r="AB4" s="90">
        <f>ROUND(SUM(V4:AA4),2)</f>
        <v>7200</v>
      </c>
      <c r="AC4" s="90">
        <f>R4+IFERROR(VLOOKUP($E:$E,'（居民）工资表-2月'!$E:$AC,25,0),0)</f>
        <v>0</v>
      </c>
      <c r="AD4" s="95">
        <f>ROUND(S4-T4-U4-AB4-AC4,2)</f>
        <v>-2442.06</v>
      </c>
      <c r="AE4" s="96">
        <f>ROUND(MAX((AD4)*{0.03;0.1;0.2;0.25;0.3;0.35;0.45}-{0;2520;16920;31920;52920;85920;181920},0),2)</f>
        <v>0</v>
      </c>
      <c r="AF4" s="97">
        <f>IFERROR(VLOOKUP(E:E,'（居民）工资表-2月'!E:AF,28,0)+VLOOKUP(E:E,'（居民）工资表-2月'!E:AG,29,0),0)</f>
        <v>71.37</v>
      </c>
      <c r="AG4" s="97">
        <f>IF((AE4-AF4)&lt;0,0,AE4-AF4)</f>
        <v>0</v>
      </c>
      <c r="AH4" s="107">
        <f>ROUND(IF((L4-Q4-AG4)&lt;0,0,(L4-Q4-AG4)),2)</f>
        <v>7378.97</v>
      </c>
      <c r="AI4" s="108"/>
      <c r="AJ4" s="107">
        <f>AH4+AI4</f>
        <v>7378.97</v>
      </c>
      <c r="AK4" s="109"/>
      <c r="AL4" s="107">
        <f>AJ4+AG4+AK4</f>
        <v>7378.97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IF(SUMPRODUCT(N(E$1:E$5=E4))&gt;1,"重复","不")</f>
        <v>不</v>
      </c>
      <c r="AT4" s="116" t="str">
        <f>IF(SUMPRODUCT(N(AO$1:AO$5=AO4))&gt;1,"重复","不")</f>
        <v>重复</v>
      </c>
      <c r="AU4" s="12">
        <v>0</v>
      </c>
    </row>
    <row r="5" s="12" customFormat="1" ht="18" customHeight="1" spans="1:48">
      <c r="A5" s="36">
        <v>2</v>
      </c>
      <c r="B5" s="37" t="s">
        <v>144</v>
      </c>
      <c r="C5" s="37" t="s">
        <v>148</v>
      </c>
      <c r="D5" s="37" t="s">
        <v>145</v>
      </c>
      <c r="E5" s="328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6160</v>
      </c>
      <c r="M5" s="71">
        <v>440</v>
      </c>
      <c r="N5" s="71">
        <v>121.12</v>
      </c>
      <c r="O5" s="71">
        <v>4.6</v>
      </c>
      <c r="P5" s="71">
        <v>115</v>
      </c>
      <c r="Q5" s="89">
        <f>ROUND(SUM(M5:P5),2)</f>
        <v>680.72</v>
      </c>
      <c r="R5" s="70">
        <v>0</v>
      </c>
      <c r="S5" s="90">
        <f>L5+IFERROR(VLOOKUP($E:$E,'（居民）工资表-2月'!$E:$S,15,0),0)</f>
        <v>12320</v>
      </c>
      <c r="T5" s="91">
        <f>5000+IFERROR(VLOOKUP($E:$E,'（居民）工资表-2月'!$E:$T,16,0),0)</f>
        <v>10000</v>
      </c>
      <c r="U5" s="91">
        <f>Q5+IFERROR(VLOOKUP($E:$E,'（居民）工资表-2月'!$E:$U,17,0),0)</f>
        <v>1494.4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5">
        <f>ROUND(S5-T5-U5-AB5-AC5,2)</f>
        <v>825.6</v>
      </c>
      <c r="AE5" s="96">
        <f>ROUND(MAX((AD5)*{0.03;0.1;0.2;0.25;0.3;0.35;0.45}-{0;2520;16920;31920;52920;85920;181920},0),2)</f>
        <v>24.77</v>
      </c>
      <c r="AF5" s="97">
        <f>IFERROR(VLOOKUP(E:E,'（居民）工资表-2月'!E:AF,28,0)+VLOOKUP(E:E,'（居民）工资表-2月'!E:AG,29,0),0)</f>
        <v>10.39</v>
      </c>
      <c r="AG5" s="97">
        <f>IF((AE5-AF5)&lt;0,0,AE5-AF5)</f>
        <v>14.38</v>
      </c>
      <c r="AH5" s="107">
        <f>ROUND(IF((L5-Q5-AG5)&lt;0,0,(L5-Q5-AG5)),2)</f>
        <v>5464.9</v>
      </c>
      <c r="AI5" s="108"/>
      <c r="AJ5" s="107">
        <f>AH5+AI5</f>
        <v>5464.9</v>
      </c>
      <c r="AK5" s="109"/>
      <c r="AL5" s="107">
        <f>AJ5+AG5+AK5</f>
        <v>5479.28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IF(SUMPRODUCT(N(E$1:E$5=E5))&gt;1,"重复","不")</f>
        <v>不</v>
      </c>
      <c r="AT5" s="116" t="str">
        <f>IF(SUMPRODUCT(N(AO$1:AO$5=AO5))&gt;1,"重复","不")</f>
        <v>重复</v>
      </c>
      <c r="AU5" s="12" t="s">
        <v>147</v>
      </c>
      <c r="AV5" s="12" t="s">
        <v>51</v>
      </c>
    </row>
    <row r="6" s="12" customFormat="1" ht="18" customHeight="1" spans="1:48">
      <c r="A6" s="36">
        <v>3</v>
      </c>
      <c r="B6" s="37" t="s">
        <v>144</v>
      </c>
      <c r="C6" s="37" t="s">
        <v>151</v>
      </c>
      <c r="D6" s="37" t="s">
        <v>145</v>
      </c>
      <c r="E6" s="328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ref="Q6:Q17" si="0">ROUND(SUM(M6:P6),2)</f>
        <v>963.32</v>
      </c>
      <c r="R6" s="70">
        <v>0</v>
      </c>
      <c r="S6" s="90">
        <f>L6+IFERROR(VLOOKUP($E:$E,'（居民）工资表-2月'!$E:$S,15,0),0)</f>
        <v>60120</v>
      </c>
      <c r="T6" s="91">
        <f>5000+IFERROR(VLOOKUP($E:$E,'（居民）工资表-2月'!$E:$T,16,0),0)</f>
        <v>10000</v>
      </c>
      <c r="U6" s="91">
        <f>Q6+IFERROR(VLOOKUP($E:$E,'（居民）工资表-2月'!$E:$U,17,0),0)</f>
        <v>1926.64</v>
      </c>
      <c r="V6" s="70"/>
      <c r="W6" s="70"/>
      <c r="X6" s="70"/>
      <c r="Y6" s="70"/>
      <c r="Z6" s="70"/>
      <c r="AA6" s="70"/>
      <c r="AB6" s="90">
        <f t="shared" ref="AB6:AB17" si="1">ROUND(SUM(V6:AA6),2)</f>
        <v>0</v>
      </c>
      <c r="AC6" s="90">
        <f>R6+IFERROR(VLOOKUP($E:$E,'（居民）工资表-2月'!$E:$AC,25,0),0)</f>
        <v>0</v>
      </c>
      <c r="AD6" s="95">
        <f t="shared" ref="AD6:AD17" si="2">ROUND(S6-T6-U6-AB6-AC6,2)</f>
        <v>48193.36</v>
      </c>
      <c r="AE6" s="96">
        <f>ROUND(MAX((AD6)*{0.03;0.1;0.2;0.25;0.3;0.35;0.45}-{0;2520;16920;31920;52920;85920;181920},0),2)</f>
        <v>2299.34</v>
      </c>
      <c r="AF6" s="97">
        <f>IFERROR(VLOOKUP(E:E,'（居民）工资表-2月'!E:AF,28,0)+VLOOKUP(E:E,'（居民）工资表-2月'!E:AG,29,0),0)</f>
        <v>722.9</v>
      </c>
      <c r="AG6" s="97">
        <f t="shared" ref="AG6:AG17" si="3">IF((AE6-AF6)&lt;0,0,AE6-AF6)</f>
        <v>1576.44</v>
      </c>
      <c r="AH6" s="107">
        <f t="shared" ref="AH6:AH17" si="4">ROUND(IF((L6-Q6-AG6)&lt;0,0,(L6-Q6-AG6)),2)</f>
        <v>27520.24</v>
      </c>
      <c r="AI6" s="108"/>
      <c r="AJ6" s="107">
        <f t="shared" ref="AJ6:AJ17" si="5">AH6+AI6</f>
        <v>27520.24</v>
      </c>
      <c r="AK6" s="109"/>
      <c r="AL6" s="107">
        <f t="shared" ref="AL6:AL17" si="6">AJ6+AG6+AK6</f>
        <v>29096.68</v>
      </c>
      <c r="AM6" s="109"/>
      <c r="AN6" s="109"/>
      <c r="AO6" s="109"/>
      <c r="AP6" s="109"/>
      <c r="AQ6" s="109"/>
      <c r="AR6" s="116" t="str">
        <f t="shared" ref="AR6:AR17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2" si="8">IF(SUMPRODUCT(N(E$1:E$5=E6))&gt;1,"重复","不")</f>
        <v>不</v>
      </c>
      <c r="AT6" s="116" t="str">
        <f t="shared" ref="AT6:AT12" si="9">IF(SUMPRODUCT(N(AO$1:AO$5=AO6))&gt;1,"重复","不")</f>
        <v>重复</v>
      </c>
      <c r="AU6" s="12" t="s">
        <v>50</v>
      </c>
      <c r="AV6" s="12" t="s">
        <v>51</v>
      </c>
    </row>
    <row r="7" s="12" customFormat="1" ht="18" customHeight="1" spans="1:47">
      <c r="A7" s="36">
        <v>4</v>
      </c>
      <c r="B7" s="37" t="s">
        <v>144</v>
      </c>
      <c r="C7" s="37" t="s">
        <v>156</v>
      </c>
      <c r="D7" s="37" t="s">
        <v>145</v>
      </c>
      <c r="E7" s="328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89">
        <f t="shared" si="0"/>
        <v>550</v>
      </c>
      <c r="R7" s="70">
        <v>0</v>
      </c>
      <c r="S7" s="90">
        <f>L7+IFERROR(VLOOKUP($E:$E,'（居民）工资表-2月'!$E:$S,15,0),0)</f>
        <v>18000</v>
      </c>
      <c r="T7" s="91">
        <f>5000+IFERROR(VLOOKUP($E:$E,'（居民）工资表-2月'!$E:$T,16,0),0)</f>
        <v>10000</v>
      </c>
      <c r="U7" s="91">
        <f>Q7+IFERROR(VLOOKUP($E:$E,'（居民）工资表-2月'!$E:$U,17,0),0)</f>
        <v>1100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R7+IFERROR(VLOOKUP($E:$E,'（居民）工资表-2月'!$E:$AC,25,0),0)</f>
        <v>0</v>
      </c>
      <c r="AD7" s="95">
        <f t="shared" si="2"/>
        <v>6900</v>
      </c>
      <c r="AE7" s="96">
        <f>ROUND(MAX((AD7)*{0.03;0.1;0.2;0.25;0.3;0.35;0.45}-{0;2520;16920;31920;52920;85920;181920},0),2)</f>
        <v>207</v>
      </c>
      <c r="AF7" s="97">
        <f>IFERROR(VLOOKUP(E:E,'（居民）工资表-2月'!E:AF,28,0)+VLOOKUP(E:E,'（居民）工资表-2月'!E:AG,29,0),0)</f>
        <v>103.5</v>
      </c>
      <c r="AG7" s="97">
        <f t="shared" si="3"/>
        <v>103.5</v>
      </c>
      <c r="AH7" s="107">
        <f t="shared" si="4"/>
        <v>8346.5</v>
      </c>
      <c r="AI7" s="108"/>
      <c r="AJ7" s="107">
        <f t="shared" si="5"/>
        <v>8346.5</v>
      </c>
      <c r="AK7" s="109"/>
      <c r="AL7" s="107">
        <f t="shared" si="6"/>
        <v>8450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U7" s="12">
        <v>0</v>
      </c>
    </row>
    <row r="8" s="12" customFormat="1" ht="18" customHeight="1" spans="1:48">
      <c r="A8" s="36">
        <v>5</v>
      </c>
      <c r="B8" s="37" t="s">
        <v>144</v>
      </c>
      <c r="C8" s="37" t="s">
        <v>160</v>
      </c>
      <c r="D8" s="37" t="s">
        <v>145</v>
      </c>
      <c r="E8" s="328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89">
        <f t="shared" si="0"/>
        <v>793.84</v>
      </c>
      <c r="R8" s="70">
        <v>0</v>
      </c>
      <c r="S8" s="90">
        <f>L8+IFERROR(VLOOKUP($E:$E,'（居民）工资表-2月'!$E:$S,15,0),0)</f>
        <v>21000</v>
      </c>
      <c r="T8" s="91">
        <f>5000+IFERROR(VLOOKUP($E:$E,'（居民）工资表-2月'!$E:$T,16,0),0)</f>
        <v>10000</v>
      </c>
      <c r="U8" s="91">
        <f>Q8+IFERROR(VLOOKUP($E:$E,'（居民）工资表-2月'!$E:$U,17,0),0)</f>
        <v>1587.68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R8+IFERROR(VLOOKUP($E:$E,'（居民）工资表-2月'!$E:$AC,25,0),0)</f>
        <v>0</v>
      </c>
      <c r="AD8" s="95">
        <f t="shared" si="2"/>
        <v>9412.32</v>
      </c>
      <c r="AE8" s="96">
        <f>ROUND(MAX((AD8)*{0.03;0.1;0.2;0.25;0.3;0.35;0.45}-{0;2520;16920;31920;52920;85920;181920},0),2)</f>
        <v>282.37</v>
      </c>
      <c r="AF8" s="97">
        <f>IFERROR(VLOOKUP(E:E,'（居民）工资表-2月'!E:AF,28,0)+VLOOKUP(E:E,'（居民）工资表-2月'!E:AG,29,0),0)</f>
        <v>141.18</v>
      </c>
      <c r="AG8" s="97">
        <f t="shared" si="3"/>
        <v>141.19</v>
      </c>
      <c r="AH8" s="107">
        <f t="shared" si="4"/>
        <v>9564.97</v>
      </c>
      <c r="AI8" s="108"/>
      <c r="AJ8" s="107">
        <f t="shared" si="5"/>
        <v>9564.97</v>
      </c>
      <c r="AK8" s="109"/>
      <c r="AL8" s="107">
        <f t="shared" si="6"/>
        <v>9706.16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159</v>
      </c>
      <c r="AV8" s="12" t="s">
        <v>51</v>
      </c>
    </row>
    <row r="9" s="12" customFormat="1" ht="18" customHeight="1" spans="1:48">
      <c r="A9" s="36">
        <v>6</v>
      </c>
      <c r="B9" s="37" t="s">
        <v>144</v>
      </c>
      <c r="C9" s="37" t="s">
        <v>162</v>
      </c>
      <c r="D9" s="37" t="s">
        <v>145</v>
      </c>
      <c r="E9" s="328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412.08</v>
      </c>
      <c r="N9" s="71">
        <v>95.54</v>
      </c>
      <c r="O9" s="71">
        <v>15.45</v>
      </c>
      <c r="P9" s="71">
        <v>100</v>
      </c>
      <c r="Q9" s="89">
        <f t="shared" si="0"/>
        <v>623.07</v>
      </c>
      <c r="R9" s="70">
        <v>0</v>
      </c>
      <c r="S9" s="90">
        <f>L9+IFERROR(VLOOKUP($E:$E,'（居民）工资表-2月'!$E:$S,15,0),0)</f>
        <v>13000</v>
      </c>
      <c r="T9" s="91">
        <f>5000+IFERROR(VLOOKUP($E:$E,'（居民）工资表-2月'!$E:$T,16,0),0)</f>
        <v>10000</v>
      </c>
      <c r="U9" s="91">
        <f>Q9+IFERROR(VLOOKUP($E:$E,'（居民）工资表-2月'!$E:$U,17,0),0)</f>
        <v>1152.85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R9+IFERROR(VLOOKUP($E:$E,'（居民）工资表-2月'!$E:$AC,25,0),0)</f>
        <v>0</v>
      </c>
      <c r="AD9" s="95">
        <f t="shared" si="2"/>
        <v>1847.15</v>
      </c>
      <c r="AE9" s="96">
        <f>ROUND(MAX((AD9)*{0.03;0.1;0.2;0.25;0.3;0.35;0.45}-{0;2520;16920;31920;52920;85920;181920},0),2)</f>
        <v>55.41</v>
      </c>
      <c r="AF9" s="97">
        <f>IFERROR(VLOOKUP(E:E,'（居民）工资表-2月'!E:AF,28,0)+VLOOKUP(E:E,'（居民）工资表-2月'!E:AG,29,0),0)</f>
        <v>29.11</v>
      </c>
      <c r="AG9" s="97">
        <f t="shared" si="3"/>
        <v>26.3</v>
      </c>
      <c r="AH9" s="107">
        <f t="shared" si="4"/>
        <v>5850.63</v>
      </c>
      <c r="AI9" s="108"/>
      <c r="AJ9" s="107">
        <f t="shared" si="5"/>
        <v>5850.63</v>
      </c>
      <c r="AK9" s="109"/>
      <c r="AL9" s="107">
        <f t="shared" si="6"/>
        <v>5876.93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159</v>
      </c>
      <c r="AV9" s="12" t="s">
        <v>51</v>
      </c>
    </row>
    <row r="10" s="12" customFormat="1" ht="18" customHeight="1" spans="1:48">
      <c r="A10" s="36">
        <v>7</v>
      </c>
      <c r="B10" s="37" t="s">
        <v>144</v>
      </c>
      <c r="C10" s="37" t="s">
        <v>165</v>
      </c>
      <c r="D10" s="37" t="s">
        <v>145</v>
      </c>
      <c r="E10" s="328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4422.9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L10+IFERROR(VLOOKUP($E:$E,'（居民）工资表-2月'!$E:$S,15,0),0)</f>
        <v>8845.8</v>
      </c>
      <c r="T10" s="91">
        <f>5000+IFERROR(VLOOKUP($E:$E,'（居民）工资表-2月'!$E:$T,16,0),0)</f>
        <v>10000</v>
      </c>
      <c r="U10" s="91">
        <f>Q10+IFERROR(VLOOKUP($E:$E,'（居民）工资表-2月'!$E:$U,17,0),0)</f>
        <v>1328.74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R10+IFERROR(VLOOKUP($E:$E,'（居民）工资表-2月'!$E:$AC,25,0),0)</f>
        <v>0</v>
      </c>
      <c r="AD10" s="95">
        <f t="shared" si="2"/>
        <v>-2482.94</v>
      </c>
      <c r="AE10" s="96">
        <f>ROUND(MAX((AD10)*{0.03;0.1;0.2;0.25;0.3;0.35;0.45}-{0;2520;16920;31920;52920;85920;181920},0),2)</f>
        <v>0</v>
      </c>
      <c r="AF10" s="97">
        <f>IFERROR(VLOOKUP(E:E,'（居民）工资表-2月'!E:AF,28,0)+VLOOKUP(E:E,'（居民）工资表-2月'!E:AG,29,0),0)</f>
        <v>0</v>
      </c>
      <c r="AG10" s="97">
        <f t="shared" si="3"/>
        <v>0</v>
      </c>
      <c r="AH10" s="107">
        <f t="shared" si="4"/>
        <v>3758.53</v>
      </c>
      <c r="AI10" s="108"/>
      <c r="AJ10" s="107">
        <f t="shared" si="5"/>
        <v>3758.53</v>
      </c>
      <c r="AK10" s="109"/>
      <c r="AL10" s="107">
        <f t="shared" si="6"/>
        <v>3758.53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164</v>
      </c>
      <c r="AV10" s="12" t="s">
        <v>51</v>
      </c>
    </row>
    <row r="11" s="12" customFormat="1" ht="18" customHeight="1" spans="1:47">
      <c r="A11" s="36">
        <v>8</v>
      </c>
      <c r="B11" s="37" t="s">
        <v>144</v>
      </c>
      <c r="C11" s="37" t="s">
        <v>170</v>
      </c>
      <c r="D11" s="37" t="s">
        <v>145</v>
      </c>
      <c r="E11" s="328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89">
        <f t="shared" si="0"/>
        <v>580.84</v>
      </c>
      <c r="R11" s="70">
        <v>0</v>
      </c>
      <c r="S11" s="90">
        <f>L11+IFERROR(VLOOKUP($E:$E,'（居民）工资表-2月'!$E:$S,15,0),0)</f>
        <v>18000</v>
      </c>
      <c r="T11" s="91">
        <f>5000+IFERROR(VLOOKUP($E:$E,'（居民）工资表-2月'!$E:$T,16,0),0)</f>
        <v>10000</v>
      </c>
      <c r="U11" s="91">
        <f>Q11+IFERROR(VLOOKUP($E:$E,'（居民）工资表-2月'!$E:$U,17,0),0)</f>
        <v>1161.68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R11+IFERROR(VLOOKUP($E:$E,'（居民）工资表-2月'!$E:$AC,25,0),0)</f>
        <v>0</v>
      </c>
      <c r="AD11" s="95">
        <f t="shared" si="2"/>
        <v>6838.32</v>
      </c>
      <c r="AE11" s="96">
        <f>ROUND(MAX((AD11)*{0.03;0.1;0.2;0.25;0.3;0.35;0.45}-{0;2520;16920;31920;52920;85920;181920},0),2)</f>
        <v>205.15</v>
      </c>
      <c r="AF11" s="97">
        <f>IFERROR(VLOOKUP(E:E,'（居民）工资表-2月'!E:AF,28,0)+VLOOKUP(E:E,'（居民）工资表-2月'!E:AG,29,0),0)</f>
        <v>102.57</v>
      </c>
      <c r="AG11" s="97">
        <f t="shared" si="3"/>
        <v>102.58</v>
      </c>
      <c r="AH11" s="107">
        <f t="shared" si="4"/>
        <v>8316.58</v>
      </c>
      <c r="AI11" s="108"/>
      <c r="AJ11" s="107">
        <f t="shared" si="5"/>
        <v>8316.58</v>
      </c>
      <c r="AK11" s="109"/>
      <c r="AL11" s="107">
        <f t="shared" si="6"/>
        <v>8419.16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>
        <v>0</v>
      </c>
    </row>
    <row r="12" s="12" customFormat="1" ht="18" customHeight="1" spans="1:47">
      <c r="A12" s="36">
        <v>9</v>
      </c>
      <c r="B12" s="37" t="s">
        <v>144</v>
      </c>
      <c r="C12" s="37" t="s">
        <v>174</v>
      </c>
      <c r="D12" s="37" t="s">
        <v>145</v>
      </c>
      <c r="E12" s="328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89">
        <f t="shared" si="0"/>
        <v>793.84</v>
      </c>
      <c r="R12" s="70">
        <v>0</v>
      </c>
      <c r="S12" s="90">
        <f>L12+IFERROR(VLOOKUP($E:$E,'（居民）工资表-2月'!$E:$S,15,0),0)</f>
        <v>15000</v>
      </c>
      <c r="T12" s="91">
        <f>5000+IFERROR(VLOOKUP($E:$E,'（居民）工资表-2月'!$E:$T,16,0),0)</f>
        <v>10000</v>
      </c>
      <c r="U12" s="91">
        <f>Q12+IFERROR(VLOOKUP($E:$E,'（居民）工资表-2月'!$E:$U,17,0),0)</f>
        <v>1587.68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R12+IFERROR(VLOOKUP($E:$E,'（居民）工资表-2月'!$E:$AC,25,0),0)</f>
        <v>0</v>
      </c>
      <c r="AD12" s="95">
        <f t="shared" si="2"/>
        <v>3412.32</v>
      </c>
      <c r="AE12" s="96">
        <f>ROUND(MAX((AD12)*{0.03;0.1;0.2;0.25;0.3;0.35;0.45}-{0;2520;16920;31920;52920;85920;181920},0),2)</f>
        <v>102.37</v>
      </c>
      <c r="AF12" s="97">
        <f>IFERROR(VLOOKUP(E:E,'（居民）工资表-2月'!E:AF,28,0)+VLOOKUP(E:E,'（居民）工资表-2月'!E:AG,29,0),0)</f>
        <v>51.18</v>
      </c>
      <c r="AG12" s="97">
        <f t="shared" si="3"/>
        <v>51.19</v>
      </c>
      <c r="AH12" s="107">
        <f t="shared" si="4"/>
        <v>6654.97</v>
      </c>
      <c r="AI12" s="108"/>
      <c r="AJ12" s="107">
        <f t="shared" si="5"/>
        <v>6654.97</v>
      </c>
      <c r="AK12" s="109"/>
      <c r="AL12" s="107">
        <f t="shared" si="6"/>
        <v>6706.16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>
        <v>0</v>
      </c>
    </row>
    <row r="13" s="12" customFormat="1" ht="18" customHeight="1" spans="1:48">
      <c r="A13" s="36">
        <v>10</v>
      </c>
      <c r="B13" s="37" t="s">
        <v>144</v>
      </c>
      <c r="C13" s="37" t="s">
        <v>176</v>
      </c>
      <c r="D13" s="37" t="s">
        <v>145</v>
      </c>
      <c r="E13" s="328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89">
        <f t="shared" si="0"/>
        <v>793.84</v>
      </c>
      <c r="R13" s="70">
        <v>0</v>
      </c>
      <c r="S13" s="90">
        <f>L13+IFERROR(VLOOKUP($E:$E,'（居民）工资表-2月'!$E:$S,15,0),0)</f>
        <v>16000</v>
      </c>
      <c r="T13" s="91">
        <f>5000+IFERROR(VLOOKUP($E:$E,'（居民）工资表-2月'!$E:$T,16,0),0)</f>
        <v>10000</v>
      </c>
      <c r="U13" s="91">
        <f>Q13+IFERROR(VLOOKUP($E:$E,'（居民）工资表-2月'!$E:$U,17,0),0)</f>
        <v>1587.68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R13+IFERROR(VLOOKUP($E:$E,'（居民）工资表-2月'!$E:$AC,25,0),0)</f>
        <v>0</v>
      </c>
      <c r="AD13" s="95">
        <f t="shared" si="2"/>
        <v>4412.32</v>
      </c>
      <c r="AE13" s="96">
        <f>ROUND(MAX((AD13)*{0.03;0.1;0.2;0.25;0.3;0.35;0.45}-{0;2520;16920;31920;52920;85920;181920},0),2)</f>
        <v>132.37</v>
      </c>
      <c r="AF13" s="97">
        <f>IFERROR(VLOOKUP(E:E,'（居民）工资表-2月'!E:AF,28,0)+VLOOKUP(E:E,'（居民）工资表-2月'!E:AG,29,0),0)</f>
        <v>66.18</v>
      </c>
      <c r="AG13" s="97">
        <f t="shared" si="3"/>
        <v>66.19</v>
      </c>
      <c r="AH13" s="107">
        <f t="shared" si="4"/>
        <v>7139.97</v>
      </c>
      <c r="AI13" s="108"/>
      <c r="AJ13" s="107">
        <f t="shared" si="5"/>
        <v>7139.97</v>
      </c>
      <c r="AK13" s="109"/>
      <c r="AL13" s="107">
        <f t="shared" si="6"/>
        <v>7206.16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IF(SUMPRODUCT(N(E$1:E$5=E13))&gt;1,"重复","不")</f>
        <v>不</v>
      </c>
      <c r="AT13" s="116" t="str">
        <f>IF(SUMPRODUCT(N(AO$1:AO$5=AO13))&gt;1,"重复","不")</f>
        <v>重复</v>
      </c>
      <c r="AU13" s="12" t="s">
        <v>159</v>
      </c>
      <c r="AV13" s="12" t="s">
        <v>51</v>
      </c>
    </row>
    <row r="14" s="12" customFormat="1" ht="18" customHeight="1" spans="1:48">
      <c r="A14" s="36">
        <v>11</v>
      </c>
      <c r="B14" s="37" t="s">
        <v>144</v>
      </c>
      <c r="C14" s="37" t="s">
        <v>183</v>
      </c>
      <c r="D14" s="37" t="s">
        <v>145</v>
      </c>
      <c r="E14" s="328" t="s">
        <v>184</v>
      </c>
      <c r="F14" s="38" t="s">
        <v>150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89">
        <f t="shared" si="0"/>
        <v>546.84</v>
      </c>
      <c r="R14" s="70">
        <v>0</v>
      </c>
      <c r="S14" s="90">
        <f>L14+IFERROR(VLOOKUP($E:$E,'（居民）工资表-2月'!$E:$S,15,0),0)</f>
        <v>12000</v>
      </c>
      <c r="T14" s="91">
        <f>5000+IFERROR(VLOOKUP($E:$E,'（居民）工资表-2月'!$E:$T,16,0),0)</f>
        <v>10000</v>
      </c>
      <c r="U14" s="91">
        <f>Q14+IFERROR(VLOOKUP($E:$E,'（居民）工资表-2月'!$E:$U,17,0),0)</f>
        <v>1093.68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R14+IFERROR(VLOOKUP($E:$E,'（居民）工资表-2月'!$E:$AC,25,0),0)</f>
        <v>0</v>
      </c>
      <c r="AD14" s="95">
        <f t="shared" si="2"/>
        <v>906.32</v>
      </c>
      <c r="AE14" s="96">
        <f>ROUND(MAX((AD14)*{0.03;0.1;0.2;0.25;0.3;0.35;0.45}-{0;2520;16920;31920;52920;85920;181920},0),2)</f>
        <v>27.19</v>
      </c>
      <c r="AF14" s="97">
        <f>IFERROR(VLOOKUP(E:E,'（居民）工资表-2月'!E:AF,28,0)+VLOOKUP(E:E,'（居民）工资表-2月'!E:AG,29,0),0)</f>
        <v>13.59</v>
      </c>
      <c r="AG14" s="97">
        <f t="shared" si="3"/>
        <v>13.6</v>
      </c>
      <c r="AH14" s="107">
        <f t="shared" si="4"/>
        <v>5439.56</v>
      </c>
      <c r="AI14" s="108"/>
      <c r="AJ14" s="107">
        <f t="shared" si="5"/>
        <v>5439.56</v>
      </c>
      <c r="AK14" s="109"/>
      <c r="AL14" s="107">
        <f t="shared" si="6"/>
        <v>5453.16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IF(SUMPRODUCT(N(E$1:E$5=E14))&gt;1,"重复","不")</f>
        <v>不</v>
      </c>
      <c r="AT14" s="116" t="str">
        <f>IF(SUMPRODUCT(N(AO$1:AO$5=AO14))&gt;1,"重复","不")</f>
        <v>重复</v>
      </c>
      <c r="AU14" s="12" t="s">
        <v>159</v>
      </c>
      <c r="AV14" s="12" t="s">
        <v>51</v>
      </c>
    </row>
    <row r="15" s="12" customFormat="1" ht="18" customHeight="1" spans="1:48">
      <c r="A15" s="36">
        <v>12</v>
      </c>
      <c r="B15" s="37" t="s">
        <v>144</v>
      </c>
      <c r="C15" s="37" t="s">
        <v>185</v>
      </c>
      <c r="D15" s="37" t="s">
        <v>145</v>
      </c>
      <c r="E15" s="328" t="s">
        <v>186</v>
      </c>
      <c r="F15" s="38" t="s">
        <v>146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89">
        <f t="shared" si="0"/>
        <v>550</v>
      </c>
      <c r="R15" s="70">
        <v>0</v>
      </c>
      <c r="S15" s="90">
        <f>L15+IFERROR(VLOOKUP($E:$E,'（居民）工资表-2月'!$E:$S,15,0),0)</f>
        <v>20000</v>
      </c>
      <c r="T15" s="91">
        <f>5000+IFERROR(VLOOKUP($E:$E,'（居民）工资表-2月'!$E:$T,16,0),0)</f>
        <v>10000</v>
      </c>
      <c r="U15" s="91">
        <f>Q15+IFERROR(VLOOKUP($E:$E,'（居民）工资表-2月'!$E:$U,17,0),0)</f>
        <v>1100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R15+IFERROR(VLOOKUP($E:$E,'（居民）工资表-2月'!$E:$AC,25,0),0)</f>
        <v>0</v>
      </c>
      <c r="AD15" s="95">
        <f t="shared" si="2"/>
        <v>8900</v>
      </c>
      <c r="AE15" s="96">
        <f>ROUND(MAX((AD15)*{0.03;0.1;0.2;0.25;0.3;0.35;0.45}-{0;2520;16920;31920;52920;85920;181920},0),2)</f>
        <v>267</v>
      </c>
      <c r="AF15" s="97">
        <f>IFERROR(VLOOKUP(E:E,'（居民）工资表-2月'!E:AF,28,0)+VLOOKUP(E:E,'（居民）工资表-2月'!E:AG,29,0),0)</f>
        <v>133.5</v>
      </c>
      <c r="AG15" s="97">
        <f t="shared" si="3"/>
        <v>133.5</v>
      </c>
      <c r="AH15" s="107">
        <f t="shared" si="4"/>
        <v>9316.5</v>
      </c>
      <c r="AI15" s="108"/>
      <c r="AJ15" s="107">
        <f t="shared" si="5"/>
        <v>9316.5</v>
      </c>
      <c r="AK15" s="109"/>
      <c r="AL15" s="107">
        <f t="shared" si="6"/>
        <v>9450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IF(SUMPRODUCT(N(E$1:E$5=E15))&gt;1,"重复","不")</f>
        <v>不</v>
      </c>
      <c r="AT15" s="116" t="str">
        <f>IF(SUMPRODUCT(N(AO$1:AO$5=AO15))&gt;1,"重复","不")</f>
        <v>重复</v>
      </c>
      <c r="AU15" s="12" t="s">
        <v>159</v>
      </c>
      <c r="AV15" s="12" t="s">
        <v>51</v>
      </c>
    </row>
    <row r="16" s="12" customFormat="1" ht="18" customHeight="1" spans="1:48">
      <c r="A16" s="36">
        <v>13</v>
      </c>
      <c r="B16" s="37" t="s">
        <v>144</v>
      </c>
      <c r="C16" s="37" t="s">
        <v>187</v>
      </c>
      <c r="D16" s="37" t="s">
        <v>145</v>
      </c>
      <c r="E16" s="37" t="s">
        <v>188</v>
      </c>
      <c r="F16" s="38" t="s">
        <v>146</v>
      </c>
      <c r="G16" s="39">
        <v>13711361074</v>
      </c>
      <c r="H16" s="40"/>
      <c r="I16" s="40"/>
      <c r="J16" s="69"/>
      <c r="K16" s="40"/>
      <c r="L16" s="70">
        <v>7600</v>
      </c>
      <c r="M16" s="71">
        <v>0</v>
      </c>
      <c r="N16" s="71">
        <v>0</v>
      </c>
      <c r="O16" s="71">
        <v>0</v>
      </c>
      <c r="P16" s="71">
        <v>0</v>
      </c>
      <c r="Q16" s="89">
        <f t="shared" si="0"/>
        <v>0</v>
      </c>
      <c r="R16" s="70">
        <v>0</v>
      </c>
      <c r="S16" s="90">
        <f>L16+IFERROR(VLOOKUP($E:$E,'（居民）工资表-2月'!$E:$S,15,0),0)</f>
        <v>15200</v>
      </c>
      <c r="T16" s="91">
        <f>5000+IFERROR(VLOOKUP($E:$E,'（居民）工资表-2月'!$E:$T,16,0),0)</f>
        <v>10000</v>
      </c>
      <c r="U16" s="91">
        <f>Q16+IFERROR(VLOOKUP($E:$E,'（居民）工资表-2月'!$E:$U,17,0),0)</f>
        <v>580.38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R16+IFERROR(VLOOKUP($E:$E,'（居民）工资表-2月'!$E:$AC,25,0),0)</f>
        <v>0</v>
      </c>
      <c r="AD16" s="95">
        <f t="shared" si="2"/>
        <v>4619.62</v>
      </c>
      <c r="AE16" s="96">
        <f>ROUND(MAX((AD16)*{0.03;0.1;0.2;0.25;0.3;0.35;0.45}-{0;2520;16920;31920;52920;85920;181920},0),2)</f>
        <v>138.59</v>
      </c>
      <c r="AF16" s="97">
        <f>IFERROR(VLOOKUP(E:E,'（居民）工资表-2月'!E:AF,28,0)+VLOOKUP(E:E,'（居民）工资表-2月'!E:AG,29,0),0)</f>
        <v>60.59</v>
      </c>
      <c r="AG16" s="97">
        <f t="shared" si="3"/>
        <v>78</v>
      </c>
      <c r="AH16" s="107">
        <f t="shared" si="4"/>
        <v>7522</v>
      </c>
      <c r="AI16" s="108"/>
      <c r="AJ16" s="107">
        <f t="shared" si="5"/>
        <v>7522</v>
      </c>
      <c r="AK16" s="109"/>
      <c r="AL16" s="107">
        <f t="shared" si="6"/>
        <v>7600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IF(SUMPRODUCT(N(E$1:E$5=E16))&gt;1,"重复","不")</f>
        <v>不</v>
      </c>
      <c r="AT16" s="116" t="str">
        <f>IF(SUMPRODUCT(N(AO$1:AO$5=AO16))&gt;1,"重复","不")</f>
        <v>重复</v>
      </c>
      <c r="AU16" s="12" t="s">
        <v>159</v>
      </c>
      <c r="AV16" s="12" t="s">
        <v>51</v>
      </c>
    </row>
    <row r="17" s="12" customFormat="1" ht="18" customHeight="1" spans="1:46">
      <c r="A17" s="36"/>
      <c r="B17" s="37"/>
      <c r="C17" s="119"/>
      <c r="D17" s="37"/>
      <c r="E17" s="120"/>
      <c r="F17" s="38"/>
      <c r="G17" s="121"/>
      <c r="H17" s="122"/>
      <c r="I17" s="122"/>
      <c r="J17" s="123"/>
      <c r="K17" s="122"/>
      <c r="L17" s="124"/>
      <c r="M17" s="124"/>
      <c r="N17" s="124"/>
      <c r="O17" s="124"/>
      <c r="P17" s="124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189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122742.9</v>
      </c>
      <c r="M18" s="74">
        <f>SUM(M4:M17)</f>
        <v>4555.53</v>
      </c>
      <c r="N18" s="74">
        <f>SUM(N4:N17)</f>
        <v>1240.84</v>
      </c>
      <c r="O18" s="74">
        <f>SUM(O4:O17)</f>
        <v>242.94</v>
      </c>
      <c r="P18" s="74">
        <f t="shared" ref="P18:AL18" si="10">SUM(P4:P17)</f>
        <v>2122.4</v>
      </c>
      <c r="Q18" s="74">
        <f t="shared" si="10"/>
        <v>8161.71</v>
      </c>
      <c r="R18" s="74">
        <f t="shared" si="10"/>
        <v>0</v>
      </c>
      <c r="S18" s="74">
        <f t="shared" si="10"/>
        <v>245485.8</v>
      </c>
      <c r="T18" s="74">
        <f t="shared" si="10"/>
        <v>130000</v>
      </c>
      <c r="U18" s="74">
        <f t="shared" si="10"/>
        <v>16943.47</v>
      </c>
      <c r="V18" s="74">
        <f t="shared" si="10"/>
        <v>3000</v>
      </c>
      <c r="W18" s="74">
        <f t="shared" si="10"/>
        <v>0</v>
      </c>
      <c r="X18" s="74">
        <f t="shared" si="10"/>
        <v>3000</v>
      </c>
      <c r="Y18" s="74">
        <f t="shared" si="10"/>
        <v>0</v>
      </c>
      <c r="Z18" s="74">
        <f t="shared" si="10"/>
        <v>1200</v>
      </c>
      <c r="AA18" s="74">
        <f t="shared" si="10"/>
        <v>0</v>
      </c>
      <c r="AB18" s="74">
        <f t="shared" si="10"/>
        <v>7200</v>
      </c>
      <c r="AC18" s="74">
        <f t="shared" si="10"/>
        <v>0</v>
      </c>
      <c r="AD18" s="74">
        <f t="shared" si="10"/>
        <v>91342.33</v>
      </c>
      <c r="AE18" s="74">
        <f t="shared" si="10"/>
        <v>3741.56</v>
      </c>
      <c r="AF18" s="74">
        <f t="shared" si="10"/>
        <v>1506.06</v>
      </c>
      <c r="AG18" s="74">
        <f t="shared" si="10"/>
        <v>2306.87</v>
      </c>
      <c r="AH18" s="74">
        <f t="shared" si="10"/>
        <v>112274.32</v>
      </c>
      <c r="AI18" s="74">
        <f t="shared" si="10"/>
        <v>0</v>
      </c>
      <c r="AJ18" s="74">
        <f t="shared" si="10"/>
        <v>112274.32</v>
      </c>
      <c r="AK18" s="74">
        <f t="shared" si="10"/>
        <v>0</v>
      </c>
      <c r="AL18" s="74">
        <f t="shared" si="10"/>
        <v>114581.19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133</v>
      </c>
      <c r="C22" s="47" t="s">
        <v>190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112274.32</v>
      </c>
      <c r="C23" s="48">
        <f>AG18</f>
        <v>2306.87</v>
      </c>
      <c r="D23" s="48">
        <f>AK18</f>
        <v>0</v>
      </c>
      <c r="E23" s="48">
        <f>B23+C23+D23</f>
        <v>114581.19</v>
      </c>
    </row>
    <row r="24" spans="2:5">
      <c r="B24" s="49"/>
      <c r="C24" s="49"/>
      <c r="D24" s="49"/>
      <c r="E24" s="49"/>
    </row>
    <row r="25" s="14" customFormat="1" spans="1:35">
      <c r="A25" s="51" t="s">
        <v>191</v>
      </c>
      <c r="B25" s="52" t="s">
        <v>192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193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194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195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196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197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198</v>
      </c>
    </row>
    <row r="33" spans="2:2">
      <c r="B33" s="59" t="s">
        <v>199</v>
      </c>
    </row>
    <row r="34" spans="2:2">
      <c r="B34" s="59" t="s">
        <v>200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35"/>
  <sheetViews>
    <sheetView workbookViewId="0">
      <pane xSplit="6" ySplit="3" topLeftCell="AH10" activePane="bottomRight" state="frozen"/>
      <selection/>
      <selection pane="topRight"/>
      <selection pane="bottomLeft"/>
      <selection pane="bottomRight" activeCell="E23" sqref="E23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47" width="9" style="15" customWidth="1"/>
    <col min="48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 t="shared" ref="Q4:Q22" si="0">ROUND(SUM(M4:P4),2)</f>
        <v>621.03</v>
      </c>
      <c r="R4" s="70">
        <v>0</v>
      </c>
      <c r="S4" s="90">
        <f>L4+IFERROR(VLOOKUP($E:$E,'（居民）工资表-3月'!$E:$S,15,0),0)</f>
        <v>24000</v>
      </c>
      <c r="T4" s="91">
        <f>5000+IFERROR(VLOOKUP($E:$E,'（居民）工资表-3月'!$E:$T,16,0),0)</f>
        <v>15000</v>
      </c>
      <c r="U4" s="91">
        <f>Q4+IFERROR(VLOOKUP($E:$E,'（居民）工资表-3月'!$E:$U,17,0),0)</f>
        <v>1863.09</v>
      </c>
      <c r="V4" s="70"/>
      <c r="W4" s="70"/>
      <c r="X4" s="70"/>
      <c r="Y4" s="70"/>
      <c r="Z4" s="70"/>
      <c r="AA4" s="70"/>
      <c r="AB4" s="90">
        <f t="shared" ref="AB4:AB22" si="1">ROUND(SUM(V4:AA4),2)</f>
        <v>0</v>
      </c>
      <c r="AC4" s="90">
        <f>R4+IFERROR(VLOOKUP($E:$E,'（居民）工资表-3月'!$E:$AC,25,0),0)</f>
        <v>0</v>
      </c>
      <c r="AD4" s="95">
        <f t="shared" ref="AD4:AD22" si="2">ROUND(S4-T4-U4-AB4-AC4,2)</f>
        <v>7136.91</v>
      </c>
      <c r="AE4" s="96">
        <f>ROUND(MAX((AD4)*{0.03;0.1;0.2;0.25;0.3;0.35;0.45}-{0;2520;16920;31920;52920;85920;181920},0),2)</f>
        <v>214.11</v>
      </c>
      <c r="AF4" s="97">
        <f>IFERROR(VLOOKUP(E:E,'（居民）工资表-3月'!E:AF,28,0)+VLOOKUP(E:E,'（居民）工资表-3月'!E:AG,29,0),0)</f>
        <v>71.37</v>
      </c>
      <c r="AG4" s="97">
        <f t="shared" ref="AG4:AG22" si="3">IF((AE4-AF4)&lt;0,0,AE4-AF4)</f>
        <v>142.74</v>
      </c>
      <c r="AH4" s="107">
        <f t="shared" ref="AH4:AH22" si="4">ROUND(IF((L4-Q4-AG4)&lt;0,0,(L4-Q4-AG4)),2)</f>
        <v>7236.23</v>
      </c>
      <c r="AI4" s="108"/>
      <c r="AJ4" s="107">
        <f t="shared" ref="AJ4:AJ22" si="5">AH4+AI4</f>
        <v>7236.23</v>
      </c>
      <c r="AK4" s="109"/>
      <c r="AL4" s="107">
        <f t="shared" ref="AL4:AL22" si="6">AJ4+AG4+AK4</f>
        <v>7378.97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IF(SUMPRODUCT(N(E$1:E$5=E4))&gt;1,"重复","不")</f>
        <v>不</v>
      </c>
      <c r="AT4" s="116" t="str">
        <f t="shared" ref="AT4:AT11" si="9">IF(SUMPRODUCT(N(AO$1:AO$5=AO4))&gt;1,"重复","不")</f>
        <v>重复</v>
      </c>
    </row>
    <row r="5" s="12" customFormat="1" ht="18" customHeight="1" spans="1:46">
      <c r="A5" s="36">
        <v>2</v>
      </c>
      <c r="B5" s="37" t="s">
        <v>144</v>
      </c>
      <c r="C5" s="37" t="s">
        <v>148</v>
      </c>
      <c r="D5" s="37" t="s">
        <v>145</v>
      </c>
      <c r="E5" s="328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6160</v>
      </c>
      <c r="M5" s="71">
        <v>440</v>
      </c>
      <c r="N5" s="71">
        <v>124.72</v>
      </c>
      <c r="O5" s="71">
        <v>5.4</v>
      </c>
      <c r="P5" s="71">
        <v>135</v>
      </c>
      <c r="Q5" s="89">
        <f t="shared" si="0"/>
        <v>705.12</v>
      </c>
      <c r="R5" s="70">
        <v>0</v>
      </c>
      <c r="S5" s="90">
        <f>L5+IFERROR(VLOOKUP($E:$E,'（居民）工资表-3月'!$E:$S,15,0),0)</f>
        <v>18480</v>
      </c>
      <c r="T5" s="91">
        <f>5000+IFERROR(VLOOKUP($E:$E,'（居民）工资表-3月'!$E:$T,16,0),0)</f>
        <v>15000</v>
      </c>
      <c r="U5" s="91">
        <f>Q5+IFERROR(VLOOKUP($E:$E,'（居民）工资表-3月'!$E:$U,17,0),0)</f>
        <v>2199.52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R5+IFERROR(VLOOKUP($E:$E,'（居民）工资表-3月'!$E:$AC,25,0),0)</f>
        <v>0</v>
      </c>
      <c r="AD5" s="95">
        <f t="shared" si="2"/>
        <v>1280.48</v>
      </c>
      <c r="AE5" s="96">
        <f>ROUND(MAX((AD5)*{0.03;0.1;0.2;0.25;0.3;0.35;0.45}-{0;2520;16920;31920;52920;85920;181920},0),2)</f>
        <v>38.41</v>
      </c>
      <c r="AF5" s="97">
        <f>IFERROR(VLOOKUP(E:E,'（居民）工资表-3月'!E:AF,28,0)+VLOOKUP(E:E,'（居民）工资表-3月'!E:AG,29,0),0)</f>
        <v>24.77</v>
      </c>
      <c r="AG5" s="97">
        <f t="shared" si="3"/>
        <v>13.64</v>
      </c>
      <c r="AH5" s="107">
        <f t="shared" si="4"/>
        <v>5441.24</v>
      </c>
      <c r="AI5" s="108"/>
      <c r="AJ5" s="107">
        <f t="shared" si="5"/>
        <v>5441.24</v>
      </c>
      <c r="AK5" s="109"/>
      <c r="AL5" s="107">
        <f t="shared" si="6"/>
        <v>5454.88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</row>
    <row r="6" s="12" customFormat="1" ht="18" customHeight="1" spans="1:46">
      <c r="A6" s="36">
        <v>3</v>
      </c>
      <c r="B6" s="37" t="s">
        <v>144</v>
      </c>
      <c r="C6" s="37" t="s">
        <v>151</v>
      </c>
      <c r="D6" s="37" t="s">
        <v>145</v>
      </c>
      <c r="E6" s="328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L6+IFERROR(VLOOKUP($E:$E,'（居民）工资表-3月'!$E:$S,15,0),0)</f>
        <v>90180</v>
      </c>
      <c r="T6" s="91">
        <f>5000+IFERROR(VLOOKUP($E:$E,'（居民）工资表-3月'!$E:$T,16,0),0)</f>
        <v>15000</v>
      </c>
      <c r="U6" s="91">
        <f>Q6+IFERROR(VLOOKUP($E:$E,'（居民）工资表-3月'!$E:$U,17,0),0)</f>
        <v>2889.96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R6+IFERROR(VLOOKUP($E:$E,'（居民）工资表-3月'!$E:$AC,25,0),0)</f>
        <v>0</v>
      </c>
      <c r="AD6" s="95">
        <f t="shared" si="2"/>
        <v>72290.04</v>
      </c>
      <c r="AE6" s="96">
        <f>ROUND(MAX((AD6)*{0.03;0.1;0.2;0.25;0.3;0.35;0.45}-{0;2520;16920;31920;52920;85920;181920},0),2)</f>
        <v>4709</v>
      </c>
      <c r="AF6" s="97">
        <f>IFERROR(VLOOKUP(E:E,'（居民）工资表-3月'!E:AF,28,0)+VLOOKUP(E:E,'（居民）工资表-3月'!E:AG,29,0),0)</f>
        <v>2299.34</v>
      </c>
      <c r="AG6" s="97">
        <f t="shared" si="3"/>
        <v>2409.66</v>
      </c>
      <c r="AH6" s="107">
        <f t="shared" si="4"/>
        <v>26687.02</v>
      </c>
      <c r="AI6" s="108"/>
      <c r="AJ6" s="107">
        <f t="shared" si="5"/>
        <v>26687.02</v>
      </c>
      <c r="AK6" s="109"/>
      <c r="AL6" s="107">
        <f t="shared" si="6"/>
        <v>29096.68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144</v>
      </c>
      <c r="C7" s="37" t="s">
        <v>156</v>
      </c>
      <c r="D7" s="37" t="s">
        <v>145</v>
      </c>
      <c r="E7" s="328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89">
        <f t="shared" si="0"/>
        <v>550</v>
      </c>
      <c r="R7" s="70">
        <v>0</v>
      </c>
      <c r="S7" s="90">
        <f>L7+IFERROR(VLOOKUP($E:$E,'（居民）工资表-3月'!$E:$S,15,0),0)</f>
        <v>27000</v>
      </c>
      <c r="T7" s="91">
        <f>5000+IFERROR(VLOOKUP($E:$E,'（居民）工资表-3月'!$E:$T,16,0),0)</f>
        <v>15000</v>
      </c>
      <c r="U7" s="91">
        <f>Q7+IFERROR(VLOOKUP($E:$E,'（居民）工资表-3月'!$E:$U,17,0),0)</f>
        <v>1650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R7+IFERROR(VLOOKUP($E:$E,'（居民）工资表-3月'!$E:$AC,25,0),0)</f>
        <v>0</v>
      </c>
      <c r="AD7" s="95">
        <f t="shared" si="2"/>
        <v>10350</v>
      </c>
      <c r="AE7" s="96">
        <f>ROUND(MAX((AD7)*{0.03;0.1;0.2;0.25;0.3;0.35;0.45}-{0;2520;16920;31920;52920;85920;181920},0),2)</f>
        <v>310.5</v>
      </c>
      <c r="AF7" s="97">
        <f>IFERROR(VLOOKUP(E:E,'（居民）工资表-3月'!E:AF,28,0)+VLOOKUP(E:E,'（居民）工资表-3月'!E:AG,29,0),0)</f>
        <v>207</v>
      </c>
      <c r="AG7" s="97">
        <f t="shared" si="3"/>
        <v>103.5</v>
      </c>
      <c r="AH7" s="107">
        <f t="shared" si="4"/>
        <v>8346.5</v>
      </c>
      <c r="AI7" s="108"/>
      <c r="AJ7" s="107">
        <f t="shared" si="5"/>
        <v>8346.5</v>
      </c>
      <c r="AK7" s="109"/>
      <c r="AL7" s="107">
        <f t="shared" si="6"/>
        <v>8450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144</v>
      </c>
      <c r="C8" s="37" t="s">
        <v>160</v>
      </c>
      <c r="D8" s="37" t="s">
        <v>145</v>
      </c>
      <c r="E8" s="328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70">
        <f t="shared" si="0"/>
        <v>793.84</v>
      </c>
      <c r="R8" s="70">
        <v>0</v>
      </c>
      <c r="S8" s="92">
        <f>L8+IFERROR(VLOOKUP($E:$E,'（居民）工资表-3月'!$E:$S,15,0),0)</f>
        <v>31500</v>
      </c>
      <c r="T8" s="93">
        <f>5000+IFERROR(VLOOKUP($E:$E,'（居民）工资表-3月'!$E:$T,16,0),0)</f>
        <v>15000</v>
      </c>
      <c r="U8" s="93">
        <f>Q8+IFERROR(VLOOKUP($E:$E,'（居民）工资表-3月'!$E:$U,17,0),0)</f>
        <v>2381.52</v>
      </c>
      <c r="V8" s="70"/>
      <c r="W8" s="70"/>
      <c r="X8" s="70"/>
      <c r="Y8" s="70"/>
      <c r="Z8" s="70"/>
      <c r="AA8" s="70"/>
      <c r="AB8" s="92">
        <f t="shared" si="1"/>
        <v>0</v>
      </c>
      <c r="AC8" s="92">
        <f>R8+IFERROR(VLOOKUP($E:$E,'（居民）工资表-3月'!$E:$AC,25,0),0)</f>
        <v>0</v>
      </c>
      <c r="AD8" s="98">
        <f t="shared" si="2"/>
        <v>14118.48</v>
      </c>
      <c r="AE8" s="99">
        <f>ROUND(MAX((AD8)*{0.03;0.1;0.2;0.25;0.3;0.35;0.45}-{0;2520;16920;31920;52920;85920;181920},0),2)</f>
        <v>423.55</v>
      </c>
      <c r="AF8" s="100">
        <f>IFERROR(VLOOKUP(E:E,'（居民）工资表-3月'!E:AF,28,0)+VLOOKUP(E:E,'（居民）工资表-3月'!E:AG,29,0),0)</f>
        <v>282.37</v>
      </c>
      <c r="AG8" s="100">
        <f t="shared" si="3"/>
        <v>141.18</v>
      </c>
      <c r="AH8" s="109">
        <f t="shared" si="4"/>
        <v>9564.98</v>
      </c>
      <c r="AI8" s="108"/>
      <c r="AJ8" s="109">
        <f t="shared" si="5"/>
        <v>9564.98</v>
      </c>
      <c r="AK8" s="109"/>
      <c r="AL8" s="109">
        <f t="shared" si="6"/>
        <v>9706.16</v>
      </c>
      <c r="AM8" s="109"/>
      <c r="AN8" s="109"/>
      <c r="AO8" s="109"/>
      <c r="AP8" s="109"/>
      <c r="AQ8" s="109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144</v>
      </c>
      <c r="C9" s="37" t="s">
        <v>162</v>
      </c>
      <c r="D9" s="37" t="s">
        <v>145</v>
      </c>
      <c r="E9" s="328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344.64</v>
      </c>
      <c r="N9" s="71">
        <v>95.54</v>
      </c>
      <c r="O9" s="71">
        <v>12.92</v>
      </c>
      <c r="P9" s="71">
        <v>100</v>
      </c>
      <c r="Q9" s="89">
        <f t="shared" si="0"/>
        <v>553.1</v>
      </c>
      <c r="R9" s="70">
        <v>0</v>
      </c>
      <c r="S9" s="90">
        <f>L9+IFERROR(VLOOKUP($E:$E,'（居民）工资表-3月'!$E:$S,15,0),0)</f>
        <v>19500</v>
      </c>
      <c r="T9" s="91">
        <f>5000+IFERROR(VLOOKUP($E:$E,'（居民）工资表-3月'!$E:$T,16,0),0)</f>
        <v>15000</v>
      </c>
      <c r="U9" s="91">
        <f>Q9+IFERROR(VLOOKUP($E:$E,'（居民）工资表-3月'!$E:$U,17,0),0)</f>
        <v>1705.95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R9+IFERROR(VLOOKUP($E:$E,'（居民）工资表-3月'!$E:$AC,25,0),0)</f>
        <v>0</v>
      </c>
      <c r="AD9" s="95">
        <f t="shared" si="2"/>
        <v>2794.05</v>
      </c>
      <c r="AE9" s="96">
        <f>ROUND(MAX((AD9)*{0.03;0.1;0.2;0.25;0.3;0.35;0.45}-{0;2520;16920;31920;52920;85920;181920},0),2)</f>
        <v>83.82</v>
      </c>
      <c r="AF9" s="97">
        <f>IFERROR(VLOOKUP(E:E,'（居民）工资表-3月'!E:AF,28,0)+VLOOKUP(E:E,'（居民）工资表-3月'!E:AG,29,0),0)</f>
        <v>55.41</v>
      </c>
      <c r="AG9" s="97">
        <f t="shared" si="3"/>
        <v>28.41</v>
      </c>
      <c r="AH9" s="107">
        <f t="shared" si="4"/>
        <v>5918.49</v>
      </c>
      <c r="AI9" s="108"/>
      <c r="AJ9" s="107">
        <f t="shared" si="5"/>
        <v>5918.49</v>
      </c>
      <c r="AK9" s="109"/>
      <c r="AL9" s="107">
        <f t="shared" si="6"/>
        <v>5946.9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144</v>
      </c>
      <c r="C10" s="37" t="s">
        <v>165</v>
      </c>
      <c r="D10" s="37" t="s">
        <v>145</v>
      </c>
      <c r="E10" s="328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4422.91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L10+IFERROR(VLOOKUP($E:$E,'（居民）工资表-3月'!$E:$S,15,0),0)</f>
        <v>13268.71</v>
      </c>
      <c r="T10" s="91">
        <f>5000+IFERROR(VLOOKUP($E:$E,'（居民）工资表-3月'!$E:$T,16,0),0)</f>
        <v>15000</v>
      </c>
      <c r="U10" s="91">
        <f>Q10+IFERROR(VLOOKUP($E:$E,'（居民）工资表-3月'!$E:$U,17,0),0)</f>
        <v>1993.11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R10+IFERROR(VLOOKUP($E:$E,'（居民）工资表-3月'!$E:$AC,25,0),0)</f>
        <v>0</v>
      </c>
      <c r="AD10" s="95">
        <f t="shared" si="2"/>
        <v>-3724.4</v>
      </c>
      <c r="AE10" s="96">
        <f>ROUND(MAX((AD10)*{0.03;0.1;0.2;0.25;0.3;0.35;0.45}-{0;2520;16920;31920;52920;85920;181920},0),2)</f>
        <v>0</v>
      </c>
      <c r="AF10" s="97">
        <f>IFERROR(VLOOKUP(E:E,'（居民）工资表-3月'!E:AF,28,0)+VLOOKUP(E:E,'（居民）工资表-3月'!E:AG,29,0),0)</f>
        <v>0</v>
      </c>
      <c r="AG10" s="97">
        <f t="shared" si="3"/>
        <v>0</v>
      </c>
      <c r="AH10" s="107">
        <f t="shared" si="4"/>
        <v>3758.54</v>
      </c>
      <c r="AI10" s="108"/>
      <c r="AJ10" s="107">
        <f t="shared" si="5"/>
        <v>3758.54</v>
      </c>
      <c r="AK10" s="109"/>
      <c r="AL10" s="107">
        <f t="shared" si="6"/>
        <v>3758.54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144</v>
      </c>
      <c r="C11" s="37" t="s">
        <v>170</v>
      </c>
      <c r="D11" s="37" t="s">
        <v>145</v>
      </c>
      <c r="E11" s="328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89">
        <f t="shared" si="0"/>
        <v>580.84</v>
      </c>
      <c r="R11" s="70">
        <v>0</v>
      </c>
      <c r="S11" s="90">
        <f>L11+IFERROR(VLOOKUP($E:$E,'（居民）工资表-3月'!$E:$S,15,0),0)</f>
        <v>27000</v>
      </c>
      <c r="T11" s="91">
        <f>5000+IFERROR(VLOOKUP($E:$E,'（居民）工资表-3月'!$E:$T,16,0),0)</f>
        <v>15000</v>
      </c>
      <c r="U11" s="91">
        <f>Q11+IFERROR(VLOOKUP($E:$E,'（居民）工资表-3月'!$E:$U,17,0),0)</f>
        <v>1742.52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R11+IFERROR(VLOOKUP($E:$E,'（居民）工资表-3月'!$E:$AC,25,0),0)</f>
        <v>0</v>
      </c>
      <c r="AD11" s="95">
        <f t="shared" si="2"/>
        <v>10257.48</v>
      </c>
      <c r="AE11" s="96">
        <f>ROUND(MAX((AD11)*{0.03;0.1;0.2;0.25;0.3;0.35;0.45}-{0;2520;16920;31920;52920;85920;181920},0),2)</f>
        <v>307.72</v>
      </c>
      <c r="AF11" s="97">
        <f>IFERROR(VLOOKUP(E:E,'（居民）工资表-3月'!E:AF,28,0)+VLOOKUP(E:E,'（居民）工资表-3月'!E:AG,29,0),0)</f>
        <v>205.15</v>
      </c>
      <c r="AG11" s="97">
        <f t="shared" si="3"/>
        <v>102.57</v>
      </c>
      <c r="AH11" s="107">
        <f t="shared" si="4"/>
        <v>8316.59</v>
      </c>
      <c r="AI11" s="108"/>
      <c r="AJ11" s="107">
        <f t="shared" si="5"/>
        <v>8316.59</v>
      </c>
      <c r="AK11" s="109"/>
      <c r="AL11" s="107">
        <f t="shared" si="6"/>
        <v>8419.16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144</v>
      </c>
      <c r="C12" s="37" t="s">
        <v>174</v>
      </c>
      <c r="D12" s="37" t="s">
        <v>145</v>
      </c>
      <c r="E12" s="328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89">
        <f t="shared" si="0"/>
        <v>793.84</v>
      </c>
      <c r="R12" s="70">
        <v>0</v>
      </c>
      <c r="S12" s="90">
        <f>L12+IFERROR(VLOOKUP($E:$E,'（居民）工资表-3月'!$E:$S,15,0),0)</f>
        <v>22500</v>
      </c>
      <c r="T12" s="91">
        <f>5000+IFERROR(VLOOKUP($E:$E,'（居民）工资表-3月'!$E:$T,16,0),0)</f>
        <v>15000</v>
      </c>
      <c r="U12" s="91">
        <f>Q12+IFERROR(VLOOKUP($E:$E,'（居民）工资表-3月'!$E:$U,17,0),0)</f>
        <v>2381.52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R12+IFERROR(VLOOKUP($E:$E,'（居民）工资表-3月'!$E:$AC,25,0),0)</f>
        <v>0</v>
      </c>
      <c r="AD12" s="95">
        <f t="shared" si="2"/>
        <v>5118.48</v>
      </c>
      <c r="AE12" s="96">
        <f>ROUND(MAX((AD12)*{0.03;0.1;0.2;0.25;0.3;0.35;0.45}-{0;2520;16920;31920;52920;85920;181920},0),2)</f>
        <v>153.55</v>
      </c>
      <c r="AF12" s="97">
        <f>IFERROR(VLOOKUP(E:E,'（居民）工资表-3月'!E:AF,28,0)+VLOOKUP(E:E,'（居民）工资表-3月'!E:AG,29,0),0)</f>
        <v>102.37</v>
      </c>
      <c r="AG12" s="97">
        <f t="shared" si="3"/>
        <v>51.18</v>
      </c>
      <c r="AH12" s="107">
        <f t="shared" si="4"/>
        <v>6654.98</v>
      </c>
      <c r="AI12" s="108"/>
      <c r="AJ12" s="107">
        <f t="shared" si="5"/>
        <v>6654.98</v>
      </c>
      <c r="AK12" s="109"/>
      <c r="AL12" s="107">
        <f t="shared" si="6"/>
        <v>6706.16</v>
      </c>
      <c r="AM12" s="109"/>
      <c r="AN12" s="109"/>
      <c r="AO12" s="109"/>
      <c r="AP12" s="109"/>
      <c r="AQ12" s="109"/>
      <c r="AR12" s="116"/>
      <c r="AS12" s="116"/>
      <c r="AT12" s="116"/>
    </row>
    <row r="13" s="12" customFormat="1" ht="18" customHeight="1" spans="1:46">
      <c r="A13" s="36">
        <v>10</v>
      </c>
      <c r="B13" s="37" t="s">
        <v>144</v>
      </c>
      <c r="C13" s="37" t="s">
        <v>176</v>
      </c>
      <c r="D13" s="37" t="s">
        <v>145</v>
      </c>
      <c r="E13" s="328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89">
        <f t="shared" si="0"/>
        <v>793.84</v>
      </c>
      <c r="R13" s="70">
        <v>0</v>
      </c>
      <c r="S13" s="90">
        <f>L13+IFERROR(VLOOKUP($E:$E,'（居民）工资表-3月'!$E:$S,15,0),0)</f>
        <v>24000</v>
      </c>
      <c r="T13" s="91">
        <f>5000+IFERROR(VLOOKUP($E:$E,'（居民）工资表-3月'!$E:$T,16,0),0)</f>
        <v>15000</v>
      </c>
      <c r="U13" s="91">
        <f>Q13+IFERROR(VLOOKUP($E:$E,'（居民）工资表-3月'!$E:$U,17,0),0)</f>
        <v>2381.52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R13+IFERROR(VLOOKUP($E:$E,'（居民）工资表-3月'!$E:$AC,25,0),0)</f>
        <v>0</v>
      </c>
      <c r="AD13" s="95">
        <f t="shared" si="2"/>
        <v>6618.48</v>
      </c>
      <c r="AE13" s="96">
        <f>ROUND(MAX((AD13)*{0.03;0.1;0.2;0.25;0.3;0.35;0.45}-{0;2520;16920;31920;52920;85920;181920},0),2)</f>
        <v>198.55</v>
      </c>
      <c r="AF13" s="97">
        <f>IFERROR(VLOOKUP(E:E,'（居民）工资表-3月'!E:AF,28,0)+VLOOKUP(E:E,'（居民）工资表-3月'!E:AG,29,0),0)</f>
        <v>132.37</v>
      </c>
      <c r="AG13" s="97">
        <f t="shared" si="3"/>
        <v>66.18</v>
      </c>
      <c r="AH13" s="107">
        <f t="shared" si="4"/>
        <v>7139.98</v>
      </c>
      <c r="AI13" s="108"/>
      <c r="AJ13" s="107">
        <f t="shared" si="5"/>
        <v>7139.98</v>
      </c>
      <c r="AK13" s="109"/>
      <c r="AL13" s="107">
        <f t="shared" si="6"/>
        <v>7206.16</v>
      </c>
      <c r="AM13" s="109"/>
      <c r="AN13" s="109"/>
      <c r="AO13" s="109"/>
      <c r="AP13" s="109"/>
      <c r="AQ13" s="109"/>
      <c r="AR13" s="116"/>
      <c r="AS13" s="116"/>
      <c r="AT13" s="116"/>
    </row>
    <row r="14" s="12" customFormat="1" ht="17" customHeight="1" spans="1:46">
      <c r="A14" s="36">
        <v>11</v>
      </c>
      <c r="B14" s="37" t="s">
        <v>144</v>
      </c>
      <c r="C14" s="37" t="s">
        <v>183</v>
      </c>
      <c r="D14" s="37" t="s">
        <v>145</v>
      </c>
      <c r="E14" s="328" t="s">
        <v>184</v>
      </c>
      <c r="F14" s="38" t="s">
        <v>150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89">
        <f t="shared" si="0"/>
        <v>546.84</v>
      </c>
      <c r="R14" s="70">
        <v>0</v>
      </c>
      <c r="S14" s="90">
        <f>L14+IFERROR(VLOOKUP($E:$E,'（居民）工资表-3月'!$E:$S,15,0),0)</f>
        <v>18000</v>
      </c>
      <c r="T14" s="91">
        <f>5000+IFERROR(VLOOKUP($E:$E,'（居民）工资表-3月'!$E:$T,16,0),0)</f>
        <v>15000</v>
      </c>
      <c r="U14" s="91">
        <f>Q14+IFERROR(VLOOKUP($E:$E,'（居民）工资表-3月'!$E:$U,17,0),0)</f>
        <v>1640.52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R14+IFERROR(VLOOKUP($E:$E,'（居民）工资表-3月'!$E:$AC,25,0),0)</f>
        <v>0</v>
      </c>
      <c r="AD14" s="95">
        <f t="shared" si="2"/>
        <v>1359.48</v>
      </c>
      <c r="AE14" s="96">
        <f>ROUND(MAX((AD14)*{0.03;0.1;0.2;0.25;0.3;0.35;0.45}-{0;2520;16920;31920;52920;85920;181920},0),2)</f>
        <v>40.78</v>
      </c>
      <c r="AF14" s="97">
        <f>IFERROR(VLOOKUP(E:E,'（居民）工资表-3月'!E:AF,28,0)+VLOOKUP(E:E,'（居民）工资表-3月'!E:AG,29,0),0)</f>
        <v>27.19</v>
      </c>
      <c r="AG14" s="97">
        <f t="shared" si="3"/>
        <v>13.59</v>
      </c>
      <c r="AH14" s="107">
        <f t="shared" si="4"/>
        <v>5439.57</v>
      </c>
      <c r="AI14" s="108"/>
      <c r="AJ14" s="107">
        <f t="shared" si="5"/>
        <v>5439.57</v>
      </c>
      <c r="AK14" s="109"/>
      <c r="AL14" s="107">
        <f t="shared" si="6"/>
        <v>5453.16</v>
      </c>
      <c r="AM14" s="109"/>
      <c r="AN14" s="109"/>
      <c r="AO14" s="109"/>
      <c r="AP14" s="109"/>
      <c r="AQ14" s="109"/>
      <c r="AR14" s="116"/>
      <c r="AS14" s="116"/>
      <c r="AT14" s="116"/>
    </row>
    <row r="15" s="12" customFormat="1" ht="17" customHeight="1" spans="1:46">
      <c r="A15" s="36">
        <v>12</v>
      </c>
      <c r="B15" s="37" t="s">
        <v>144</v>
      </c>
      <c r="C15" s="37" t="s">
        <v>185</v>
      </c>
      <c r="D15" s="37" t="s">
        <v>145</v>
      </c>
      <c r="E15" s="328" t="s">
        <v>186</v>
      </c>
      <c r="F15" s="38" t="s">
        <v>146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89">
        <f t="shared" si="0"/>
        <v>550</v>
      </c>
      <c r="R15" s="70">
        <v>0</v>
      </c>
      <c r="S15" s="90">
        <f>L15+IFERROR(VLOOKUP($E:$E,'（居民）工资表-3月'!$E:$S,15,0),0)</f>
        <v>30000</v>
      </c>
      <c r="T15" s="91">
        <f>5000+IFERROR(VLOOKUP($E:$E,'（居民）工资表-3月'!$E:$T,16,0),0)</f>
        <v>15000</v>
      </c>
      <c r="U15" s="91">
        <f>Q15+IFERROR(VLOOKUP($E:$E,'（居民）工资表-3月'!$E:$U,17,0),0)</f>
        <v>1650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R15+IFERROR(VLOOKUP($E:$E,'（居民）工资表-3月'!$E:$AC,25,0),0)</f>
        <v>0</v>
      </c>
      <c r="AD15" s="95">
        <f t="shared" si="2"/>
        <v>13350</v>
      </c>
      <c r="AE15" s="96">
        <f>ROUND(MAX((AD15)*{0.03;0.1;0.2;0.25;0.3;0.35;0.45}-{0;2520;16920;31920;52920;85920;181920},0),2)</f>
        <v>400.5</v>
      </c>
      <c r="AF15" s="97">
        <f>IFERROR(VLOOKUP(E:E,'（居民）工资表-3月'!E:AF,28,0)+VLOOKUP(E:E,'（居民）工资表-3月'!E:AG,29,0),0)</f>
        <v>267</v>
      </c>
      <c r="AG15" s="97">
        <f t="shared" si="3"/>
        <v>133.5</v>
      </c>
      <c r="AH15" s="107">
        <f t="shared" si="4"/>
        <v>9316.5</v>
      </c>
      <c r="AI15" s="108"/>
      <c r="AJ15" s="107">
        <f t="shared" si="5"/>
        <v>9316.5</v>
      </c>
      <c r="AK15" s="109"/>
      <c r="AL15" s="107">
        <f t="shared" si="6"/>
        <v>9450</v>
      </c>
      <c r="AM15" s="109"/>
      <c r="AN15" s="109"/>
      <c r="AO15" s="109"/>
      <c r="AP15" s="109"/>
      <c r="AQ15" s="109"/>
      <c r="AR15" s="116"/>
      <c r="AS15" s="116"/>
      <c r="AT15" s="116"/>
    </row>
    <row r="16" s="12" customFormat="1" ht="17" customHeight="1" spans="1:46">
      <c r="A16" s="36">
        <v>13</v>
      </c>
      <c r="B16" s="37" t="s">
        <v>144</v>
      </c>
      <c r="C16" s="37" t="s">
        <v>187</v>
      </c>
      <c r="D16" s="37" t="s">
        <v>145</v>
      </c>
      <c r="E16" s="37" t="s">
        <v>188</v>
      </c>
      <c r="F16" s="38" t="s">
        <v>146</v>
      </c>
      <c r="G16" s="39">
        <v>13711361074</v>
      </c>
      <c r="H16" s="40"/>
      <c r="I16" s="40"/>
      <c r="J16" s="69"/>
      <c r="K16" s="40"/>
      <c r="L16" s="70">
        <v>1140</v>
      </c>
      <c r="M16" s="71">
        <v>0</v>
      </c>
      <c r="N16" s="71">
        <v>0</v>
      </c>
      <c r="O16" s="71">
        <v>0</v>
      </c>
      <c r="P16" s="71">
        <v>0</v>
      </c>
      <c r="Q16" s="89">
        <f t="shared" si="0"/>
        <v>0</v>
      </c>
      <c r="R16" s="70">
        <v>0</v>
      </c>
      <c r="S16" s="90">
        <f>L16+IFERROR(VLOOKUP($E:$E,'（居民）工资表-3月'!$E:$S,15,0),0)</f>
        <v>16340</v>
      </c>
      <c r="T16" s="91">
        <f>5000+IFERROR(VLOOKUP($E:$E,'（居民）工资表-3月'!$E:$T,16,0),0)</f>
        <v>15000</v>
      </c>
      <c r="U16" s="91">
        <f>Q16+IFERROR(VLOOKUP($E:$E,'（居民）工资表-3月'!$E:$U,17,0),0)</f>
        <v>580.38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R16+IFERROR(VLOOKUP($E:$E,'（居民）工资表-3月'!$E:$AC,25,0),0)</f>
        <v>0</v>
      </c>
      <c r="AD16" s="95">
        <f t="shared" si="2"/>
        <v>759.62</v>
      </c>
      <c r="AE16" s="96">
        <f>ROUND(MAX((AD16)*{0.03;0.1;0.2;0.25;0.3;0.35;0.45}-{0;2520;16920;31920;52920;85920;181920},0),2)</f>
        <v>22.79</v>
      </c>
      <c r="AF16" s="97">
        <f>IFERROR(VLOOKUP(E:E,'（居民）工资表-3月'!E:AF,28,0)+VLOOKUP(E:E,'（居民）工资表-3月'!E:AG,29,0),0)</f>
        <v>138.59</v>
      </c>
      <c r="AG16" s="97">
        <f t="shared" si="3"/>
        <v>0</v>
      </c>
      <c r="AH16" s="107">
        <f t="shared" si="4"/>
        <v>1140</v>
      </c>
      <c r="AI16" s="108"/>
      <c r="AJ16" s="107">
        <f t="shared" si="5"/>
        <v>1140</v>
      </c>
      <c r="AK16" s="109"/>
      <c r="AL16" s="107">
        <f t="shared" si="6"/>
        <v>1140</v>
      </c>
      <c r="AM16" s="109"/>
      <c r="AN16" s="109"/>
      <c r="AO16" s="109"/>
      <c r="AP16" s="109"/>
      <c r="AQ16" s="109"/>
      <c r="AR16" s="116"/>
      <c r="AS16" s="116"/>
      <c r="AT16" s="116"/>
    </row>
    <row r="17" s="12" customFormat="1" ht="17" customHeight="1" spans="1:46">
      <c r="A17" s="36">
        <v>14</v>
      </c>
      <c r="B17" s="37" t="s">
        <v>144</v>
      </c>
      <c r="C17" s="37" t="s">
        <v>211</v>
      </c>
      <c r="D17" s="37" t="s">
        <v>145</v>
      </c>
      <c r="E17" s="37" t="s">
        <v>212</v>
      </c>
      <c r="F17" s="38" t="s">
        <v>146</v>
      </c>
      <c r="G17" s="329" t="s">
        <v>213</v>
      </c>
      <c r="H17" s="40"/>
      <c r="I17" s="40"/>
      <c r="J17" s="69"/>
      <c r="K17" s="40"/>
      <c r="L17" s="70">
        <v>4480</v>
      </c>
      <c r="M17" s="71">
        <v>359.52</v>
      </c>
      <c r="N17" s="71">
        <v>96.88</v>
      </c>
      <c r="O17" s="71">
        <v>13.48</v>
      </c>
      <c r="P17" s="71">
        <v>221</v>
      </c>
      <c r="Q17" s="89">
        <f t="shared" si="0"/>
        <v>690.88</v>
      </c>
      <c r="R17" s="70">
        <v>0</v>
      </c>
      <c r="S17" s="90">
        <f>L17+IFERROR(VLOOKUP($E:$E,'（居民）工资表-3月'!$E:$S,15,0),0)</f>
        <v>4480</v>
      </c>
      <c r="T17" s="91">
        <f>5000+IFERROR(VLOOKUP($E:$E,'（居民）工资表-3月'!$E:$T,16,0),0)</f>
        <v>5000</v>
      </c>
      <c r="U17" s="91">
        <f>Q17+IFERROR(VLOOKUP($E:$E,'（居民）工资表-3月'!$E:$U,17,0),0)</f>
        <v>690.88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R17+IFERROR(VLOOKUP($E:$E,'（居民）工资表-3月'!$E:$AC,25,0),0)</f>
        <v>0</v>
      </c>
      <c r="AD17" s="95">
        <f t="shared" si="2"/>
        <v>-1210.88</v>
      </c>
      <c r="AE17" s="96">
        <f>ROUND(MAX((AD17)*{0.03;0.1;0.2;0.25;0.3;0.35;0.45}-{0;2520;16920;31920;52920;85920;181920},0),2)</f>
        <v>0</v>
      </c>
      <c r="AF17" s="97">
        <f>IFERROR(VLOOKUP(E:E,'（居民）工资表-3月'!E:AF,28,0)+VLOOKUP(E:E,'（居民）工资表-3月'!E:AG,29,0),0)</f>
        <v>0</v>
      </c>
      <c r="AG17" s="97">
        <f t="shared" si="3"/>
        <v>0</v>
      </c>
      <c r="AH17" s="107">
        <f t="shared" si="4"/>
        <v>3789.12</v>
      </c>
      <c r="AI17" s="108"/>
      <c r="AJ17" s="107">
        <f t="shared" si="5"/>
        <v>3789.12</v>
      </c>
      <c r="AK17" s="109"/>
      <c r="AL17" s="107">
        <f t="shared" si="6"/>
        <v>3789.12</v>
      </c>
      <c r="AM17" s="109"/>
      <c r="AN17" s="109"/>
      <c r="AO17" s="109"/>
      <c r="AP17" s="109"/>
      <c r="AQ17" s="109"/>
      <c r="AR17" s="116"/>
      <c r="AS17" s="116"/>
      <c r="AT17" s="116"/>
    </row>
    <row r="18" s="12" customFormat="1" ht="18" customHeight="1" spans="1:46">
      <c r="A18" s="36"/>
      <c r="B18" s="37"/>
      <c r="C18" s="37"/>
      <c r="D18" s="37"/>
      <c r="E18" s="37"/>
      <c r="F18" s="38"/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/>
      <c r="R18" s="70"/>
      <c r="S18" s="90"/>
      <c r="T18" s="91"/>
      <c r="U18" s="91"/>
      <c r="V18" s="70"/>
      <c r="W18" s="70"/>
      <c r="X18" s="70"/>
      <c r="Y18" s="70"/>
      <c r="Z18" s="70"/>
      <c r="AA18" s="70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189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120762.91</v>
      </c>
      <c r="M19" s="74">
        <f t="shared" ref="M19:AL19" si="10">SUM(M4:M18)</f>
        <v>4847.61</v>
      </c>
      <c r="N19" s="74">
        <f t="shared" si="10"/>
        <v>1341.32</v>
      </c>
      <c r="O19" s="74">
        <f t="shared" si="10"/>
        <v>254.69</v>
      </c>
      <c r="P19" s="74">
        <f t="shared" si="10"/>
        <v>2363.4</v>
      </c>
      <c r="Q19" s="74">
        <f t="shared" si="10"/>
        <v>8807.02</v>
      </c>
      <c r="R19" s="74">
        <f t="shared" si="10"/>
        <v>0</v>
      </c>
      <c r="S19" s="74">
        <f t="shared" si="10"/>
        <v>366248.71</v>
      </c>
      <c r="T19" s="74">
        <f t="shared" si="10"/>
        <v>200000</v>
      </c>
      <c r="U19" s="74">
        <f t="shared" si="10"/>
        <v>25750.49</v>
      </c>
      <c r="V19" s="74">
        <f t="shared" si="10"/>
        <v>0</v>
      </c>
      <c r="W19" s="74">
        <f t="shared" si="10"/>
        <v>0</v>
      </c>
      <c r="X19" s="74">
        <f t="shared" si="10"/>
        <v>0</v>
      </c>
      <c r="Y19" s="74">
        <f t="shared" si="10"/>
        <v>0</v>
      </c>
      <c r="Z19" s="74">
        <f t="shared" si="10"/>
        <v>0</v>
      </c>
      <c r="AA19" s="74">
        <f t="shared" si="10"/>
        <v>0</v>
      </c>
      <c r="AB19" s="74">
        <f t="shared" si="10"/>
        <v>0</v>
      </c>
      <c r="AC19" s="74">
        <f t="shared" si="10"/>
        <v>0</v>
      </c>
      <c r="AD19" s="74">
        <f t="shared" si="10"/>
        <v>140498.22</v>
      </c>
      <c r="AE19" s="74">
        <f t="shared" si="10"/>
        <v>6903.28</v>
      </c>
      <c r="AF19" s="74">
        <f t="shared" si="10"/>
        <v>3812.93</v>
      </c>
      <c r="AG19" s="74">
        <f t="shared" si="10"/>
        <v>3206.15</v>
      </c>
      <c r="AH19" s="74">
        <f t="shared" si="10"/>
        <v>108749.74</v>
      </c>
      <c r="AI19" s="74">
        <f t="shared" si="10"/>
        <v>0</v>
      </c>
      <c r="AJ19" s="74">
        <f t="shared" si="10"/>
        <v>108749.74</v>
      </c>
      <c r="AK19" s="74">
        <f t="shared" si="10"/>
        <v>0</v>
      </c>
      <c r="AL19" s="74">
        <f t="shared" si="10"/>
        <v>111955.89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3">
      <c r="B23" s="47" t="s">
        <v>133</v>
      </c>
      <c r="C23" s="47" t="s">
        <v>190</v>
      </c>
      <c r="D23" s="47" t="s">
        <v>22</v>
      </c>
      <c r="E23" s="47" t="s">
        <v>23</v>
      </c>
      <c r="AD23" s="10"/>
      <c r="AG23" s="111"/>
    </row>
    <row r="24" ht="18.75" customHeight="1" spans="2:5">
      <c r="B24" s="48">
        <f>AJ19</f>
        <v>108749.74</v>
      </c>
      <c r="C24" s="48">
        <f>AG19</f>
        <v>3206.15</v>
      </c>
      <c r="D24" s="48">
        <f>AK19</f>
        <v>0</v>
      </c>
      <c r="E24" s="48">
        <f>B24+C24+D24</f>
        <v>111955.89</v>
      </c>
    </row>
    <row r="25" spans="2:5">
      <c r="B25" s="49"/>
      <c r="C25" s="49"/>
      <c r="D25" s="49"/>
      <c r="E25" s="50"/>
    </row>
    <row r="26" s="14" customFormat="1" spans="1:35">
      <c r="A26" s="51" t="s">
        <v>191</v>
      </c>
      <c r="B26" s="52" t="s">
        <v>192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193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194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195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196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197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198</v>
      </c>
    </row>
    <row r="34" spans="2:2">
      <c r="B34" s="59" t="s">
        <v>199</v>
      </c>
    </row>
    <row r="35" spans="2:2">
      <c r="B35" s="59" t="s">
        <v>200</v>
      </c>
    </row>
  </sheetData>
  <autoFilter xmlns:etc="http://www.wps.cn/officeDocument/2017/etCustomData" ref="A3:AT19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214</v>
      </c>
      <c r="C1" s="1"/>
      <c r="D1" s="1"/>
      <c r="E1" s="1"/>
    </row>
    <row r="2" ht="21" spans="2:2">
      <c r="B2" s="2"/>
    </row>
    <row r="3" ht="27.75" customHeight="1" spans="2:5">
      <c r="B3" s="3" t="s">
        <v>215</v>
      </c>
      <c r="C3" s="4" t="s">
        <v>216</v>
      </c>
      <c r="D3" s="4" t="s">
        <v>217</v>
      </c>
      <c r="E3" s="4" t="s">
        <v>218</v>
      </c>
    </row>
    <row r="4" ht="29.25" customHeight="1" spans="2:5">
      <c r="B4" s="5">
        <v>1</v>
      </c>
      <c r="C4" s="6" t="s">
        <v>219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220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221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222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223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224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225</v>
      </c>
      <c r="D10" s="7">
        <v>0.45</v>
      </c>
      <c r="E10" s="8">
        <v>181920</v>
      </c>
    </row>
    <row r="13" ht="57" customHeight="1" spans="2:5">
      <c r="B13" s="1" t="s">
        <v>226</v>
      </c>
      <c r="C13" s="1"/>
      <c r="D13" s="1"/>
      <c r="E13" s="1"/>
    </row>
    <row r="14" ht="21" spans="2:2">
      <c r="B14" s="2"/>
    </row>
    <row r="15" ht="27.75" customHeight="1" spans="2:5">
      <c r="B15" s="3" t="s">
        <v>215</v>
      </c>
      <c r="C15" s="4" t="s">
        <v>227</v>
      </c>
      <c r="D15" s="4" t="s">
        <v>217</v>
      </c>
      <c r="E15" s="4" t="s">
        <v>218</v>
      </c>
    </row>
    <row r="16" ht="29.25" customHeight="1" spans="2:5">
      <c r="B16" s="5">
        <v>1</v>
      </c>
      <c r="C16" s="6" t="s">
        <v>228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229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230</v>
      </c>
      <c r="D18" s="7">
        <v>0.4</v>
      </c>
      <c r="E18" s="8">
        <v>7000</v>
      </c>
    </row>
    <row r="21" ht="47.25" customHeight="1" spans="2:5">
      <c r="B21" s="1" t="s">
        <v>231</v>
      </c>
      <c r="C21" s="1"/>
      <c r="D21" s="1"/>
      <c r="E21" s="1"/>
    </row>
    <row r="22" ht="21" spans="2:2">
      <c r="B22" s="2"/>
    </row>
    <row r="23" ht="27.75" customHeight="1" spans="2:5">
      <c r="B23" s="3" t="s">
        <v>215</v>
      </c>
      <c r="C23" s="4" t="s">
        <v>232</v>
      </c>
      <c r="D23" s="4" t="s">
        <v>217</v>
      </c>
      <c r="E23" s="4" t="s">
        <v>218</v>
      </c>
    </row>
    <row r="24" ht="29.25" customHeight="1" spans="2:5">
      <c r="B24" s="5">
        <v>1</v>
      </c>
      <c r="C24" s="6" t="s">
        <v>233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234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235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236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237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238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239</v>
      </c>
      <c r="D30" s="7">
        <v>0.45</v>
      </c>
      <c r="E30" s="8">
        <v>15160</v>
      </c>
    </row>
    <row r="35" ht="57" customHeight="1" spans="2:5">
      <c r="B35" s="9" t="s">
        <v>240</v>
      </c>
      <c r="C35" s="9"/>
      <c r="D35" s="9"/>
      <c r="E35" s="9"/>
    </row>
    <row r="36" ht="14.25"/>
    <row r="37" ht="21.75" customHeight="1" spans="2:5">
      <c r="B37" s="3" t="s">
        <v>215</v>
      </c>
      <c r="C37" s="4" t="s">
        <v>241</v>
      </c>
      <c r="D37" s="4" t="s">
        <v>242</v>
      </c>
      <c r="E37" s="4" t="s">
        <v>218</v>
      </c>
    </row>
    <row r="38" ht="21.75" customHeight="1" spans="2:5">
      <c r="B38" s="5">
        <v>1</v>
      </c>
      <c r="C38" s="6" t="s">
        <v>233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234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235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236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237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238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239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6"/>
  <sheetViews>
    <sheetView tabSelected="1" workbookViewId="0">
      <selection activeCell="B6" sqref="B6"/>
    </sheetView>
  </sheetViews>
  <sheetFormatPr defaultColWidth="9" defaultRowHeight="13.5"/>
  <cols>
    <col min="1" max="2" width="9" style="130"/>
    <col min="3" max="3" width="10.725" style="130" customWidth="1"/>
    <col min="4" max="4" width="16.725" style="130" customWidth="1"/>
    <col min="5" max="5" width="11.725" style="130" customWidth="1"/>
    <col min="6" max="6" width="9" style="130"/>
    <col min="7" max="7" width="10.725" style="130" customWidth="1"/>
    <col min="8" max="10" width="9" style="130"/>
    <col min="11" max="11" width="13.75" style="130" customWidth="1"/>
    <col min="12" max="12" width="9" style="130"/>
    <col min="13" max="13" width="9.45" style="130" customWidth="1"/>
    <col min="14" max="14" width="16.45" style="130" customWidth="1"/>
    <col min="15" max="16384" width="9" style="130"/>
  </cols>
  <sheetData>
    <row r="1" ht="25.5" spans="1:14">
      <c r="A1" s="131" t="s">
        <v>67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ht="14.25" spans="1:14">
      <c r="A2" s="132"/>
      <c r="B2" s="133"/>
      <c r="C2" s="133"/>
      <c r="D2" s="134"/>
      <c r="E2" s="134"/>
      <c r="F2" s="134"/>
      <c r="G2" s="132"/>
      <c r="H2" s="132"/>
      <c r="I2" s="132"/>
      <c r="J2" s="134"/>
      <c r="K2" s="134"/>
      <c r="L2" s="134"/>
      <c r="M2" s="134"/>
      <c r="N2" s="134"/>
    </row>
    <row r="3" spans="1:14">
      <c r="A3" s="135"/>
      <c r="B3" s="136"/>
      <c r="C3" s="137"/>
      <c r="D3" s="138"/>
      <c r="E3" s="139"/>
      <c r="F3" s="139"/>
      <c r="G3" s="140"/>
      <c r="H3" s="141"/>
      <c r="I3" s="136"/>
      <c r="J3" s="137"/>
      <c r="K3" s="138"/>
      <c r="L3" s="209"/>
      <c r="M3" s="134"/>
      <c r="N3" s="134"/>
    </row>
    <row r="4" spans="1:14">
      <c r="A4" s="135"/>
      <c r="B4" s="142" t="s">
        <v>68</v>
      </c>
      <c r="C4" s="142"/>
      <c r="D4" s="142"/>
      <c r="E4" s="142"/>
      <c r="F4" s="143"/>
      <c r="G4" s="142"/>
      <c r="H4" s="141"/>
      <c r="K4" s="134"/>
      <c r="L4" s="210"/>
      <c r="M4" s="211"/>
      <c r="N4" s="134"/>
    </row>
    <row r="5" spans="1:14">
      <c r="A5" s="144"/>
      <c r="B5" s="145" t="s">
        <v>69</v>
      </c>
      <c r="C5" s="138"/>
      <c r="D5" s="138"/>
      <c r="E5" s="138"/>
      <c r="F5" s="138"/>
      <c r="G5" s="138"/>
      <c r="H5" s="146"/>
      <c r="I5" s="141"/>
      <c r="J5" s="136"/>
      <c r="K5" s="137"/>
      <c r="L5" s="209"/>
      <c r="M5" s="134"/>
      <c r="N5" s="134"/>
    </row>
    <row r="6" ht="9.75" customHeight="1" spans="1:14">
      <c r="A6" s="147"/>
      <c r="B6" s="147"/>
      <c r="C6" s="147"/>
      <c r="D6" s="147"/>
      <c r="E6" s="147"/>
      <c r="F6" s="147"/>
      <c r="G6" s="147"/>
      <c r="H6" s="147"/>
      <c r="I6" s="212"/>
      <c r="J6" s="212"/>
      <c r="K6" s="213"/>
      <c r="L6" s="213"/>
      <c r="M6" s="213"/>
      <c r="N6" s="213"/>
    </row>
    <row r="7" ht="17.25" spans="1:14">
      <c r="A7" s="147"/>
      <c r="B7" s="148" t="s">
        <v>70</v>
      </c>
      <c r="C7" s="149"/>
      <c r="D7" s="149"/>
      <c r="E7" s="149"/>
      <c r="F7" s="149"/>
      <c r="G7" s="149"/>
      <c r="H7" s="149"/>
      <c r="I7" s="214" t="s">
        <v>71</v>
      </c>
      <c r="J7" s="214" t="s">
        <v>72</v>
      </c>
      <c r="K7" s="215" t="s">
        <v>47</v>
      </c>
      <c r="L7" s="215" t="s">
        <v>72</v>
      </c>
      <c r="M7" s="215" t="s">
        <v>72</v>
      </c>
      <c r="N7" s="216"/>
    </row>
    <row r="8" ht="17.25" spans="1:14">
      <c r="A8" s="147"/>
      <c r="B8" s="150" t="s">
        <v>73</v>
      </c>
      <c r="C8" s="151"/>
      <c r="D8" s="151"/>
      <c r="E8" s="152">
        <f>D10</f>
        <v>111955.89</v>
      </c>
      <c r="F8" s="153"/>
      <c r="G8" s="153"/>
      <c r="H8" s="154"/>
      <c r="I8" s="217" t="s">
        <v>72</v>
      </c>
      <c r="J8" s="218" t="s">
        <v>74</v>
      </c>
      <c r="K8" s="219" t="s">
        <v>75</v>
      </c>
      <c r="L8" s="219" t="s">
        <v>72</v>
      </c>
      <c r="M8" s="219" t="s">
        <v>72</v>
      </c>
      <c r="N8" s="220"/>
    </row>
    <row r="9" ht="15.75" spans="1:14">
      <c r="A9" s="147"/>
      <c r="B9" s="155" t="s">
        <v>76</v>
      </c>
      <c r="C9" s="156"/>
      <c r="D9" s="156"/>
      <c r="E9" s="157">
        <f>G24</f>
        <v>111955.89</v>
      </c>
      <c r="F9" s="158"/>
      <c r="G9" s="158"/>
      <c r="H9" s="159"/>
      <c r="I9" s="219" t="s">
        <v>72</v>
      </c>
      <c r="J9" s="221" t="s">
        <v>77</v>
      </c>
      <c r="K9" s="222" t="s">
        <v>78</v>
      </c>
      <c r="L9" s="222" t="s">
        <v>72</v>
      </c>
      <c r="M9" s="222" t="s">
        <v>72</v>
      </c>
      <c r="N9" s="223"/>
    </row>
    <row r="10" ht="30.75" spans="1:14">
      <c r="A10" s="147"/>
      <c r="B10" s="160" t="s">
        <v>79</v>
      </c>
      <c r="C10" s="161"/>
      <c r="D10" s="162">
        <f>G24</f>
        <v>111955.89</v>
      </c>
      <c r="E10" s="163" t="s">
        <v>80</v>
      </c>
      <c r="F10" s="164"/>
      <c r="G10" s="165"/>
      <c r="H10" s="166">
        <v>0</v>
      </c>
      <c r="I10" s="224" t="s">
        <v>72</v>
      </c>
      <c r="J10" s="225" t="s">
        <v>81</v>
      </c>
      <c r="K10" s="327" t="s">
        <v>82</v>
      </c>
      <c r="L10" s="226" t="s">
        <v>72</v>
      </c>
      <c r="M10" s="226" t="s">
        <v>72</v>
      </c>
      <c r="N10" s="227"/>
    </row>
    <row r="11" ht="16.5" spans="1:14">
      <c r="A11" s="147"/>
      <c r="B11" s="167" t="s">
        <v>83</v>
      </c>
      <c r="C11" s="168"/>
      <c r="D11" s="169"/>
      <c r="E11" s="170" t="s">
        <v>84</v>
      </c>
      <c r="F11" s="171"/>
      <c r="G11" s="172"/>
      <c r="H11" s="173"/>
      <c r="I11" s="228" t="s">
        <v>72</v>
      </c>
      <c r="J11" s="229" t="s">
        <v>85</v>
      </c>
      <c r="K11" s="230" t="s">
        <v>86</v>
      </c>
      <c r="L11" s="228"/>
      <c r="M11" s="228" t="s">
        <v>72</v>
      </c>
      <c r="N11" s="231"/>
    </row>
    <row r="12" spans="1:14">
      <c r="A12" s="144"/>
      <c r="B12" s="167" t="s">
        <v>87</v>
      </c>
      <c r="C12" s="168"/>
      <c r="D12" s="169">
        <v>0</v>
      </c>
      <c r="E12" s="170" t="s">
        <v>88</v>
      </c>
      <c r="F12" s="171"/>
      <c r="G12" s="172"/>
      <c r="H12" s="173"/>
      <c r="I12" s="232"/>
      <c r="J12" s="233"/>
      <c r="K12" s="234"/>
      <c r="L12" s="234"/>
      <c r="M12" s="234"/>
      <c r="N12" s="234"/>
    </row>
    <row r="13" ht="14.25" spans="1:14">
      <c r="A13" s="134"/>
      <c r="B13" s="174" t="s">
        <v>89</v>
      </c>
      <c r="C13" s="175"/>
      <c r="D13" s="176">
        <v>0</v>
      </c>
      <c r="E13" s="177"/>
      <c r="F13" s="178"/>
      <c r="G13" s="179"/>
      <c r="H13" s="180"/>
      <c r="I13" s="147"/>
      <c r="J13" s="235"/>
      <c r="K13" s="236"/>
      <c r="L13" s="236"/>
      <c r="M13" s="236"/>
      <c r="N13" s="236"/>
    </row>
    <row r="14" ht="5.25" customHeight="1" spans="1:14">
      <c r="A14" s="181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>
      <c r="A15" s="134" t="s">
        <v>90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ht="3" customHeight="1" spans="1:14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ht="18.75" spans="2:13">
      <c r="B17" s="182" t="s">
        <v>0</v>
      </c>
      <c r="C17" s="183" t="s">
        <v>91</v>
      </c>
      <c r="D17" s="183" t="s">
        <v>92</v>
      </c>
      <c r="E17" s="183"/>
      <c r="F17" s="184" t="s">
        <v>93</v>
      </c>
      <c r="G17" s="185" t="s">
        <v>31</v>
      </c>
      <c r="H17" s="186" t="s">
        <v>24</v>
      </c>
      <c r="J17" s="237" t="s">
        <v>94</v>
      </c>
      <c r="K17" s="237"/>
      <c r="L17" s="237"/>
      <c r="M17" s="237"/>
    </row>
    <row r="18" ht="16.5" spans="2:13">
      <c r="B18" s="187">
        <v>1</v>
      </c>
      <c r="C18" s="188" t="s">
        <v>95</v>
      </c>
      <c r="D18" s="189" t="s">
        <v>96</v>
      </c>
      <c r="E18" s="189"/>
      <c r="F18" s="190"/>
      <c r="G18" s="191">
        <f>'（居民）工资表-4月'!E24</f>
        <v>111955.89</v>
      </c>
      <c r="H18" s="192"/>
      <c r="J18" s="237"/>
      <c r="K18" s="237"/>
      <c r="L18" s="237"/>
      <c r="M18" s="237"/>
    </row>
    <row r="19" ht="16.5" spans="2:13">
      <c r="B19" s="187">
        <v>2</v>
      </c>
      <c r="C19" s="188"/>
      <c r="D19" s="193" t="s">
        <v>97</v>
      </c>
      <c r="E19" s="194" t="s">
        <v>98</v>
      </c>
      <c r="F19" s="190"/>
      <c r="G19" s="191"/>
      <c r="H19" s="195"/>
      <c r="J19" s="237"/>
      <c r="K19" s="237"/>
      <c r="L19" s="237"/>
      <c r="M19" s="237"/>
    </row>
    <row r="20" ht="16.5" spans="2:13">
      <c r="B20" s="187">
        <v>3</v>
      </c>
      <c r="C20" s="188"/>
      <c r="D20" s="193" t="s">
        <v>99</v>
      </c>
      <c r="E20" s="194" t="s">
        <v>98</v>
      </c>
      <c r="F20" s="190"/>
      <c r="G20" s="191"/>
      <c r="H20" s="195"/>
      <c r="J20" s="237"/>
      <c r="K20" s="237"/>
      <c r="L20" s="237"/>
      <c r="M20" s="237"/>
    </row>
    <row r="21" ht="16.5" spans="2:13">
      <c r="B21" s="187">
        <v>4</v>
      </c>
      <c r="C21" s="188"/>
      <c r="D21" s="196" t="s">
        <v>38</v>
      </c>
      <c r="E21" s="196"/>
      <c r="F21" s="190"/>
      <c r="G21" s="197">
        <f>G18+G19+G20</f>
        <v>111955.89</v>
      </c>
      <c r="H21" s="198"/>
      <c r="J21" s="237"/>
      <c r="K21" s="237"/>
      <c r="L21" s="237"/>
      <c r="M21" s="237"/>
    </row>
    <row r="22" ht="16.5" spans="2:13">
      <c r="B22" s="187">
        <v>5</v>
      </c>
      <c r="C22" s="188" t="s">
        <v>100</v>
      </c>
      <c r="D22" s="196" t="s">
        <v>101</v>
      </c>
      <c r="E22" s="196"/>
      <c r="F22" s="190"/>
      <c r="G22" s="197"/>
      <c r="H22" s="192"/>
      <c r="J22" s="237"/>
      <c r="K22" s="237"/>
      <c r="L22" s="237"/>
      <c r="M22" s="237"/>
    </row>
    <row r="23" ht="18" customHeight="1" spans="2:13">
      <c r="B23" s="187">
        <v>6</v>
      </c>
      <c r="C23" s="199" t="s">
        <v>102</v>
      </c>
      <c r="D23" s="200">
        <v>0.056</v>
      </c>
      <c r="E23" s="200"/>
      <c r="F23" s="200"/>
      <c r="G23" s="197"/>
      <c r="H23" s="192"/>
      <c r="J23" s="237"/>
      <c r="K23" s="237"/>
      <c r="L23" s="237"/>
      <c r="M23" s="237"/>
    </row>
    <row r="24" ht="16.5" spans="2:8">
      <c r="B24" s="201" t="s">
        <v>103</v>
      </c>
      <c r="C24" s="202"/>
      <c r="D24" s="202"/>
      <c r="E24" s="202"/>
      <c r="F24" s="202"/>
      <c r="G24" s="203">
        <f>G21+G22</f>
        <v>111955.89</v>
      </c>
      <c r="H24" s="204"/>
    </row>
    <row r="25" ht="16" customHeight="1" spans="2:8">
      <c r="B25" s="205" t="s">
        <v>104</v>
      </c>
      <c r="C25" s="206"/>
      <c r="D25" s="206"/>
      <c r="E25" s="206"/>
      <c r="F25" s="206"/>
      <c r="G25" s="207">
        <f>G24</f>
        <v>111955.89</v>
      </c>
      <c r="H25" s="208"/>
    </row>
    <row r="26" ht="14.25"/>
  </sheetData>
  <mergeCells count="32">
    <mergeCell ref="A1:N1"/>
    <mergeCell ref="B4:F4"/>
    <mergeCell ref="B7:H7"/>
    <mergeCell ref="I7:J7"/>
    <mergeCell ref="K7:M7"/>
    <mergeCell ref="B8:D8"/>
    <mergeCell ref="E8:H8"/>
    <mergeCell ref="K8:M8"/>
    <mergeCell ref="B9:D9"/>
    <mergeCell ref="E9:H9"/>
    <mergeCell ref="K9:M9"/>
    <mergeCell ref="B10:C10"/>
    <mergeCell ref="E10:G10"/>
    <mergeCell ref="K10:M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1 C21:E21 F19:F22">
    <cfRule type="cellIs" dxfId="2" priority="1" stopIfTrue="1" operator="equal">
      <formula>"信用卡"</formula>
    </cfRule>
    <cfRule type="cellIs" dxfId="3" priority="2" stopIfTrue="1" operator="equal">
      <formula>"現金"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N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16384" width="9" style="15"/>
  </cols>
  <sheetData>
    <row r="1" s="10" customFormat="1" ht="29.25" customHeight="1" spans="1:38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</row>
    <row r="2" s="11" customFormat="1" ht="20.15" customHeight="1" spans="1:38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</row>
    <row r="3" s="11" customFormat="1" ht="27" customHeight="1" spans="1:38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</row>
    <row r="4" s="12" customFormat="1" ht="18" customHeight="1" spans="1:40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VLOOKUP(C4,[1]Sheet1!$B$2:$D$16,3,0)</f>
        <v>319.46</v>
      </c>
      <c r="N4" s="71">
        <f>VLOOKUP(C4,[1]Sheet1!$B$2:$F$16,5,0)</f>
        <v>79.86</v>
      </c>
      <c r="O4" s="71">
        <f>VLOOKUP(C4,[1]Sheet1!$B$1:$E$16,4,0)</f>
        <v>11.98</v>
      </c>
      <c r="P4" s="71">
        <f>VLOOKUP(C4,[1]Sheet1!$B$2:$H$16,7,0)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L4+IFERROR(VLOOKUP($E:$E,'（居民）工资表-6月'!$E:$S,15,0),0)</f>
        <v>48000</v>
      </c>
      <c r="T4" s="91">
        <f>5000+IFERROR(VLOOKUP($E:$E,'（居民）工资表-6月'!$E:$T,16,0),0)</f>
        <v>30000</v>
      </c>
      <c r="U4" s="91">
        <f>Q4+IFERROR(VLOOKUP($E:$E,'（居民）工资表-6月'!$E:$U,17,0),0)</f>
        <v>3629.19</v>
      </c>
      <c r="V4" s="70">
        <v>7000</v>
      </c>
      <c r="W4" s="70"/>
      <c r="X4" s="70">
        <v>7000</v>
      </c>
      <c r="Y4" s="70"/>
      <c r="Z4" s="70">
        <v>2800</v>
      </c>
      <c r="AA4" s="70"/>
      <c r="AB4" s="90">
        <f>ROUND(SUM(V4:AA4),2)</f>
        <v>16800</v>
      </c>
      <c r="AC4" s="90">
        <f>R4+IFERROR(VLOOKUP($E:$E,'（居民）工资表-6月'!$E:$AC,25,0),0)</f>
        <v>0</v>
      </c>
      <c r="AD4" s="95">
        <f>ROUND(S4-T4-U4-AB4-AC4,2)</f>
        <v>-2429.19</v>
      </c>
      <c r="AE4" s="96">
        <f>ROUND(MAX((AD4)*{0.03;0.1;0.2;0.25;0.3;0.35;0.45}-{0;2520;16920;31920;52920;85920;181920},0),2)</f>
        <v>0</v>
      </c>
      <c r="AF4" s="97">
        <f>IFERROR(VLOOKUP(E:E,'（居民）工资表-6月'!E:AF,28,0)+VLOOKUP(E:E,'（居民）工资表-6月'!E:AG,29,0),0)</f>
        <v>358.79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2" t="s">
        <v>147</v>
      </c>
      <c r="AN4" s="12" t="s">
        <v>51</v>
      </c>
    </row>
    <row r="5" s="12" customFormat="1" ht="18" customHeight="1" spans="1:40">
      <c r="A5" s="36">
        <v>2</v>
      </c>
      <c r="B5" s="37" t="s">
        <v>144</v>
      </c>
      <c r="C5" s="37" t="s">
        <v>148</v>
      </c>
      <c r="D5" s="37" t="s">
        <v>145</v>
      </c>
      <c r="E5" s="328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VLOOKUP(C5,[1]Sheet1!$B$2:$D$16,3,0)</f>
        <v>422.72</v>
      </c>
      <c r="N5" s="71">
        <f>VLOOKUP(C5,[1]Sheet1!$B$2:$F$16,5,0)</f>
        <v>119.92</v>
      </c>
      <c r="O5" s="71">
        <f>VLOOKUP(C5,[1]Sheet1!$B$1:$E$16,4,0)</f>
        <v>4.6</v>
      </c>
      <c r="P5" s="71">
        <f>VLOOKUP(C5,[1]Sheet1!$B$2:$H$16,7,0)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L5+IFERROR(VLOOKUP($E:$E,'（居民）工资表-6月'!$E:$S,15,0),0)</f>
        <v>36380</v>
      </c>
      <c r="T5" s="91">
        <f>5000+IFERROR(VLOOKUP($E:$E,'（居民）工资表-6月'!$E:$T,16,0),0)</f>
        <v>30000</v>
      </c>
      <c r="U5" s="91">
        <f>Q5+IFERROR(VLOOKUP($E:$E,'（居民）工资表-6月'!$E:$U,17,0),0)</f>
        <v>4186.24</v>
      </c>
      <c r="V5" s="70"/>
      <c r="W5" s="70"/>
      <c r="X5" s="70">
        <v>7000</v>
      </c>
      <c r="Y5" s="70"/>
      <c r="Z5" s="70"/>
      <c r="AA5" s="70"/>
      <c r="AB5" s="90">
        <f>ROUND(SUM(V5:AA5),2)</f>
        <v>7000</v>
      </c>
      <c r="AC5" s="90">
        <f>R5+IFERROR(VLOOKUP($E:$E,'（居民）工资表-6月'!$E:$AC,25,0),0)</f>
        <v>0</v>
      </c>
      <c r="AD5" s="95">
        <f>ROUND(S5-T5-U5-AB5-AC5,2)</f>
        <v>-4806.24</v>
      </c>
      <c r="AE5" s="96">
        <f>ROUND(MAX((AD5)*{0.03;0.1;0.2;0.25;0.3;0.35;0.45}-{0;2520;16920;31920;52920;85920;181920},0),2)</f>
        <v>0</v>
      </c>
      <c r="AF5" s="97">
        <f>IFERROR(VLOOKUP(E:E,'（居民）工资表-6月'!E:AF,28,0)+VLOOKUP(E:E,'（居民）工资表-6月'!E:AG,29,0),0)</f>
        <v>52.68</v>
      </c>
      <c r="AG5" s="97">
        <f>IF((AE5-AF5)&lt;0,0,AE5-AF5)</f>
        <v>0</v>
      </c>
      <c r="AH5" s="107">
        <f>ROUND(IF((L5-Q5-AG5)&lt;0,0,(L5-Q5-AG5)),2)</f>
        <v>5437.76</v>
      </c>
      <c r="AI5" s="108"/>
      <c r="AJ5" s="107">
        <f>AH5+AI5</f>
        <v>5437.76</v>
      </c>
      <c r="AK5" s="109"/>
      <c r="AL5" s="107">
        <f>AJ5+AG5+AK5</f>
        <v>5437.76</v>
      </c>
      <c r="AM5" s="12" t="s">
        <v>50</v>
      </c>
      <c r="AN5" s="12" t="s">
        <v>51</v>
      </c>
    </row>
    <row r="6" s="12" customFormat="1" ht="18" customHeight="1" spans="1:40">
      <c r="A6" s="36">
        <v>3</v>
      </c>
      <c r="B6" s="37" t="s">
        <v>144</v>
      </c>
      <c r="C6" s="37" t="s">
        <v>151</v>
      </c>
      <c r="D6" s="37" t="s">
        <v>145</v>
      </c>
      <c r="E6" s="328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f>VLOOKUP(C6,[1]Sheet1!$B$2:$D$16,3,0)</f>
        <v>584.8</v>
      </c>
      <c r="N6" s="71">
        <f>VLOOKUP(C6,[1]Sheet1!$B$2:$F$16,5,0)</f>
        <v>146.2</v>
      </c>
      <c r="O6" s="71">
        <f>VLOOKUP(C6,[1]Sheet1!$B$1:$E$16,4,0)</f>
        <v>36.55</v>
      </c>
      <c r="P6" s="71">
        <f>VLOOKUP(C6,[1]Sheet1!$B$2:$H$16,7,0)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L6+IFERROR(VLOOKUP($E:$E,'（居民）工资表-6月'!$E:$S,15,0),0)</f>
        <v>180360</v>
      </c>
      <c r="T6" s="91">
        <f>5000+IFERROR(VLOOKUP($E:$E,'（居民）工资表-6月'!$E:$T,16,0),0)</f>
        <v>30000</v>
      </c>
      <c r="U6" s="91">
        <f>Q6+IFERROR(VLOOKUP($E:$E,'（居民）工资表-6月'!$E:$U,17,0),0)</f>
        <v>5735.61</v>
      </c>
      <c r="V6" s="70"/>
      <c r="W6" s="70"/>
      <c r="X6" s="70"/>
      <c r="Y6" s="70">
        <v>10500</v>
      </c>
      <c r="Z6" s="70"/>
      <c r="AA6" s="70"/>
      <c r="AB6" s="90">
        <f>ROUND(SUM(V6:AA6),2)</f>
        <v>10500</v>
      </c>
      <c r="AC6" s="90">
        <f>R6+IFERROR(VLOOKUP($E:$E,'（居民）工资表-6月'!$E:$AC,25,0),0)</f>
        <v>0</v>
      </c>
      <c r="AD6" s="95">
        <f>ROUND(S6-T6-U6-AB6-AC6,2)</f>
        <v>134124.39</v>
      </c>
      <c r="AE6" s="96">
        <f>ROUND(MAX((AD6)*{0.03;0.1;0.2;0.25;0.3;0.35;0.45}-{0;2520;16920;31920;52920;85920;181920},0),2)</f>
        <v>10892.44</v>
      </c>
      <c r="AF6" s="97">
        <f>IFERROR(VLOOKUP(E:E,'（居民）工资表-6月'!E:AF,28,0)+VLOOKUP(E:E,'（居民）工资表-6月'!E:AG,29,0),0)</f>
        <v>9531.29</v>
      </c>
      <c r="AG6" s="97">
        <f>IF((AE6-AF6)&lt;0,0,AE6-AF6)</f>
        <v>1361.15</v>
      </c>
      <c r="AH6" s="107">
        <f>ROUND(IF((L6-Q6-AG6)&lt;0,0,(L6-Q6-AG6)),2)</f>
        <v>27750.3</v>
      </c>
      <c r="AI6" s="108"/>
      <c r="AJ6" s="107">
        <f>AH6+AI6</f>
        <v>27750.3</v>
      </c>
      <c r="AK6" s="109"/>
      <c r="AL6" s="107">
        <f>AJ6+AG6+AK6</f>
        <v>29111.45</v>
      </c>
      <c r="AM6" s="12" t="s">
        <v>154</v>
      </c>
      <c r="AN6" s="12" t="s">
        <v>155</v>
      </c>
    </row>
    <row r="7" s="12" customFormat="1" ht="18" customHeight="1" spans="1:40">
      <c r="A7" s="36">
        <v>4</v>
      </c>
      <c r="B7" s="37" t="s">
        <v>144</v>
      </c>
      <c r="C7" s="37" t="s">
        <v>156</v>
      </c>
      <c r="D7" s="37" t="s">
        <v>145</v>
      </c>
      <c r="E7" s="328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11000</v>
      </c>
      <c r="M7" s="71">
        <f>VLOOKUP(C7,[1]Sheet1!$B$2:$D$16,3,0)</f>
        <v>321.52</v>
      </c>
      <c r="N7" s="71">
        <f>VLOOKUP(C7,[1]Sheet1!$B$2:$F$16,5,0)</f>
        <v>89.09</v>
      </c>
      <c r="O7" s="71">
        <f>VLOOKUP(C7,[1]Sheet1!$B$1:$E$16,4,0)</f>
        <v>20.1</v>
      </c>
      <c r="P7" s="71">
        <f>VLOOKUP(C7,[1]Sheet1!$B$2:$H$16,7,0)</f>
        <v>97</v>
      </c>
      <c r="Q7" s="89">
        <f t="shared" ref="Q7:Q19" si="0">ROUND(SUM(M7:P7),2)</f>
        <v>527.71</v>
      </c>
      <c r="R7" s="70">
        <v>0</v>
      </c>
      <c r="S7" s="90">
        <f>L7+IFERROR(VLOOKUP($E:$E,'（居民）工资表-6月'!$E:$S,15,0),0)</f>
        <v>56000</v>
      </c>
      <c r="T7" s="91">
        <f>5000+IFERROR(VLOOKUP($E:$E,'（居民）工资表-6月'!$E:$T,16,0),0)</f>
        <v>30000</v>
      </c>
      <c r="U7" s="91">
        <f>Q7+IFERROR(VLOOKUP($E:$E,'（居民）工资表-6月'!$E:$U,17,0),0)</f>
        <v>3233.13</v>
      </c>
      <c r="V7" s="70"/>
      <c r="W7" s="70"/>
      <c r="X7" s="70">
        <v>5000</v>
      </c>
      <c r="Y7" s="70"/>
      <c r="Z7" s="70"/>
      <c r="AA7" s="70"/>
      <c r="AB7" s="90">
        <f t="shared" ref="AB7:AB19" si="1">ROUND(SUM(V7:AA7),2)</f>
        <v>5000</v>
      </c>
      <c r="AC7" s="90">
        <f>R7+IFERROR(VLOOKUP($E:$E,'（居民）工资表-6月'!$E:$AC,25,0),0)</f>
        <v>0</v>
      </c>
      <c r="AD7" s="95">
        <f t="shared" ref="AD7:AD19" si="2">ROUND(S7-T7-U7-AB7-AC7,2)</f>
        <v>17766.87</v>
      </c>
      <c r="AE7" s="96">
        <f>ROUND(MAX((AD7)*{0.03;0.1;0.2;0.25;0.3;0.35;0.45}-{0;2520;16920;31920;52920;85920;181920},0),2)</f>
        <v>533.01</v>
      </c>
      <c r="AF7" s="97">
        <f>IFERROR(VLOOKUP(E:E,'（居民）工资表-6月'!E:AF,28,0)+VLOOKUP(E:E,'（居民）工资表-6月'!E:AG,29,0),0)</f>
        <v>518.84</v>
      </c>
      <c r="AG7" s="97">
        <f t="shared" ref="AG7:AG19" si="3">IF((AE7-AF7)&lt;0,0,AE7-AF7)</f>
        <v>14.17</v>
      </c>
      <c r="AH7" s="107">
        <f t="shared" ref="AH7:AH19" si="4">ROUND(IF((L7-Q7-AG7)&lt;0,0,(L7-Q7-AG7)),2)</f>
        <v>10458.12</v>
      </c>
      <c r="AI7" s="108"/>
      <c r="AJ7" s="107">
        <f t="shared" ref="AJ7:AJ19" si="5">AH7+AI7</f>
        <v>10458.12</v>
      </c>
      <c r="AK7" s="109"/>
      <c r="AL7" s="107">
        <f t="shared" ref="AL7:AL19" si="6">AJ7+AG7+AK7</f>
        <v>10472.29</v>
      </c>
      <c r="AM7" s="12" t="s">
        <v>159</v>
      </c>
      <c r="AN7" s="12" t="s">
        <v>51</v>
      </c>
    </row>
    <row r="8" s="12" customFormat="1" ht="18" customHeight="1" spans="1:40">
      <c r="A8" s="36">
        <v>5</v>
      </c>
      <c r="B8" s="37" t="s">
        <v>144</v>
      </c>
      <c r="C8" s="37" t="s">
        <v>160</v>
      </c>
      <c r="D8" s="37" t="s">
        <v>145</v>
      </c>
      <c r="E8" s="328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12500</v>
      </c>
      <c r="M8" s="71">
        <f>VLOOKUP(C8,[1]Sheet1!$B$2:$D$16,3,0)</f>
        <v>321.52</v>
      </c>
      <c r="N8" s="71">
        <f>VLOOKUP(C8,[1]Sheet1!$B$2:$F$16,5,0)</f>
        <v>86.38</v>
      </c>
      <c r="O8" s="71">
        <f>VLOOKUP(C8,[1]Sheet1!$B$1:$E$16,4,0)</f>
        <v>20.1</v>
      </c>
      <c r="P8" s="71">
        <f>VLOOKUP(C8,[1]Sheet1!$B$2:$H$16,7,0)</f>
        <v>344</v>
      </c>
      <c r="Q8" s="89">
        <f t="shared" si="0"/>
        <v>772</v>
      </c>
      <c r="R8" s="70">
        <v>0</v>
      </c>
      <c r="S8" s="90">
        <f>L8+IFERROR(VLOOKUP($E:$E,'（居民）工资表-6月'!$E:$S,15,0),0)</f>
        <v>65000</v>
      </c>
      <c r="T8" s="91">
        <f>5000+IFERROR(VLOOKUP($E:$E,'（居民）工资表-6月'!$E:$T,16,0),0)</f>
        <v>30000</v>
      </c>
      <c r="U8" s="91">
        <f>Q8+IFERROR(VLOOKUP($E:$E,'（居民）工资表-6月'!$E:$U,17,0),0)</f>
        <v>4697.52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R8+IFERROR(VLOOKUP($E:$E,'（居民）工资表-6月'!$E:$AC,25,0),0)</f>
        <v>0</v>
      </c>
      <c r="AD8" s="95">
        <f t="shared" si="2"/>
        <v>30302.48</v>
      </c>
      <c r="AE8" s="96">
        <f>ROUND(MAX((AD8)*{0.03;0.1;0.2;0.25;0.3;0.35;0.45}-{0;2520;16920;31920;52920;85920;181920},0),2)</f>
        <v>909.07</v>
      </c>
      <c r="AF8" s="97">
        <f>IFERROR(VLOOKUP(E:E,'（居民）工资表-6月'!E:AF,28,0)+VLOOKUP(E:E,'（居民）工资表-6月'!E:AG,29,0),0)</f>
        <v>707.23</v>
      </c>
      <c r="AG8" s="97">
        <f t="shared" si="3"/>
        <v>201.84</v>
      </c>
      <c r="AH8" s="107">
        <f t="shared" si="4"/>
        <v>11526.16</v>
      </c>
      <c r="AI8" s="108"/>
      <c r="AJ8" s="107">
        <f t="shared" si="5"/>
        <v>11526.16</v>
      </c>
      <c r="AK8" s="109"/>
      <c r="AL8" s="107">
        <f t="shared" si="6"/>
        <v>11728</v>
      </c>
      <c r="AM8" s="12" t="s">
        <v>159</v>
      </c>
      <c r="AN8" s="12" t="s">
        <v>51</v>
      </c>
    </row>
    <row r="9" s="12" customFormat="1" ht="18" customHeight="1" spans="1:40">
      <c r="A9" s="36">
        <v>6</v>
      </c>
      <c r="B9" s="37" t="s">
        <v>144</v>
      </c>
      <c r="C9" s="37" t="s">
        <v>162</v>
      </c>
      <c r="D9" s="37" t="s">
        <v>145</v>
      </c>
      <c r="E9" s="328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VLOOKUP(C9,[1]Sheet1!$B$2:$D$16,3,0)</f>
        <v>324.24</v>
      </c>
      <c r="N9" s="71">
        <f>VLOOKUP(C9,[1]Sheet1!$B$2:$F$16,5,0)</f>
        <v>90.4</v>
      </c>
      <c r="O9" s="71">
        <f>VLOOKUP(C9,[1]Sheet1!$B$1:$E$16,4,0)</f>
        <v>12.16</v>
      </c>
      <c r="P9" s="71">
        <f>VLOOKUP(C9,[1]Sheet1!$B$2:$H$16,7,0)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L9+IFERROR(VLOOKUP($E:$E,'（居民）工资表-6月'!$E:$S,15,0),0)</f>
        <v>39000</v>
      </c>
      <c r="T9" s="91">
        <f>5000+IFERROR(VLOOKUP($E:$E,'（居民）工资表-6月'!$E:$T,16,0),0)</f>
        <v>30000</v>
      </c>
      <c r="U9" s="91">
        <f>Q9+IFERROR(VLOOKUP($E:$E,'（居民）工资表-6月'!$E:$U,17,0),0)</f>
        <v>3286.35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R9+IFERROR(VLOOKUP($E:$E,'（居民）工资表-6月'!$E:$AC,25,0),0)</f>
        <v>0</v>
      </c>
      <c r="AD9" s="95">
        <f t="shared" si="2"/>
        <v>5713.65</v>
      </c>
      <c r="AE9" s="96">
        <f>ROUND(MAX((AD9)*{0.03;0.1;0.2;0.25;0.3;0.35;0.45}-{0;2520;16920;31920;52920;85920;181920},0),2)</f>
        <v>171.41</v>
      </c>
      <c r="AF9" s="97">
        <f>IFERROR(VLOOKUP(E:E,'（居民）工资表-6月'!E:AF,28,0)+VLOOKUP(E:E,'（居民）工资表-6月'!E:AG,29,0),0)</f>
        <v>142.21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2" t="s">
        <v>164</v>
      </c>
      <c r="AN9" s="12" t="s">
        <v>51</v>
      </c>
    </row>
    <row r="10" s="12" customFormat="1" ht="18" customHeight="1" spans="1:40">
      <c r="A10" s="36">
        <v>7</v>
      </c>
      <c r="B10" s="37" t="s">
        <v>144</v>
      </c>
      <c r="C10" s="37" t="s">
        <v>165</v>
      </c>
      <c r="D10" s="37" t="s">
        <v>145</v>
      </c>
      <c r="E10" s="328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4525.84</v>
      </c>
      <c r="M10" s="71">
        <f>VLOOKUP(C10,[1]Sheet1!$B$2:$D$16,3,0)</f>
        <v>380.08</v>
      </c>
      <c r="N10" s="71">
        <f>VLOOKUP(C10,[1]Sheet1!$B$2:$F$16,5,0)</f>
        <v>117.02</v>
      </c>
      <c r="O10" s="71">
        <f>VLOOKUP(C10,[1]Sheet1!$B$1:$E$16,4,0)</f>
        <v>23.76</v>
      </c>
      <c r="P10" s="71">
        <f>VLOOKUP(C10,[1]Sheet1!$B$2:$H$16,7,0)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L10+IFERROR(VLOOKUP($E:$E,'（居民）工资表-6月'!$E:$S,15,0),0)</f>
        <v>26846.23</v>
      </c>
      <c r="T10" s="91">
        <f>5000+IFERROR(VLOOKUP($E:$E,'（居民）工资表-6月'!$E:$T,16,0),0)</f>
        <v>30000</v>
      </c>
      <c r="U10" s="91">
        <f>Q10+IFERROR(VLOOKUP($E:$E,'（居民）工资表-6月'!$E:$U,17,0),0)</f>
        <v>3882.69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R10+IFERROR(VLOOKUP($E:$E,'（居民）工资表-6月'!$E:$AC,25,0),0)</f>
        <v>0</v>
      </c>
      <c r="AD10" s="95">
        <f t="shared" si="2"/>
        <v>-7036.46</v>
      </c>
      <c r="AE10" s="96">
        <f>ROUND(MAX((AD10)*{0.03;0.1;0.2;0.25;0.3;0.35;0.45}-{0;2520;16920;31920;52920;85920;181920},0),2)</f>
        <v>0</v>
      </c>
      <c r="AF10" s="97">
        <f>IFERROR(VLOOKUP(E:E,'（居民）工资表-6月'!E:AF,28,0)+VLOOKUP(E:E,'（居民）工资表-6月'!E:AG,29,0),0)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2" t="s">
        <v>168</v>
      </c>
      <c r="AN10" s="12" t="s">
        <v>169</v>
      </c>
    </row>
    <row r="11" s="12" customFormat="1" ht="18" customHeight="1" spans="1:40">
      <c r="A11" s="36">
        <v>8</v>
      </c>
      <c r="B11" s="37" t="s">
        <v>144</v>
      </c>
      <c r="C11" s="37" t="s">
        <v>170</v>
      </c>
      <c r="D11" s="37" t="s">
        <v>145</v>
      </c>
      <c r="E11" s="328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9500</v>
      </c>
      <c r="M11" s="71">
        <f>VLOOKUP(C11,[1]Sheet1!$B$2:$D$16,3,0)</f>
        <v>321.52</v>
      </c>
      <c r="N11" s="71">
        <f>VLOOKUP(C11,[1]Sheet1!$B$2:$F$16,5,0)</f>
        <v>120.38</v>
      </c>
      <c r="O11" s="71">
        <f>VLOOKUP(C11,[1]Sheet1!$B$1:$E$16,4,0)</f>
        <v>20.1</v>
      </c>
      <c r="P11" s="71">
        <f>VLOOKUP(C11,[1]Sheet1!$B$2:$H$16,7,0)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L11+IFERROR(VLOOKUP($E:$E,'（居民）工资表-6月'!$E:$S,15,0),0)</f>
        <v>53500</v>
      </c>
      <c r="T11" s="91">
        <f>5000+IFERROR(VLOOKUP($E:$E,'（居民）工资表-6月'!$E:$T,16,0),0)</f>
        <v>30000</v>
      </c>
      <c r="U11" s="91">
        <f>Q11+IFERROR(VLOOKUP($E:$E,'（居民）工资表-6月'!$E:$U,17,0),0)</f>
        <v>3419.52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R11+IFERROR(VLOOKUP($E:$E,'（居民）工资表-6月'!$E:$AC,25,0),0)</f>
        <v>0</v>
      </c>
      <c r="AD11" s="95">
        <f t="shared" si="2"/>
        <v>20080.48</v>
      </c>
      <c r="AE11" s="96">
        <f>ROUND(MAX((AD11)*{0.03;0.1;0.2;0.25;0.3;0.35;0.45}-{0;2520;16920;31920;52920;85920;181920},0),2)</f>
        <v>602.41</v>
      </c>
      <c r="AF11" s="97">
        <f>IFERROR(VLOOKUP(E:E,'（居民）工资表-6月'!E:AF,28,0)+VLOOKUP(E:E,'（居民）工资表-6月'!E:AG,29,0),0)</f>
        <v>484.18</v>
      </c>
      <c r="AG11" s="97">
        <f t="shared" si="3"/>
        <v>118.23</v>
      </c>
      <c r="AH11" s="107">
        <f t="shared" si="4"/>
        <v>8822.77</v>
      </c>
      <c r="AI11" s="108"/>
      <c r="AJ11" s="107">
        <f t="shared" si="5"/>
        <v>8822.77</v>
      </c>
      <c r="AK11" s="109"/>
      <c r="AL11" s="107">
        <f t="shared" si="6"/>
        <v>8941</v>
      </c>
      <c r="AM11" s="12" t="s">
        <v>172</v>
      </c>
      <c r="AN11" s="12" t="s">
        <v>173</v>
      </c>
    </row>
    <row r="12" s="12" customFormat="1" ht="18" customHeight="1" spans="1:40">
      <c r="A12" s="36">
        <v>9</v>
      </c>
      <c r="B12" s="37" t="s">
        <v>144</v>
      </c>
      <c r="C12" s="37" t="s">
        <v>174</v>
      </c>
      <c r="D12" s="37" t="s">
        <v>145</v>
      </c>
      <c r="E12" s="328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8000</v>
      </c>
      <c r="M12" s="71">
        <f>VLOOKUP(C12,[1]Sheet1!$B$2:$D$16,3,0)</f>
        <v>321.52</v>
      </c>
      <c r="N12" s="71">
        <f>VLOOKUP(C12,[1]Sheet1!$B$2:$F$16,5,0)</f>
        <v>86.38</v>
      </c>
      <c r="O12" s="71">
        <f>VLOOKUP(C12,[1]Sheet1!$B$1:$E$16,4,0)</f>
        <v>20.1</v>
      </c>
      <c r="P12" s="71">
        <f>VLOOKUP(C12,[1]Sheet1!$B$2:$H$16,7,0)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L12+IFERROR(VLOOKUP($E:$E,'（居民）工资表-6月'!$E:$S,15,0),0)</f>
        <v>44500</v>
      </c>
      <c r="T12" s="91">
        <f>5000+IFERROR(VLOOKUP($E:$E,'（居民）工资表-6月'!$E:$T,16,0),0)</f>
        <v>30000</v>
      </c>
      <c r="U12" s="91">
        <f>Q12+IFERROR(VLOOKUP($E:$E,'（居民）工资表-6月'!$E:$U,17,0),0)</f>
        <v>4697.52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R12+IFERROR(VLOOKUP($E:$E,'（居民）工资表-6月'!$E:$AC,25,0),0)</f>
        <v>0</v>
      </c>
      <c r="AD12" s="95">
        <f t="shared" si="2"/>
        <v>9802.48</v>
      </c>
      <c r="AE12" s="96">
        <f>ROUND(MAX((AD12)*{0.03;0.1;0.2;0.25;0.3;0.35;0.45}-{0;2520;16920;31920;52920;85920;181920},0),2)</f>
        <v>294.07</v>
      </c>
      <c r="AF12" s="97">
        <f>IFERROR(VLOOKUP(E:E,'（居民）工资表-6月'!E:AF,28,0)+VLOOKUP(E:E,'（居民）工资表-6月'!E:AG,29,0),0)</f>
        <v>227.23</v>
      </c>
      <c r="AG12" s="97">
        <f t="shared" si="3"/>
        <v>66.84</v>
      </c>
      <c r="AH12" s="107">
        <f t="shared" si="4"/>
        <v>7161.16</v>
      </c>
      <c r="AI12" s="108"/>
      <c r="AJ12" s="107">
        <f t="shared" si="5"/>
        <v>7161.16</v>
      </c>
      <c r="AK12" s="109"/>
      <c r="AL12" s="107">
        <f t="shared" si="6"/>
        <v>7228</v>
      </c>
      <c r="AM12" s="12" t="s">
        <v>159</v>
      </c>
      <c r="AN12" s="12" t="s">
        <v>51</v>
      </c>
    </row>
    <row r="13" s="12" customFormat="1" ht="18" customHeight="1" spans="1:40">
      <c r="A13" s="36">
        <v>10</v>
      </c>
      <c r="B13" s="37" t="s">
        <v>144</v>
      </c>
      <c r="C13" s="37" t="s">
        <v>176</v>
      </c>
      <c r="D13" s="37" t="s">
        <v>145</v>
      </c>
      <c r="E13" s="328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9000</v>
      </c>
      <c r="M13" s="71">
        <f>VLOOKUP(C13,[1]Sheet1!$B$2:$D$16,3,0)</f>
        <v>321.52</v>
      </c>
      <c r="N13" s="71">
        <f>VLOOKUP(C13,[1]Sheet1!$B$2:$F$16,5,0)</f>
        <v>86.38</v>
      </c>
      <c r="O13" s="71">
        <f>VLOOKUP(C13,[1]Sheet1!$B$1:$E$16,4,0)</f>
        <v>20.1</v>
      </c>
      <c r="P13" s="71">
        <f>VLOOKUP(C13,[1]Sheet1!$B$2:$H$16,7,0)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L13+IFERROR(VLOOKUP($E:$E,'（居民）工资表-6月'!$E:$S,15,0),0)</f>
        <v>47000</v>
      </c>
      <c r="T13" s="91">
        <f>5000+IFERROR(VLOOKUP($E:$E,'（居民）工资表-6月'!$E:$T,16,0),0)</f>
        <v>30000</v>
      </c>
      <c r="U13" s="91">
        <f>Q13+IFERROR(VLOOKUP($E:$E,'（居民）工资表-6月'!$E:$U,17,0),0)</f>
        <v>4697.52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R13+IFERROR(VLOOKUP($E:$E,'（居民）工资表-6月'!$E:$AC,25,0),0)</f>
        <v>0</v>
      </c>
      <c r="AD13" s="95">
        <f t="shared" si="2"/>
        <v>12302.48</v>
      </c>
      <c r="AE13" s="96">
        <f>ROUND(MAX((AD13)*{0.03;0.1;0.2;0.25;0.3;0.35;0.45}-{0;2520;16920;31920;52920;85920;181920},0),2)</f>
        <v>369.07</v>
      </c>
      <c r="AF13" s="97">
        <f>IFERROR(VLOOKUP(E:E,'（居民）工资表-6月'!E:AF,28,0)+VLOOKUP(E:E,'（居民）工资表-6月'!E:AG,29,0),0)</f>
        <v>272.23</v>
      </c>
      <c r="AG13" s="97">
        <f t="shared" si="3"/>
        <v>96.84</v>
      </c>
      <c r="AH13" s="107">
        <f t="shared" si="4"/>
        <v>8131.16</v>
      </c>
      <c r="AI13" s="108"/>
      <c r="AJ13" s="107">
        <f t="shared" si="5"/>
        <v>8131.16</v>
      </c>
      <c r="AK13" s="109"/>
      <c r="AL13" s="107">
        <f t="shared" si="6"/>
        <v>8228</v>
      </c>
      <c r="AM13" s="12" t="s">
        <v>159</v>
      </c>
      <c r="AN13" s="12" t="s">
        <v>51</v>
      </c>
    </row>
    <row r="14" s="12" customFormat="1" ht="18" customHeight="1" spans="1:40">
      <c r="A14" s="36">
        <v>11</v>
      </c>
      <c r="B14" s="37" t="s">
        <v>144</v>
      </c>
      <c r="C14" s="37" t="s">
        <v>178</v>
      </c>
      <c r="D14" s="37" t="s">
        <v>145</v>
      </c>
      <c r="E14" s="328" t="s">
        <v>179</v>
      </c>
      <c r="F14" s="38" t="s">
        <v>150</v>
      </c>
      <c r="G14" s="39" t="s">
        <v>180</v>
      </c>
      <c r="H14" s="40"/>
      <c r="I14" s="40"/>
      <c r="J14" s="69"/>
      <c r="K14" s="40"/>
      <c r="L14" s="70">
        <v>7600</v>
      </c>
      <c r="M14" s="71">
        <f>VLOOKUP(C14,[1]Sheet1!$B$2:$D$16,3,0)</f>
        <v>321.52</v>
      </c>
      <c r="N14" s="71">
        <f>VLOOKUP(C14,[1]Sheet1!$B$2:$F$16,5,0)</f>
        <v>120.38</v>
      </c>
      <c r="O14" s="71">
        <f>VLOOKUP(C14,[1]Sheet1!$B$1:$E$16,4,0)</f>
        <v>20.1</v>
      </c>
      <c r="P14" s="71">
        <f>VLOOKUP(C14,[1]Sheet1!$B$2:$H$16,7,0)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L14+IFERROR(VLOOKUP($E:$E,'（居民）工资表-6月'!$E:$S,15,0),0)</f>
        <v>21600</v>
      </c>
      <c r="T14" s="91">
        <f>5000+IFERROR(VLOOKUP($E:$E,'（居民）工资表-6月'!$E:$T,16,0),0)</f>
        <v>15000</v>
      </c>
      <c r="U14" s="91">
        <f>Q14+IFERROR(VLOOKUP($E:$E,'（居民）工资表-6月'!$E:$U,17,0),0)</f>
        <v>1677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R14+IFERROR(VLOOKUP($E:$E,'（居民）工资表-6月'!$E:$AC,25,0),0)</f>
        <v>0</v>
      </c>
      <c r="AD14" s="95">
        <f t="shared" si="2"/>
        <v>4923</v>
      </c>
      <c r="AE14" s="96">
        <f>ROUND(MAX((AD14)*{0.03;0.1;0.2;0.25;0.3;0.35;0.45}-{0;2520;16920;31920;52920;85920;181920},0),2)</f>
        <v>147.69</v>
      </c>
      <c r="AF14" s="97">
        <f>IFERROR(VLOOKUP(E:E,'（居民）工资表-6月'!E:AF,28,0)+VLOOKUP(E:E,'（居民）工资表-6月'!E:AG,29,0),0)</f>
        <v>86.46</v>
      </c>
      <c r="AG14" s="97">
        <f t="shared" si="3"/>
        <v>61.23</v>
      </c>
      <c r="AH14" s="107">
        <f t="shared" si="4"/>
        <v>6979.77</v>
      </c>
      <c r="AI14" s="108"/>
      <c r="AJ14" s="107">
        <f t="shared" si="5"/>
        <v>6979.77</v>
      </c>
      <c r="AK14" s="109"/>
      <c r="AL14" s="107">
        <f t="shared" si="6"/>
        <v>7041</v>
      </c>
      <c r="AM14" s="12" t="s">
        <v>159</v>
      </c>
      <c r="AN14" s="12" t="s">
        <v>51</v>
      </c>
    </row>
    <row r="15" s="12" customFormat="1" ht="18" customHeight="1" spans="1:40">
      <c r="A15" s="36">
        <v>12</v>
      </c>
      <c r="B15" s="37" t="s">
        <v>144</v>
      </c>
      <c r="C15" s="37" t="s">
        <v>181</v>
      </c>
      <c r="D15" s="37" t="s">
        <v>145</v>
      </c>
      <c r="E15" s="328" t="s">
        <v>182</v>
      </c>
      <c r="F15" s="38" t="s">
        <v>150</v>
      </c>
      <c r="G15" s="39">
        <v>15855788591</v>
      </c>
      <c r="H15" s="40"/>
      <c r="I15" s="40"/>
      <c r="J15" s="69"/>
      <c r="K15" s="40"/>
      <c r="L15" s="70">
        <v>6625.64</v>
      </c>
      <c r="M15" s="71">
        <f>VLOOKUP(C15,[1]Sheet1!$B$2:$D$16,3,0)</f>
        <v>321.52</v>
      </c>
      <c r="N15" s="71">
        <f>VLOOKUP(C15,[1]Sheet1!$B$2:$F$16,5,0)</f>
        <v>89.09</v>
      </c>
      <c r="O15" s="71">
        <f>VLOOKUP(C15,[1]Sheet1!$B$1:$E$16,4,0)</f>
        <v>20.1</v>
      </c>
      <c r="P15" s="71">
        <f>VLOOKUP(C15,[1]Sheet1!$B$2:$H$16,7,0)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L15+IFERROR(VLOOKUP($E:$E,'（居民）工资表-6月'!$E:$S,15,0),0)</f>
        <v>18745.64</v>
      </c>
      <c r="T15" s="91">
        <f>5000+IFERROR(VLOOKUP($E:$E,'（居民）工资表-6月'!$E:$T,16,0),0)</f>
        <v>15000</v>
      </c>
      <c r="U15" s="91">
        <f>Q15+IFERROR(VLOOKUP($E:$E,'（居民）工资表-6月'!$E:$U,17,0),0)</f>
        <v>1583.13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R15+IFERROR(VLOOKUP($E:$E,'（居民）工资表-6月'!$E:$AC,25,0),0)</f>
        <v>0</v>
      </c>
      <c r="AD15" s="95">
        <f t="shared" si="2"/>
        <v>2162.51</v>
      </c>
      <c r="AE15" s="96">
        <f>ROUND(MAX((AD15)*{0.03;0.1;0.2;0.25;0.3;0.35;0.45}-{0;2520;16920;31920;52920;85920;181920},0),2)</f>
        <v>64.88</v>
      </c>
      <c r="AF15" s="97">
        <f>IFERROR(VLOOKUP(E:E,'（居民）工资表-6月'!E:AF,28,0)+VLOOKUP(E:E,'（居民）工资表-6月'!E:AG,29,0),0)</f>
        <v>31.94</v>
      </c>
      <c r="AG15" s="97">
        <f t="shared" si="3"/>
        <v>32.94</v>
      </c>
      <c r="AH15" s="107">
        <f t="shared" si="4"/>
        <v>6064.99</v>
      </c>
      <c r="AI15" s="108"/>
      <c r="AJ15" s="107">
        <f t="shared" si="5"/>
        <v>6064.99</v>
      </c>
      <c r="AK15" s="109"/>
      <c r="AL15" s="107">
        <f t="shared" si="6"/>
        <v>6097.93</v>
      </c>
      <c r="AM15" s="12" t="s">
        <v>159</v>
      </c>
      <c r="AN15" s="12" t="s">
        <v>51</v>
      </c>
    </row>
    <row r="16" s="12" customFormat="1" ht="18" customHeight="1" spans="1:40">
      <c r="A16" s="36">
        <v>13</v>
      </c>
      <c r="B16" s="37" t="s">
        <v>144</v>
      </c>
      <c r="C16" s="37" t="s">
        <v>183</v>
      </c>
      <c r="D16" s="37" t="s">
        <v>145</v>
      </c>
      <c r="E16" s="328" t="s">
        <v>184</v>
      </c>
      <c r="F16" s="38" t="s">
        <v>150</v>
      </c>
      <c r="G16" s="39"/>
      <c r="H16" s="40"/>
      <c r="I16" s="40"/>
      <c r="J16" s="69"/>
      <c r="K16" s="40"/>
      <c r="L16" s="70">
        <v>6000</v>
      </c>
      <c r="M16" s="71">
        <f>VLOOKUP(C16,[1]Sheet1!$B$2:$D$16,3,0)</f>
        <v>321.52</v>
      </c>
      <c r="N16" s="71">
        <f>VLOOKUP(C16,[1]Sheet1!$B$2:$F$16,5,0)</f>
        <v>80.38</v>
      </c>
      <c r="O16" s="71">
        <f>VLOOKUP(C16,[1]Sheet1!$B$1:$E$16,4,0)</f>
        <v>20.1</v>
      </c>
      <c r="P16" s="71">
        <f>VLOOKUP(C16,[1]Sheet1!$B$2:$H$16,7,0)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L16+IFERROR(VLOOKUP($E:$E,'（居民）工资表-6月'!$E:$S,15,0),0)</f>
        <v>36000</v>
      </c>
      <c r="T16" s="91">
        <f>5000+IFERROR(VLOOKUP($E:$E,'（居民）工资表-6月'!$E:$T,16,0),0)</f>
        <v>30000</v>
      </c>
      <c r="U16" s="91">
        <f>Q16+IFERROR(VLOOKUP($E:$E,'（居民）工资表-6月'!$E:$U,17,0),0)</f>
        <v>3215.52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R16+IFERROR(VLOOKUP($E:$E,'（居民）工资表-6月'!$E:$AC,25,0),0)</f>
        <v>0</v>
      </c>
      <c r="AD16" s="95">
        <f t="shared" si="2"/>
        <v>2784.48</v>
      </c>
      <c r="AE16" s="96">
        <f>ROUND(MAX((AD16)*{0.03;0.1;0.2;0.25;0.3;0.35;0.45}-{0;2520;16920;31920;52920;85920;181920},0),2)</f>
        <v>83.53</v>
      </c>
      <c r="AF16" s="97">
        <f>IFERROR(VLOOKUP(E:E,'（居民）工资表-6月'!E:AF,28,0)+VLOOKUP(E:E,'（居民）工资表-6月'!E:AG,29,0),0)</f>
        <v>69.28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2" t="s">
        <v>159</v>
      </c>
      <c r="AN16" s="12" t="s">
        <v>51</v>
      </c>
    </row>
    <row r="17" s="12" customFormat="1" ht="18" customHeight="1" spans="1:40">
      <c r="A17" s="36">
        <v>14</v>
      </c>
      <c r="B17" s="37" t="s">
        <v>144</v>
      </c>
      <c r="C17" s="37" t="s">
        <v>185</v>
      </c>
      <c r="D17" s="37" t="s">
        <v>145</v>
      </c>
      <c r="E17" s="328" t="s">
        <v>186</v>
      </c>
      <c r="F17" s="38" t="s">
        <v>146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VLOOKUP(C17,[1]Sheet1!$B$2:$D$16,3,0)</f>
        <v>321.52</v>
      </c>
      <c r="N17" s="71">
        <f>VLOOKUP(C17,[1]Sheet1!$B$2:$F$16,5,0)</f>
        <v>89.09</v>
      </c>
      <c r="O17" s="71">
        <f>VLOOKUP(C17,[1]Sheet1!$B$1:$E$16,4,0)</f>
        <v>20.1</v>
      </c>
      <c r="P17" s="71">
        <f>VLOOKUP(C17,[1]Sheet1!$B$2:$H$16,7,0)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L17+IFERROR(VLOOKUP($E:$E,'（居民）工资表-6月'!$E:$S,15,0),0)</f>
        <v>60000</v>
      </c>
      <c r="T17" s="91">
        <f>5000+IFERROR(VLOOKUP($E:$E,'（居民）工资表-6月'!$E:$T,16,0),0)</f>
        <v>30000</v>
      </c>
      <c r="U17" s="91">
        <f>Q17+IFERROR(VLOOKUP($E:$E,'（居民）工资表-6月'!$E:$U,17,0),0)</f>
        <v>3233.13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R17+IFERROR(VLOOKUP($E:$E,'（居民）工资表-6月'!$E:$AC,25,0),0)</f>
        <v>0</v>
      </c>
      <c r="AD17" s="95">
        <f t="shared" si="2"/>
        <v>26766.87</v>
      </c>
      <c r="AE17" s="96">
        <f>ROUND(MAX((AD17)*{0.03;0.1;0.2;0.25;0.3;0.35;0.45}-{0;2520;16920;31920;52920;85920;181920},0),2)</f>
        <v>803.01</v>
      </c>
      <c r="AF17" s="97">
        <f>IFERROR(VLOOKUP(E:E,'（居民）工资表-6月'!E:AF,28,0)+VLOOKUP(E:E,'（居民）工资表-6月'!E:AG,29,0),0)</f>
        <v>668.84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2" t="s">
        <v>164</v>
      </c>
      <c r="AN17" s="12" t="s">
        <v>51</v>
      </c>
    </row>
    <row r="18" s="12" customFormat="1" ht="21" customHeight="1" spans="1:40">
      <c r="A18" s="36">
        <v>15</v>
      </c>
      <c r="B18" s="37" t="s">
        <v>144</v>
      </c>
      <c r="C18" s="37" t="s">
        <v>187</v>
      </c>
      <c r="D18" s="37" t="s">
        <v>145</v>
      </c>
      <c r="E18" s="37" t="s">
        <v>188</v>
      </c>
      <c r="F18" s="38" t="s">
        <v>146</v>
      </c>
      <c r="G18" s="39">
        <v>13711361074</v>
      </c>
      <c r="H18" s="40"/>
      <c r="I18" s="40"/>
      <c r="J18" s="69"/>
      <c r="K18" s="40"/>
      <c r="L18" s="70">
        <v>6563.63</v>
      </c>
      <c r="M18" s="71">
        <f>VLOOKUP(C18,[1]Sheet1!$B$2:$D$16,3,0)</f>
        <v>337.92</v>
      </c>
      <c r="N18" s="71">
        <f>VLOOKUP(C18,[1]Sheet1!$B$2:$F$16,5,0)</f>
        <v>91.48</v>
      </c>
      <c r="O18" s="71">
        <f>VLOOKUP(C18,[1]Sheet1!$B$1:$E$16,4,0)</f>
        <v>12.67</v>
      </c>
      <c r="P18" s="71">
        <f>VLOOKUP(C18,[1]Sheet1!$B$2:$H$16,7,0)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L18+IFERROR(VLOOKUP($E:$E,'（居民）工资表-6月'!$E:$S,15,0),0)</f>
        <v>35063.63</v>
      </c>
      <c r="T18" s="91">
        <f>5000+IFERROR(VLOOKUP($E:$E,'（居民）工资表-6月'!$E:$T,16,0),0)</f>
        <v>30000</v>
      </c>
      <c r="U18" s="91">
        <f>Q18+IFERROR(VLOOKUP($E:$E,'（居民）工资表-6月'!$E:$U,17,0),0)</f>
        <v>2238.09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R18+IFERROR(VLOOKUP($E:$E,'（居民）工资表-6月'!$E:$AC,25,0),0)</f>
        <v>0</v>
      </c>
      <c r="AD18" s="95">
        <f t="shared" si="2"/>
        <v>2825.54</v>
      </c>
      <c r="AE18" s="96">
        <f>ROUND(MAX((AD18)*{0.03;0.1;0.2;0.25;0.3;0.35;0.45}-{0;2520;16920;31920;52920;85920;181920},0),2)</f>
        <v>84.77</v>
      </c>
      <c r="AF18" s="97">
        <f>IFERROR(VLOOKUP(E:E,'（居民）工资表-6月'!E:AF,28,0)+VLOOKUP(E:E,'（居民）工资表-6月'!E:AG,29,0),0)</f>
        <v>138.59</v>
      </c>
      <c r="AG18" s="97">
        <f t="shared" si="3"/>
        <v>0</v>
      </c>
      <c r="AH18" s="107">
        <f t="shared" si="4"/>
        <v>6011.06</v>
      </c>
      <c r="AI18" s="108"/>
      <c r="AJ18" s="107">
        <f t="shared" si="5"/>
        <v>6011.06</v>
      </c>
      <c r="AK18" s="109"/>
      <c r="AL18" s="107">
        <f t="shared" si="6"/>
        <v>6011.06</v>
      </c>
      <c r="AM18" s="12" t="s">
        <v>159</v>
      </c>
      <c r="AN18" s="12" t="s">
        <v>51</v>
      </c>
    </row>
    <row r="19" s="12" customFormat="1" ht="18" customHeight="1" spans="1:38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</row>
    <row r="20" s="13" customFormat="1" ht="18" customHeight="1" spans="1:38">
      <c r="A20" s="41"/>
      <c r="B20" s="42" t="s">
        <v>189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141975.11</v>
      </c>
      <c r="M20" s="74">
        <f t="shared" ref="M20:AL20" si="7">SUM(M4:M19)</f>
        <v>5262.9</v>
      </c>
      <c r="N20" s="74">
        <f t="shared" si="7"/>
        <v>1492.43</v>
      </c>
      <c r="O20" s="74">
        <f t="shared" si="7"/>
        <v>282.62</v>
      </c>
      <c r="P20" s="74">
        <f t="shared" si="7"/>
        <v>2412.9</v>
      </c>
      <c r="Q20" s="74">
        <f t="shared" si="7"/>
        <v>9450.85</v>
      </c>
      <c r="R20" s="74">
        <f t="shared" si="7"/>
        <v>0</v>
      </c>
      <c r="S20" s="74">
        <f t="shared" si="7"/>
        <v>767995.5</v>
      </c>
      <c r="T20" s="74">
        <f t="shared" si="7"/>
        <v>420000</v>
      </c>
      <c r="U20" s="74">
        <f t="shared" si="7"/>
        <v>53412.16</v>
      </c>
      <c r="V20" s="74">
        <f t="shared" si="7"/>
        <v>7000</v>
      </c>
      <c r="W20" s="74">
        <f t="shared" si="7"/>
        <v>0</v>
      </c>
      <c r="X20" s="74">
        <f t="shared" si="7"/>
        <v>19000</v>
      </c>
      <c r="Y20" s="74">
        <f t="shared" si="7"/>
        <v>10500</v>
      </c>
      <c r="Z20" s="74">
        <f t="shared" si="7"/>
        <v>2800</v>
      </c>
      <c r="AA20" s="74">
        <f t="shared" si="7"/>
        <v>0</v>
      </c>
      <c r="AB20" s="74">
        <f t="shared" si="7"/>
        <v>39300</v>
      </c>
      <c r="AC20" s="74">
        <f t="shared" si="7"/>
        <v>0</v>
      </c>
      <c r="AD20" s="74">
        <f t="shared" si="7"/>
        <v>255283.34</v>
      </c>
      <c r="AE20" s="74">
        <f t="shared" si="7"/>
        <v>14955.36</v>
      </c>
      <c r="AF20" s="74">
        <f t="shared" si="7"/>
        <v>13289.79</v>
      </c>
      <c r="AG20" s="74">
        <f t="shared" si="7"/>
        <v>2130.86</v>
      </c>
      <c r="AH20" s="74">
        <f t="shared" si="7"/>
        <v>130393.4</v>
      </c>
      <c r="AI20" s="74">
        <f t="shared" si="7"/>
        <v>0</v>
      </c>
      <c r="AJ20" s="74">
        <f t="shared" si="7"/>
        <v>130393.4</v>
      </c>
      <c r="AK20" s="74">
        <f t="shared" si="7"/>
        <v>0</v>
      </c>
      <c r="AL20" s="74">
        <f t="shared" si="7"/>
        <v>132524.26</v>
      </c>
    </row>
    <row r="23" spans="30:30">
      <c r="AD23" s="101"/>
    </row>
    <row r="24" ht="18.75" customHeight="1" spans="2:30">
      <c r="B24" s="47" t="s">
        <v>133</v>
      </c>
      <c r="C24" s="47" t="s">
        <v>190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130393.4</v>
      </c>
      <c r="C25" s="48">
        <f>AG20</f>
        <v>2130.86</v>
      </c>
      <c r="D25" s="48">
        <f>AK20</f>
        <v>0</v>
      </c>
      <c r="E25" s="48">
        <f>B25+C25+D25</f>
        <v>132524.26</v>
      </c>
    </row>
    <row r="26" spans="2:5">
      <c r="B26" s="49"/>
      <c r="C26" s="49"/>
      <c r="D26" s="49"/>
      <c r="E26" s="49"/>
    </row>
    <row r="27" s="14" customFormat="1" spans="1:35">
      <c r="A27" s="51" t="s">
        <v>191</v>
      </c>
      <c r="B27" s="52" t="s">
        <v>192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193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194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196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197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198</v>
      </c>
    </row>
    <row r="35" spans="2:2">
      <c r="B35" s="59" t="s">
        <v>199</v>
      </c>
    </row>
    <row r="36" spans="2:2">
      <c r="B36" s="59" t="s">
        <v>200</v>
      </c>
    </row>
  </sheetData>
  <autoFilter xmlns:etc="http://www.wps.cn/officeDocument/2017/etCustomData" ref="A3:AL20" etc:filterBottomFollowUsedRange="0">
    <extLst/>
  </autoFilter>
  <mergeCells count="31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A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 customWidth="1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f>VLOOKUP(C4,[1]Sheet1!$B$2:$C$16,2,0)</f>
        <v>8000</v>
      </c>
      <c r="M4" s="71">
        <f>VLOOKUP(C4,[1]Sheet1!$B$2:$D$16,3,0)</f>
        <v>319.46</v>
      </c>
      <c r="N4" s="71">
        <f>VLOOKUP(C4,[1]Sheet1!$B$2:$F$16,5,0)</f>
        <v>79.86</v>
      </c>
      <c r="O4" s="71">
        <f>VLOOKUP(C4,[1]Sheet1!$B$1:$E$16,4,0)</f>
        <v>11.98</v>
      </c>
      <c r="P4" s="71">
        <f>VLOOKUP(C4,[1]Sheet1!$B$2:$H$16,7,0)</f>
        <v>177.4</v>
      </c>
      <c r="Q4" s="89">
        <f t="shared" ref="Q4:Q7" si="0">ROUND(SUM(M4:P4),2)</f>
        <v>588.7</v>
      </c>
      <c r="R4" s="70">
        <v>0</v>
      </c>
      <c r="S4" s="90">
        <f>L4+IFERROR(VLOOKUP($E:$E,'（居民）工资表-4月'!$E:$S,15,0),0)</f>
        <v>32000</v>
      </c>
      <c r="T4" s="91">
        <f>5000+IFERROR(VLOOKUP($E:$E,'（居民）工资表-4月'!$E:$T,16,0),0)</f>
        <v>20000</v>
      </c>
      <c r="U4" s="91">
        <f>Q4+IFERROR(VLOOKUP($E:$E,'（居民）工资表-4月'!$E:$U,17,0),0)</f>
        <v>2451.79</v>
      </c>
      <c r="V4" s="70"/>
      <c r="W4" s="70"/>
      <c r="X4" s="70"/>
      <c r="Y4" s="70"/>
      <c r="Z4" s="70"/>
      <c r="AA4" s="70"/>
      <c r="AB4" s="90">
        <f t="shared" ref="AB4:AB7" si="1">ROUND(SUM(V4:AA4),2)</f>
        <v>0</v>
      </c>
      <c r="AC4" s="90">
        <f>R4+IFERROR(VLOOKUP($E:$E,'（居民）工资表-4月'!$E:$AC,25,0),0)</f>
        <v>0</v>
      </c>
      <c r="AD4" s="95">
        <f t="shared" ref="AD4:AD7" si="2">ROUND(S4-T4-U4-AB4-AC4,2)</f>
        <v>9548.21</v>
      </c>
      <c r="AE4" s="96">
        <f>ROUND(MAX((AD4)*{0.03;0.1;0.2;0.25;0.3;0.35;0.45}-{0;2520;16920;31920;52920;85920;181920},0),2)</f>
        <v>286.45</v>
      </c>
      <c r="AF4" s="97">
        <f>IFERROR(VLOOKUP(E:E,'（居民）工资表-4月'!E:AF,28,0)+VLOOKUP(E:E,'（居民）工资表-4月'!E:AG,29,0),0)</f>
        <v>214.11</v>
      </c>
      <c r="AG4" s="97">
        <f t="shared" ref="AG4:AG6" si="3">IF((AE4-AF4)&lt;0,0,AE4-AF4)</f>
        <v>72.34</v>
      </c>
      <c r="AH4" s="107">
        <f t="shared" ref="AH4:AH6" si="4">ROUND(IF((L4-Q4-AG4)&lt;0,0,(L4-Q4-AG4)),2)</f>
        <v>7338.96</v>
      </c>
      <c r="AI4" s="108"/>
      <c r="AJ4" s="107">
        <f t="shared" ref="AJ4:AJ7" si="5">AH4+AI4</f>
        <v>7338.96</v>
      </c>
      <c r="AK4" s="109"/>
      <c r="AL4" s="107">
        <f t="shared" ref="AL4:AL7" si="6">AJ4+AG4+AK4</f>
        <v>7411.3</v>
      </c>
      <c r="AM4" s="109"/>
      <c r="AN4" s="109"/>
      <c r="AO4" s="109"/>
      <c r="AP4" s="109"/>
      <c r="AQ4" s="109"/>
      <c r="AR4" s="116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  <c r="AU4" s="12" t="s">
        <v>147</v>
      </c>
      <c r="AV4" s="12" t="s">
        <v>51</v>
      </c>
    </row>
    <row r="5" s="12" customFormat="1" ht="18" customHeight="1" spans="1:48">
      <c r="A5" s="36">
        <v>2</v>
      </c>
      <c r="B5" s="37" t="s">
        <v>144</v>
      </c>
      <c r="C5" s="37" t="s">
        <v>148</v>
      </c>
      <c r="D5" s="37" t="s">
        <v>145</v>
      </c>
      <c r="E5" s="328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f>VLOOKUP(C5,[1]Sheet1!$B$2:$C$16,2,0)</f>
        <v>5700</v>
      </c>
      <c r="M5" s="71">
        <f>VLOOKUP(C5,[1]Sheet1!$B$2:$D$16,3,0)</f>
        <v>422.72</v>
      </c>
      <c r="N5" s="71">
        <f>VLOOKUP(C5,[1]Sheet1!$B$2:$F$16,5,0)</f>
        <v>119.92</v>
      </c>
      <c r="O5" s="71">
        <f>VLOOKUP(C5,[1]Sheet1!$B$1:$E$16,4,0)</f>
        <v>4.6</v>
      </c>
      <c r="P5" s="71">
        <f>VLOOKUP(C5,[1]Sheet1!$B$2:$H$16,7,0)</f>
        <v>115</v>
      </c>
      <c r="Q5" s="89">
        <f t="shared" si="0"/>
        <v>662.24</v>
      </c>
      <c r="R5" s="70">
        <v>0</v>
      </c>
      <c r="S5" s="90">
        <f>L5+IFERROR(VLOOKUP($E:$E,'（居民）工资表-4月'!$E:$S,15,0),0)</f>
        <v>24180</v>
      </c>
      <c r="T5" s="91">
        <f>5000+IFERROR(VLOOKUP($E:$E,'（居民）工资表-4月'!$E:$T,16,0),0)</f>
        <v>20000</v>
      </c>
      <c r="U5" s="91">
        <f>Q5+IFERROR(VLOOKUP($E:$E,'（居民）工资表-4月'!$E:$U,17,0),0)</f>
        <v>2861.76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R5+IFERROR(VLOOKUP($E:$E,'（居民）工资表-4月'!$E:$AC,25,0),0)</f>
        <v>0</v>
      </c>
      <c r="AD5" s="95">
        <f t="shared" si="2"/>
        <v>1318.24</v>
      </c>
      <c r="AE5" s="96">
        <f>ROUND(MAX((AD5)*{0.03;0.1;0.2;0.25;0.3;0.35;0.45}-{0;2520;16920;31920;52920;85920;181920},0),2)</f>
        <v>39.55</v>
      </c>
      <c r="AF5" s="97">
        <f>IFERROR(VLOOKUP(E:E,'（居民）工资表-4月'!E:AF,28,0)+VLOOKUP(E:E,'（居民）工资表-4月'!E:AG,29,0),0)</f>
        <v>38.41</v>
      </c>
      <c r="AG5" s="97">
        <f t="shared" si="3"/>
        <v>1.14</v>
      </c>
      <c r="AH5" s="107">
        <f t="shared" si="4"/>
        <v>5036.62</v>
      </c>
      <c r="AI5" s="108"/>
      <c r="AJ5" s="107">
        <f t="shared" si="5"/>
        <v>5036.62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144</v>
      </c>
      <c r="C6" s="37" t="s">
        <v>151</v>
      </c>
      <c r="D6" s="37" t="s">
        <v>145</v>
      </c>
      <c r="E6" s="328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f>VLOOKUP(C6,[1]Sheet1!$B$2:$C$16,2,0)</f>
        <v>30060</v>
      </c>
      <c r="M6" s="71">
        <f>VLOOKUP(C6,[1]Sheet1!$B$2:$D$16,3,0)</f>
        <v>584.8</v>
      </c>
      <c r="N6" s="71">
        <f>VLOOKUP(C6,[1]Sheet1!$B$2:$F$16,5,0)</f>
        <v>146.2</v>
      </c>
      <c r="O6" s="71">
        <f>VLOOKUP(C6,[1]Sheet1!$B$1:$E$16,4,0)</f>
        <v>36.55</v>
      </c>
      <c r="P6" s="71">
        <f>VLOOKUP(C6,[1]Sheet1!$B$2:$H$16,7,0)</f>
        <v>181</v>
      </c>
      <c r="Q6" s="89">
        <f t="shared" si="0"/>
        <v>948.55</v>
      </c>
      <c r="R6" s="70">
        <v>0</v>
      </c>
      <c r="S6" s="90">
        <f>L6+IFERROR(VLOOKUP($E:$E,'（居民）工资表-4月'!$E:$S,15,0),0)</f>
        <v>120240</v>
      </c>
      <c r="T6" s="91">
        <f>5000+IFERROR(VLOOKUP($E:$E,'（居民）工资表-4月'!$E:$T,16,0),0)</f>
        <v>20000</v>
      </c>
      <c r="U6" s="91">
        <f>Q6+IFERROR(VLOOKUP($E:$E,'（居民）工资表-4月'!$E:$U,17,0),0)</f>
        <v>3838.51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R6+IFERROR(VLOOKUP($E:$E,'（居民）工资表-4月'!$E:$AC,25,0),0)</f>
        <v>0</v>
      </c>
      <c r="AD6" s="95">
        <f t="shared" si="2"/>
        <v>96401.49</v>
      </c>
      <c r="AE6" s="96">
        <f>ROUND(MAX((AD6)*{0.03;0.1;0.2;0.25;0.3;0.35;0.45}-{0;2520;16920;31920;52920;85920;181920},0),2)</f>
        <v>7120.15</v>
      </c>
      <c r="AF6" s="97">
        <f>IFERROR(VLOOKUP(E:E,'（居民）工资表-4月'!E:AF,28,0)+VLOOKUP(E:E,'（居民）工资表-4月'!E:AG,29,0),0)</f>
        <v>4709</v>
      </c>
      <c r="AG6" s="97">
        <f t="shared" si="3"/>
        <v>2411.15</v>
      </c>
      <c r="AH6" s="107">
        <f t="shared" si="4"/>
        <v>26700.3</v>
      </c>
      <c r="AI6" s="108"/>
      <c r="AJ6" s="107">
        <f t="shared" si="5"/>
        <v>26700.3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  <c r="AU6" s="12" t="s">
        <v>154</v>
      </c>
      <c r="AV6" s="12" t="s">
        <v>155</v>
      </c>
    </row>
    <row r="7" s="12" customFormat="1" ht="18" customHeight="1" spans="1:48">
      <c r="A7" s="36">
        <v>4</v>
      </c>
      <c r="B7" s="37" t="s">
        <v>144</v>
      </c>
      <c r="C7" s="37" t="s">
        <v>156</v>
      </c>
      <c r="D7" s="37" t="s">
        <v>145</v>
      </c>
      <c r="E7" s="328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f>VLOOKUP(C7,[1]Sheet1!$B$2:$C$16,2,0)</f>
        <v>9000</v>
      </c>
      <c r="M7" s="71">
        <f>VLOOKUP(C7,[1]Sheet1!$B$2:$D$16,3,0)</f>
        <v>321.52</v>
      </c>
      <c r="N7" s="71">
        <f>VLOOKUP(C7,[1]Sheet1!$B$2:$F$16,5,0)</f>
        <v>89.09</v>
      </c>
      <c r="O7" s="71">
        <f>VLOOKUP(C7,[1]Sheet1!$B$1:$E$16,4,0)</f>
        <v>20.1</v>
      </c>
      <c r="P7" s="71">
        <f>VLOOKUP(C7,[1]Sheet1!$B$2:$H$16,7,0)</f>
        <v>97</v>
      </c>
      <c r="Q7" s="89">
        <f t="shared" si="0"/>
        <v>527.71</v>
      </c>
      <c r="R7" s="70">
        <v>0</v>
      </c>
      <c r="S7" s="90">
        <f>L7+IFERROR(VLOOKUP($E:$E,'（居民）工资表-4月'!$E:$S,15,0),0)</f>
        <v>36000</v>
      </c>
      <c r="T7" s="91">
        <f>5000+IFERROR(VLOOKUP($E:$E,'（居民）工资表-4月'!$E:$T,16,0),0)</f>
        <v>20000</v>
      </c>
      <c r="U7" s="91">
        <f>Q7+IFERROR(VLOOKUP($E:$E,'（居民）工资表-4月'!$E:$U,17,0),0)</f>
        <v>2177.71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R7+IFERROR(VLOOKUP($E:$E,'（居民）工资表-4月'!$E:$AC,25,0),0)</f>
        <v>0</v>
      </c>
      <c r="AD7" s="95">
        <f t="shared" si="2"/>
        <v>13822.29</v>
      </c>
      <c r="AE7" s="96">
        <f>ROUND(MAX((AD7)*{0.03;0.1;0.2;0.25;0.3;0.35;0.45}-{0;2520;16920;31920;52920;85920;181920},0),2)</f>
        <v>414.67</v>
      </c>
      <c r="AF7" s="97">
        <f>IFERROR(VLOOKUP(E:E,'（居民）工资表-4月'!E:AF,28,0)+VLOOKUP(E:E,'（居民）工资表-4月'!E:AG,29,0),0)</f>
        <v>310.5</v>
      </c>
      <c r="AG7" s="97">
        <f t="shared" ref="AG7:AG19" si="8">IF((AE7-AF7)&lt;0,0,AE7-AF7)</f>
        <v>104.17</v>
      </c>
      <c r="AH7" s="107">
        <f t="shared" ref="AH7:AH19" si="9">ROUND(IF((L7-Q7-AG7)&lt;0,0,(L7-Q7-AG7)),2)</f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  <c r="AU7" s="12" t="s">
        <v>159</v>
      </c>
      <c r="AV7" s="12" t="s">
        <v>51</v>
      </c>
    </row>
    <row r="8" s="12" customFormat="1" ht="18" customHeight="1" spans="1:48">
      <c r="A8" s="36">
        <v>5</v>
      </c>
      <c r="B8" s="37" t="s">
        <v>144</v>
      </c>
      <c r="C8" s="37" t="s">
        <v>160</v>
      </c>
      <c r="D8" s="37" t="s">
        <v>145</v>
      </c>
      <c r="E8" s="328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f>VLOOKUP(C8,[1]Sheet1!$B$2:$C$16,2,0)</f>
        <v>10500</v>
      </c>
      <c r="M8" s="71">
        <f>VLOOKUP(C8,[1]Sheet1!$B$2:$D$16,3,0)</f>
        <v>321.52</v>
      </c>
      <c r="N8" s="71">
        <f>VLOOKUP(C8,[1]Sheet1!$B$2:$F$16,5,0)</f>
        <v>86.38</v>
      </c>
      <c r="O8" s="71">
        <f>VLOOKUP(C8,[1]Sheet1!$B$1:$E$16,4,0)</f>
        <v>20.1</v>
      </c>
      <c r="P8" s="71">
        <f>VLOOKUP(C8,[1]Sheet1!$B$2:$H$16,7,0)</f>
        <v>344</v>
      </c>
      <c r="Q8" s="89">
        <f t="shared" ref="Q8:Q19" si="10">ROUND(SUM(M8:P8),2)</f>
        <v>772</v>
      </c>
      <c r="R8" s="70">
        <v>0</v>
      </c>
      <c r="S8" s="90">
        <f>L8+IFERROR(VLOOKUP($E:$E,'（居民）工资表-4月'!$E:$S,15,0),0)</f>
        <v>42000</v>
      </c>
      <c r="T8" s="91">
        <f>5000+IFERROR(VLOOKUP($E:$E,'（居民）工资表-4月'!$E:$T,16,0),0)</f>
        <v>20000</v>
      </c>
      <c r="U8" s="91">
        <f>Q8+IFERROR(VLOOKUP($E:$E,'（居民）工资表-4月'!$E:$U,17,0),0)</f>
        <v>3153.52</v>
      </c>
      <c r="V8" s="70"/>
      <c r="W8" s="70"/>
      <c r="X8" s="70"/>
      <c r="Y8" s="70"/>
      <c r="Z8" s="70"/>
      <c r="AA8" s="70"/>
      <c r="AB8" s="90">
        <f t="shared" ref="AB8:AB19" si="11">ROUND(SUM(V8:AA8),2)</f>
        <v>0</v>
      </c>
      <c r="AC8" s="90">
        <f>R8+IFERROR(VLOOKUP($E:$E,'（居民）工资表-4月'!$E:$AC,25,0),0)</f>
        <v>0</v>
      </c>
      <c r="AD8" s="95">
        <f t="shared" ref="AD8:AD19" si="12">ROUND(S8-T8-U8-AB8-AC8,2)</f>
        <v>18846.48</v>
      </c>
      <c r="AE8" s="96">
        <f>ROUND(MAX((AD8)*{0.03;0.1;0.2;0.25;0.3;0.35;0.45}-{0;2520;16920;31920;52920;85920;181920},0),2)</f>
        <v>565.39</v>
      </c>
      <c r="AF8" s="97">
        <f>IFERROR(VLOOKUP(E:E,'（居民）工资表-4月'!E:AF,28,0)+VLOOKUP(E:E,'（居民）工资表-4月'!E:AG,29,0),0)</f>
        <v>423.55</v>
      </c>
      <c r="AG8" s="97">
        <f t="shared" si="8"/>
        <v>141.84</v>
      </c>
      <c r="AH8" s="107">
        <f t="shared" si="9"/>
        <v>9586.16</v>
      </c>
      <c r="AI8" s="108"/>
      <c r="AJ8" s="107">
        <f t="shared" ref="AJ8:AJ19" si="13">AH8+AI8</f>
        <v>9586.16</v>
      </c>
      <c r="AK8" s="109"/>
      <c r="AL8" s="107">
        <f t="shared" ref="AL8:AL19" si="14">AJ8+AG8+AK8</f>
        <v>9728</v>
      </c>
      <c r="AM8" s="109"/>
      <c r="AN8" s="109"/>
      <c r="AO8" s="109"/>
      <c r="AP8" s="109"/>
      <c r="AQ8" s="109"/>
      <c r="AR8" s="116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 t="shared" ref="AS8:AS16" si="16">IF(SUMPRODUCT(N(E$1:E$7=E8))&gt;1,"重复","不")</f>
        <v>不</v>
      </c>
      <c r="AT8" s="116" t="str">
        <f t="shared" ref="AT8:AT16" si="17">IF(SUMPRODUCT(N(AO$1:AO$7=AO8))&gt;1,"重复","不")</f>
        <v>重复</v>
      </c>
      <c r="AU8" s="12" t="s">
        <v>159</v>
      </c>
      <c r="AV8" s="12" t="s">
        <v>51</v>
      </c>
    </row>
    <row r="9" s="12" customFormat="1" ht="18" customHeight="1" spans="1:48">
      <c r="A9" s="36">
        <v>6</v>
      </c>
      <c r="B9" s="37" t="s">
        <v>144</v>
      </c>
      <c r="C9" s="37" t="s">
        <v>162</v>
      </c>
      <c r="D9" s="37" t="s">
        <v>145</v>
      </c>
      <c r="E9" s="328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f>VLOOKUP(C9,[1]Sheet1!$B$2:$C$16,2,0)</f>
        <v>6500</v>
      </c>
      <c r="M9" s="71">
        <f>VLOOKUP(C9,[1]Sheet1!$B$2:$D$16,3,0)</f>
        <v>324.24</v>
      </c>
      <c r="N9" s="71">
        <f>VLOOKUP(C9,[1]Sheet1!$B$2:$F$16,5,0)</f>
        <v>90.4</v>
      </c>
      <c r="O9" s="71">
        <f>VLOOKUP(C9,[1]Sheet1!$B$1:$E$16,4,0)</f>
        <v>12.16</v>
      </c>
      <c r="P9" s="71">
        <f>VLOOKUP(C9,[1]Sheet1!$B$2:$H$16,7,0)</f>
        <v>100</v>
      </c>
      <c r="Q9" s="89">
        <f t="shared" si="10"/>
        <v>526.8</v>
      </c>
      <c r="R9" s="70">
        <v>0</v>
      </c>
      <c r="S9" s="90">
        <f>L9+IFERROR(VLOOKUP($E:$E,'（居民）工资表-4月'!$E:$S,15,0),0)</f>
        <v>26000</v>
      </c>
      <c r="T9" s="91">
        <f>5000+IFERROR(VLOOKUP($E:$E,'（居民）工资表-4月'!$E:$T,16,0),0)</f>
        <v>20000</v>
      </c>
      <c r="U9" s="91">
        <f>Q9+IFERROR(VLOOKUP($E:$E,'（居民）工资表-4月'!$E:$U,17,0),0)</f>
        <v>2232.75</v>
      </c>
      <c r="V9" s="70"/>
      <c r="W9" s="70"/>
      <c r="X9" s="70"/>
      <c r="Y9" s="70"/>
      <c r="Z9" s="70"/>
      <c r="AA9" s="70"/>
      <c r="AB9" s="90">
        <f t="shared" si="11"/>
        <v>0</v>
      </c>
      <c r="AC9" s="90">
        <f>R9+IFERROR(VLOOKUP($E:$E,'（居民）工资表-4月'!$E:$AC,25,0),0)</f>
        <v>0</v>
      </c>
      <c r="AD9" s="95">
        <f t="shared" si="12"/>
        <v>3767.25</v>
      </c>
      <c r="AE9" s="96">
        <f>ROUND(MAX((AD9)*{0.03;0.1;0.2;0.25;0.3;0.35;0.45}-{0;2520;16920;31920;52920;85920;181920},0),2)</f>
        <v>113.02</v>
      </c>
      <c r="AF9" s="97">
        <f>IFERROR(VLOOKUP(E:E,'（居民）工资表-4月'!E:AF,28,0)+VLOOKUP(E:E,'（居民）工资表-4月'!E:AG,29,0),0)</f>
        <v>83.82</v>
      </c>
      <c r="AG9" s="97">
        <f t="shared" si="8"/>
        <v>29.2</v>
      </c>
      <c r="AH9" s="107">
        <f t="shared" si="9"/>
        <v>5944</v>
      </c>
      <c r="AI9" s="108"/>
      <c r="AJ9" s="107">
        <f t="shared" si="13"/>
        <v>5944</v>
      </c>
      <c r="AK9" s="109"/>
      <c r="AL9" s="107">
        <f t="shared" si="14"/>
        <v>5973.2</v>
      </c>
      <c r="AM9" s="109"/>
      <c r="AN9" s="109"/>
      <c r="AO9" s="109"/>
      <c r="AP9" s="109"/>
      <c r="AQ9" s="109"/>
      <c r="AR9" s="116" t="str">
        <f t="shared" si="15"/>
        <v>正确</v>
      </c>
      <c r="AS9" s="116" t="str">
        <f t="shared" si="16"/>
        <v>不</v>
      </c>
      <c r="AT9" s="116" t="str">
        <f t="shared" si="17"/>
        <v>重复</v>
      </c>
      <c r="AU9" s="12" t="s">
        <v>164</v>
      </c>
      <c r="AV9" s="12" t="s">
        <v>51</v>
      </c>
    </row>
    <row r="10" s="12" customFormat="1" ht="18" customHeight="1" spans="1:48">
      <c r="A10" s="36">
        <v>7</v>
      </c>
      <c r="B10" s="37" t="s">
        <v>144</v>
      </c>
      <c r="C10" s="37" t="s">
        <v>165</v>
      </c>
      <c r="D10" s="37" t="s">
        <v>145</v>
      </c>
      <c r="E10" s="328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f>VLOOKUP(C10,[1]Sheet1!$B$2:$C$16,2,0)</f>
        <v>4525.84</v>
      </c>
      <c r="M10" s="71">
        <f>VLOOKUP(C10,[1]Sheet1!$B$2:$D$16,3,0)</f>
        <v>380.08</v>
      </c>
      <c r="N10" s="71">
        <f>VLOOKUP(C10,[1]Sheet1!$B$2:$F$16,5,0)</f>
        <v>117.02</v>
      </c>
      <c r="O10" s="71">
        <f>VLOOKUP(C10,[1]Sheet1!$B$1:$E$16,4,0)</f>
        <v>23.76</v>
      </c>
      <c r="P10" s="71">
        <f>VLOOKUP(C10,[1]Sheet1!$B$2:$H$16,7,0)</f>
        <v>109</v>
      </c>
      <c r="Q10" s="89">
        <f t="shared" si="10"/>
        <v>629.86</v>
      </c>
      <c r="R10" s="70">
        <v>0</v>
      </c>
      <c r="S10" s="90">
        <f>L10+IFERROR(VLOOKUP($E:$E,'（居民）工资表-4月'!$E:$S,15,0),0)</f>
        <v>17794.55</v>
      </c>
      <c r="T10" s="91">
        <f>5000+IFERROR(VLOOKUP($E:$E,'（居民）工资表-4月'!$E:$T,16,0),0)</f>
        <v>20000</v>
      </c>
      <c r="U10" s="91">
        <f>Q10+IFERROR(VLOOKUP($E:$E,'（居民）工资表-4月'!$E:$U,17,0),0)</f>
        <v>2622.97</v>
      </c>
      <c r="V10" s="70"/>
      <c r="W10" s="70"/>
      <c r="X10" s="70"/>
      <c r="Y10" s="70"/>
      <c r="Z10" s="70"/>
      <c r="AA10" s="70"/>
      <c r="AB10" s="90">
        <f t="shared" si="11"/>
        <v>0</v>
      </c>
      <c r="AC10" s="90">
        <f>R10+IFERROR(VLOOKUP($E:$E,'（居民）工资表-4月'!$E:$AC,25,0),0)</f>
        <v>0</v>
      </c>
      <c r="AD10" s="95">
        <f t="shared" si="12"/>
        <v>-4828.42</v>
      </c>
      <c r="AE10" s="96">
        <f>ROUND(MAX((AD10)*{0.03;0.1;0.2;0.25;0.3;0.35;0.45}-{0;2520;16920;31920;52920;85920;181920},0),2)</f>
        <v>0</v>
      </c>
      <c r="AF10" s="97">
        <f>IFERROR(VLOOKUP(E:E,'（居民）工资表-4月'!E:AF,28,0)+VLOOKUP(E:E,'（居民）工资表-4月'!E:AG,29,0),0)</f>
        <v>0</v>
      </c>
      <c r="AG10" s="97">
        <f t="shared" si="8"/>
        <v>0</v>
      </c>
      <c r="AH10" s="107">
        <f t="shared" si="9"/>
        <v>3895.98</v>
      </c>
      <c r="AI10" s="108"/>
      <c r="AJ10" s="107">
        <f t="shared" si="13"/>
        <v>3895.98</v>
      </c>
      <c r="AK10" s="109"/>
      <c r="AL10" s="107">
        <f t="shared" si="14"/>
        <v>3895.98</v>
      </c>
      <c r="AM10" s="109"/>
      <c r="AN10" s="109"/>
      <c r="AO10" s="109"/>
      <c r="AP10" s="109"/>
      <c r="AQ10" s="109"/>
      <c r="AR10" s="116" t="str">
        <f t="shared" si="15"/>
        <v>正确</v>
      </c>
      <c r="AS10" s="116" t="str">
        <f t="shared" si="16"/>
        <v>不</v>
      </c>
      <c r="AT10" s="116" t="str">
        <f t="shared" si="17"/>
        <v>重复</v>
      </c>
      <c r="AU10" s="12" t="s">
        <v>168</v>
      </c>
      <c r="AV10" s="12" t="s">
        <v>169</v>
      </c>
    </row>
    <row r="11" s="12" customFormat="1" ht="18" customHeight="1" spans="1:48">
      <c r="A11" s="36">
        <v>8</v>
      </c>
      <c r="B11" s="37" t="s">
        <v>144</v>
      </c>
      <c r="C11" s="37" t="s">
        <v>170</v>
      </c>
      <c r="D11" s="37" t="s">
        <v>145</v>
      </c>
      <c r="E11" s="328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f>VLOOKUP(C11,[1]Sheet1!$B$2:$C$16,2,0)</f>
        <v>8500</v>
      </c>
      <c r="M11" s="71">
        <f>VLOOKUP(C11,[1]Sheet1!$B$2:$D$16,3,0)</f>
        <v>321.52</v>
      </c>
      <c r="N11" s="71">
        <f>VLOOKUP(C11,[1]Sheet1!$B$2:$F$16,5,0)</f>
        <v>120.38</v>
      </c>
      <c r="O11" s="71">
        <f>VLOOKUP(C11,[1]Sheet1!$B$1:$E$16,4,0)</f>
        <v>20.1</v>
      </c>
      <c r="P11" s="71">
        <f>VLOOKUP(C11,[1]Sheet1!$B$2:$H$16,7,0)</f>
        <v>97</v>
      </c>
      <c r="Q11" s="89">
        <f t="shared" si="10"/>
        <v>559</v>
      </c>
      <c r="R11" s="70">
        <v>0</v>
      </c>
      <c r="S11" s="90">
        <f>L11+IFERROR(VLOOKUP($E:$E,'（居民）工资表-4月'!$E:$S,15,0),0)</f>
        <v>35500</v>
      </c>
      <c r="T11" s="91">
        <f>5000+IFERROR(VLOOKUP($E:$E,'（居民）工资表-4月'!$E:$T,16,0),0)</f>
        <v>20000</v>
      </c>
      <c r="U11" s="91">
        <f>Q11+IFERROR(VLOOKUP($E:$E,'（居民）工资表-4月'!$E:$U,17,0),0)</f>
        <v>2301.52</v>
      </c>
      <c r="V11" s="70"/>
      <c r="W11" s="70"/>
      <c r="X11" s="70"/>
      <c r="Y11" s="70"/>
      <c r="Z11" s="70"/>
      <c r="AA11" s="70"/>
      <c r="AB11" s="90">
        <f t="shared" si="11"/>
        <v>0</v>
      </c>
      <c r="AC11" s="90">
        <f>R11+IFERROR(VLOOKUP($E:$E,'（居民）工资表-4月'!$E:$AC,25,0),0)</f>
        <v>0</v>
      </c>
      <c r="AD11" s="95">
        <f t="shared" si="12"/>
        <v>13198.48</v>
      </c>
      <c r="AE11" s="96">
        <f>ROUND(MAX((AD11)*{0.03;0.1;0.2;0.25;0.3;0.35;0.45}-{0;2520;16920;31920;52920;85920;181920},0),2)</f>
        <v>395.95</v>
      </c>
      <c r="AF11" s="97">
        <f>IFERROR(VLOOKUP(E:E,'（居民）工资表-4月'!E:AF,28,0)+VLOOKUP(E:E,'（居民）工资表-4月'!E:AG,29,0),0)</f>
        <v>307.72</v>
      </c>
      <c r="AG11" s="97">
        <f t="shared" si="8"/>
        <v>88.23</v>
      </c>
      <c r="AH11" s="107">
        <f t="shared" si="9"/>
        <v>7852.77</v>
      </c>
      <c r="AI11" s="108"/>
      <c r="AJ11" s="107">
        <f t="shared" si="13"/>
        <v>7852.77</v>
      </c>
      <c r="AK11" s="109"/>
      <c r="AL11" s="107">
        <f t="shared" si="14"/>
        <v>7941</v>
      </c>
      <c r="AM11" s="109"/>
      <c r="AN11" s="109"/>
      <c r="AO11" s="109"/>
      <c r="AP11" s="109"/>
      <c r="AQ11" s="109"/>
      <c r="AR11" s="116" t="str">
        <f t="shared" si="15"/>
        <v>正确</v>
      </c>
      <c r="AS11" s="116" t="str">
        <f t="shared" si="16"/>
        <v>不</v>
      </c>
      <c r="AT11" s="116" t="str">
        <f t="shared" si="17"/>
        <v>重复</v>
      </c>
      <c r="AU11" s="12" t="s">
        <v>172</v>
      </c>
      <c r="AV11" s="12" t="s">
        <v>173</v>
      </c>
    </row>
    <row r="12" s="12" customFormat="1" ht="18" customHeight="1" spans="1:48">
      <c r="A12" s="36">
        <v>9</v>
      </c>
      <c r="B12" s="37" t="s">
        <v>144</v>
      </c>
      <c r="C12" s="37" t="s">
        <v>174</v>
      </c>
      <c r="D12" s="37" t="s">
        <v>145</v>
      </c>
      <c r="E12" s="328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f>VLOOKUP(C12,[1]Sheet1!$B$2:$C$16,2,0)</f>
        <v>7000</v>
      </c>
      <c r="M12" s="71">
        <f>VLOOKUP(C12,[1]Sheet1!$B$2:$D$16,3,0)</f>
        <v>321.52</v>
      </c>
      <c r="N12" s="71">
        <f>VLOOKUP(C12,[1]Sheet1!$B$2:$F$16,5,0)</f>
        <v>86.38</v>
      </c>
      <c r="O12" s="71">
        <f>VLOOKUP(C12,[1]Sheet1!$B$1:$E$16,4,0)</f>
        <v>20.1</v>
      </c>
      <c r="P12" s="71">
        <f>VLOOKUP(C12,[1]Sheet1!$B$2:$H$16,7,0)</f>
        <v>344</v>
      </c>
      <c r="Q12" s="89">
        <f t="shared" si="10"/>
        <v>772</v>
      </c>
      <c r="R12" s="70">
        <v>0</v>
      </c>
      <c r="S12" s="90">
        <f>L12+IFERROR(VLOOKUP($E:$E,'（居民）工资表-4月'!$E:$S,15,0),0)</f>
        <v>29500</v>
      </c>
      <c r="T12" s="91">
        <f>5000+IFERROR(VLOOKUP($E:$E,'（居民）工资表-4月'!$E:$T,16,0),0)</f>
        <v>20000</v>
      </c>
      <c r="U12" s="91">
        <f>Q12+IFERROR(VLOOKUP($E:$E,'（居民）工资表-4月'!$E:$U,17,0),0)</f>
        <v>3153.52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R12+IFERROR(VLOOKUP($E:$E,'（居民）工资表-4月'!$E:$AC,25,0),0)</f>
        <v>0</v>
      </c>
      <c r="AD12" s="95">
        <f t="shared" si="12"/>
        <v>6346.48</v>
      </c>
      <c r="AE12" s="96">
        <f>ROUND(MAX((AD12)*{0.03;0.1;0.2;0.25;0.3;0.35;0.45}-{0;2520;16920;31920;52920;85920;181920},0),2)</f>
        <v>190.39</v>
      </c>
      <c r="AF12" s="97">
        <f>IFERROR(VLOOKUP(E:E,'（居民）工资表-4月'!E:AF,28,0)+VLOOKUP(E:E,'（居民）工资表-4月'!E:AG,29,0),0)</f>
        <v>153.55</v>
      </c>
      <c r="AG12" s="97">
        <f t="shared" si="8"/>
        <v>36.84</v>
      </c>
      <c r="AH12" s="107">
        <f t="shared" si="9"/>
        <v>6191.16</v>
      </c>
      <c r="AI12" s="108"/>
      <c r="AJ12" s="107">
        <f t="shared" si="13"/>
        <v>6191.16</v>
      </c>
      <c r="AK12" s="109"/>
      <c r="AL12" s="107">
        <f t="shared" si="14"/>
        <v>6228</v>
      </c>
      <c r="AM12" s="109"/>
      <c r="AN12" s="109"/>
      <c r="AO12" s="109"/>
      <c r="AP12" s="109"/>
      <c r="AQ12" s="109"/>
      <c r="AR12" s="116" t="str">
        <f t="shared" si="15"/>
        <v>正确</v>
      </c>
      <c r="AS12" s="116" t="str">
        <f t="shared" si="16"/>
        <v>不</v>
      </c>
      <c r="AT12" s="116" t="str">
        <f t="shared" si="17"/>
        <v>重复</v>
      </c>
      <c r="AU12" s="12" t="s">
        <v>159</v>
      </c>
      <c r="AV12" s="12" t="s">
        <v>51</v>
      </c>
    </row>
    <row r="13" s="12" customFormat="1" ht="18" customHeight="1" spans="1:48">
      <c r="A13" s="36">
        <v>10</v>
      </c>
      <c r="B13" s="37" t="s">
        <v>144</v>
      </c>
      <c r="C13" s="37" t="s">
        <v>176</v>
      </c>
      <c r="D13" s="37" t="s">
        <v>145</v>
      </c>
      <c r="E13" s="328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f>VLOOKUP(C13,[1]Sheet1!$B$2:$C$16,2,0)</f>
        <v>7000</v>
      </c>
      <c r="M13" s="71">
        <f>VLOOKUP(C13,[1]Sheet1!$B$2:$D$16,3,0)</f>
        <v>321.52</v>
      </c>
      <c r="N13" s="71">
        <f>VLOOKUP(C13,[1]Sheet1!$B$2:$F$16,5,0)</f>
        <v>86.38</v>
      </c>
      <c r="O13" s="71">
        <f>VLOOKUP(C13,[1]Sheet1!$B$1:$E$16,4,0)</f>
        <v>20.1</v>
      </c>
      <c r="P13" s="71">
        <f>VLOOKUP(C13,[1]Sheet1!$B$2:$H$16,7,0)</f>
        <v>344</v>
      </c>
      <c r="Q13" s="89">
        <f t="shared" si="10"/>
        <v>772</v>
      </c>
      <c r="R13" s="70">
        <v>0</v>
      </c>
      <c r="S13" s="90">
        <f>L13+IFERROR(VLOOKUP($E:$E,'（居民）工资表-4月'!$E:$S,15,0),0)</f>
        <v>31000</v>
      </c>
      <c r="T13" s="91">
        <f>5000+IFERROR(VLOOKUP($E:$E,'（居民）工资表-4月'!$E:$T,16,0),0)</f>
        <v>20000</v>
      </c>
      <c r="U13" s="91">
        <f>Q13+IFERROR(VLOOKUP($E:$E,'（居民）工资表-4月'!$E:$U,17,0),0)</f>
        <v>3153.52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R13+IFERROR(VLOOKUP($E:$E,'（居民）工资表-4月'!$E:$AC,25,0),0)</f>
        <v>0</v>
      </c>
      <c r="AD13" s="95">
        <f t="shared" si="12"/>
        <v>7846.48</v>
      </c>
      <c r="AE13" s="96">
        <f>ROUND(MAX((AD13)*{0.03;0.1;0.2;0.25;0.3;0.35;0.45}-{0;2520;16920;31920;52920;85920;181920},0),2)</f>
        <v>235.39</v>
      </c>
      <c r="AF13" s="97">
        <f>IFERROR(VLOOKUP(E:E,'（居民）工资表-4月'!E:AF,28,0)+VLOOKUP(E:E,'（居民）工资表-4月'!E:AG,29,0),0)</f>
        <v>198.55</v>
      </c>
      <c r="AG13" s="97">
        <f t="shared" si="8"/>
        <v>36.84</v>
      </c>
      <c r="AH13" s="107">
        <f t="shared" si="9"/>
        <v>6191.16</v>
      </c>
      <c r="AI13" s="108"/>
      <c r="AJ13" s="107">
        <f t="shared" si="13"/>
        <v>6191.16</v>
      </c>
      <c r="AK13" s="109"/>
      <c r="AL13" s="107">
        <f t="shared" si="14"/>
        <v>6228</v>
      </c>
      <c r="AM13" s="109"/>
      <c r="AN13" s="109"/>
      <c r="AO13" s="109"/>
      <c r="AP13" s="109"/>
      <c r="AQ13" s="109"/>
      <c r="AR13" s="116" t="str">
        <f t="shared" si="15"/>
        <v>正确</v>
      </c>
      <c r="AS13" s="116" t="str">
        <f t="shared" si="16"/>
        <v>不</v>
      </c>
      <c r="AT13" s="116" t="str">
        <f t="shared" si="17"/>
        <v>重复</v>
      </c>
      <c r="AU13" s="12" t="s">
        <v>159</v>
      </c>
      <c r="AV13" s="12" t="s">
        <v>51</v>
      </c>
    </row>
    <row r="14" s="12" customFormat="1" ht="18" customHeight="1" spans="1:48">
      <c r="A14" s="36">
        <v>11</v>
      </c>
      <c r="B14" s="37" t="s">
        <v>144</v>
      </c>
      <c r="C14" s="37" t="s">
        <v>178</v>
      </c>
      <c r="D14" s="37" t="s">
        <v>145</v>
      </c>
      <c r="E14" s="328" t="s">
        <v>179</v>
      </c>
      <c r="F14" s="38" t="s">
        <v>150</v>
      </c>
      <c r="G14" s="39" t="s">
        <v>180</v>
      </c>
      <c r="H14" s="40"/>
      <c r="I14" s="40"/>
      <c r="J14" s="69"/>
      <c r="K14" s="40"/>
      <c r="L14" s="70">
        <f>VLOOKUP(C14,[1]Sheet1!$B$2:$C$16,2,0)</f>
        <v>7000</v>
      </c>
      <c r="M14" s="71">
        <f>VLOOKUP(C14,[1]Sheet1!$B$2:$D$16,3,0)</f>
        <v>321.52</v>
      </c>
      <c r="N14" s="71">
        <f>VLOOKUP(C14,[1]Sheet1!$B$2:$F$16,5,0)</f>
        <v>120.38</v>
      </c>
      <c r="O14" s="71">
        <f>VLOOKUP(C14,[1]Sheet1!$B$1:$E$16,4,0)</f>
        <v>20.1</v>
      </c>
      <c r="P14" s="71">
        <f>VLOOKUP(C14,[1]Sheet1!$B$2:$H$16,7,0)</f>
        <v>97</v>
      </c>
      <c r="Q14" s="89">
        <f t="shared" si="10"/>
        <v>559</v>
      </c>
      <c r="R14" s="70">
        <v>0</v>
      </c>
      <c r="S14" s="90">
        <f>L14+IFERROR(VLOOKUP($E:$E,'（居民）工资表-4月'!$E:$S,15,0),0)</f>
        <v>7000</v>
      </c>
      <c r="T14" s="91">
        <f>5000+IFERROR(VLOOKUP($E:$E,'（居民）工资表-4月'!$E:$T,16,0),0)</f>
        <v>5000</v>
      </c>
      <c r="U14" s="91">
        <f>Q14+IFERROR(VLOOKUP($E:$E,'（居民）工资表-4月'!$E:$U,17,0),0)</f>
        <v>559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R14+IFERROR(VLOOKUP($E:$E,'（居民）工资表-4月'!$E:$AC,25,0),0)</f>
        <v>0</v>
      </c>
      <c r="AD14" s="95">
        <f t="shared" si="12"/>
        <v>1441</v>
      </c>
      <c r="AE14" s="96">
        <f>ROUND(MAX((AD14)*{0.03;0.1;0.2;0.25;0.3;0.35;0.45}-{0;2520;16920;31920;52920;85920;181920},0),2)</f>
        <v>43.23</v>
      </c>
      <c r="AF14" s="97">
        <f>IFERROR(VLOOKUP(E:E,'（居民）工资表-4月'!E:AF,28,0)+VLOOKUP(E:E,'（居民）工资表-4月'!E:AG,29,0),0)</f>
        <v>0</v>
      </c>
      <c r="AG14" s="97">
        <f t="shared" si="8"/>
        <v>43.23</v>
      </c>
      <c r="AH14" s="107">
        <f t="shared" si="9"/>
        <v>6397.77</v>
      </c>
      <c r="AI14" s="108"/>
      <c r="AJ14" s="107">
        <f t="shared" si="13"/>
        <v>6397.77</v>
      </c>
      <c r="AK14" s="109"/>
      <c r="AL14" s="107">
        <f t="shared" si="14"/>
        <v>6441</v>
      </c>
      <c r="AM14" s="109"/>
      <c r="AN14" s="109"/>
      <c r="AO14" s="109"/>
      <c r="AP14" s="109"/>
      <c r="AQ14" s="109"/>
      <c r="AR14" s="116" t="str">
        <f t="shared" si="15"/>
        <v>正确</v>
      </c>
      <c r="AS14" s="116" t="str">
        <f t="shared" si="16"/>
        <v>不</v>
      </c>
      <c r="AT14" s="116" t="str">
        <f t="shared" si="17"/>
        <v>重复</v>
      </c>
      <c r="AU14" s="12" t="s">
        <v>159</v>
      </c>
      <c r="AV14" s="12" t="s">
        <v>51</v>
      </c>
    </row>
    <row r="15" s="12" customFormat="1" ht="18" customHeight="1" spans="1:48">
      <c r="A15" s="36">
        <v>12</v>
      </c>
      <c r="B15" s="37" t="s">
        <v>144</v>
      </c>
      <c r="C15" s="37" t="s">
        <v>181</v>
      </c>
      <c r="D15" s="37" t="s">
        <v>145</v>
      </c>
      <c r="E15" s="328" t="s">
        <v>182</v>
      </c>
      <c r="F15" s="38" t="s">
        <v>150</v>
      </c>
      <c r="G15" s="39">
        <v>15855788591</v>
      </c>
      <c r="H15" s="40"/>
      <c r="I15" s="40"/>
      <c r="J15" s="69"/>
      <c r="K15" s="40"/>
      <c r="L15" s="70">
        <f>VLOOKUP(C15,[1]Sheet1!$B$2:$C$16,2,0)</f>
        <v>6060</v>
      </c>
      <c r="M15" s="71">
        <f>VLOOKUP(C15,[1]Sheet1!$B$2:$D$16,3,0)</f>
        <v>321.52</v>
      </c>
      <c r="N15" s="71">
        <f>VLOOKUP(C15,[1]Sheet1!$B$2:$F$16,5,0)</f>
        <v>89.09</v>
      </c>
      <c r="O15" s="71">
        <f>VLOOKUP(C15,[1]Sheet1!$B$1:$E$16,4,0)</f>
        <v>20.1</v>
      </c>
      <c r="P15" s="71">
        <f>VLOOKUP(C15,[1]Sheet1!$B$2:$H$16,7,0)</f>
        <v>97</v>
      </c>
      <c r="Q15" s="89">
        <f t="shared" si="10"/>
        <v>527.71</v>
      </c>
      <c r="R15" s="70">
        <v>0</v>
      </c>
      <c r="S15" s="90">
        <f>L15+IFERROR(VLOOKUP($E:$E,'（居民）工资表-4月'!$E:$S,15,0),0)</f>
        <v>6060</v>
      </c>
      <c r="T15" s="91">
        <f>5000+IFERROR(VLOOKUP($E:$E,'（居民）工资表-4月'!$E:$T,16,0),0)</f>
        <v>5000</v>
      </c>
      <c r="U15" s="91">
        <f>Q15+IFERROR(VLOOKUP($E:$E,'（居民）工资表-4月'!$E:$U,17,0),0)</f>
        <v>527.71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R15+IFERROR(VLOOKUP($E:$E,'（居民）工资表-4月'!$E:$AC,25,0),0)</f>
        <v>0</v>
      </c>
      <c r="AD15" s="95">
        <f t="shared" si="12"/>
        <v>532.29</v>
      </c>
      <c r="AE15" s="96">
        <f>ROUND(MAX((AD15)*{0.03;0.1;0.2;0.25;0.3;0.35;0.45}-{0;2520;16920;31920;52920;85920;181920},0),2)</f>
        <v>15.97</v>
      </c>
      <c r="AF15" s="97">
        <f>IFERROR(VLOOKUP(E:E,'（居民）工资表-4月'!E:AF,28,0)+VLOOKUP(E:E,'（居民）工资表-4月'!E:AG,29,0),0)</f>
        <v>0</v>
      </c>
      <c r="AG15" s="97">
        <f t="shared" si="8"/>
        <v>15.97</v>
      </c>
      <c r="AH15" s="107">
        <f t="shared" si="9"/>
        <v>5516.32</v>
      </c>
      <c r="AI15" s="108"/>
      <c r="AJ15" s="107">
        <f t="shared" si="13"/>
        <v>5516.32</v>
      </c>
      <c r="AK15" s="109"/>
      <c r="AL15" s="107">
        <f t="shared" si="14"/>
        <v>5532.29</v>
      </c>
      <c r="AM15" s="109"/>
      <c r="AN15" s="109"/>
      <c r="AO15" s="109"/>
      <c r="AP15" s="109"/>
      <c r="AQ15" s="109"/>
      <c r="AR15" s="116" t="str">
        <f t="shared" si="15"/>
        <v>正确</v>
      </c>
      <c r="AS15" s="116" t="str">
        <f t="shared" si="16"/>
        <v>不</v>
      </c>
      <c r="AT15" s="116" t="str">
        <f t="shared" si="17"/>
        <v>重复</v>
      </c>
      <c r="AU15" s="12" t="s">
        <v>159</v>
      </c>
      <c r="AV15" s="12" t="s">
        <v>51</v>
      </c>
    </row>
    <row r="16" s="12" customFormat="1" ht="18" customHeight="1" spans="1:48">
      <c r="A16" s="36">
        <v>13</v>
      </c>
      <c r="B16" s="37" t="s">
        <v>144</v>
      </c>
      <c r="C16" s="37" t="s">
        <v>183</v>
      </c>
      <c r="D16" s="37" t="s">
        <v>145</v>
      </c>
      <c r="E16" s="328" t="s">
        <v>184</v>
      </c>
      <c r="F16" s="38" t="s">
        <v>150</v>
      </c>
      <c r="G16" s="39"/>
      <c r="H16" s="40"/>
      <c r="I16" s="40"/>
      <c r="J16" s="69"/>
      <c r="K16" s="40"/>
      <c r="L16" s="70">
        <f>VLOOKUP(C16,[1]Sheet1!$B$2:$C$16,2,0)</f>
        <v>6000</v>
      </c>
      <c r="M16" s="71">
        <f>VLOOKUP(C16,[1]Sheet1!$B$2:$D$16,3,0)</f>
        <v>321.52</v>
      </c>
      <c r="N16" s="71">
        <f>VLOOKUP(C16,[1]Sheet1!$B$2:$F$16,5,0)</f>
        <v>80.38</v>
      </c>
      <c r="O16" s="71">
        <f>VLOOKUP(C16,[1]Sheet1!$B$1:$E$16,4,0)</f>
        <v>20.1</v>
      </c>
      <c r="P16" s="71">
        <f>VLOOKUP(C16,[1]Sheet1!$B$2:$H$16,7,0)</f>
        <v>103</v>
      </c>
      <c r="Q16" s="89">
        <f t="shared" si="10"/>
        <v>525</v>
      </c>
      <c r="R16" s="70">
        <v>0</v>
      </c>
      <c r="S16" s="90">
        <f>L16+IFERROR(VLOOKUP($E:$E,'（居民）工资表-4月'!$E:$S,15,0),0)</f>
        <v>24000</v>
      </c>
      <c r="T16" s="91">
        <f>5000+IFERROR(VLOOKUP($E:$E,'（居民）工资表-4月'!$E:$T,16,0),0)</f>
        <v>20000</v>
      </c>
      <c r="U16" s="91">
        <f>Q16+IFERROR(VLOOKUP($E:$E,'（居民）工资表-4月'!$E:$U,17,0),0)</f>
        <v>2165.52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R16+IFERROR(VLOOKUP($E:$E,'（居民）工资表-4月'!$E:$AC,25,0),0)</f>
        <v>0</v>
      </c>
      <c r="AD16" s="95">
        <f t="shared" si="12"/>
        <v>1834.48</v>
      </c>
      <c r="AE16" s="96">
        <f>ROUND(MAX((AD16)*{0.03;0.1;0.2;0.25;0.3;0.35;0.45}-{0;2520;16920;31920;52920;85920;181920},0),2)</f>
        <v>55.03</v>
      </c>
      <c r="AF16" s="97">
        <f>IFERROR(VLOOKUP(E:E,'（居民）工资表-4月'!E:AF,28,0)+VLOOKUP(E:E,'（居民）工资表-4月'!E:AG,29,0),0)</f>
        <v>40.78</v>
      </c>
      <c r="AG16" s="97">
        <f t="shared" si="8"/>
        <v>14.25</v>
      </c>
      <c r="AH16" s="107">
        <f t="shared" si="9"/>
        <v>5460.75</v>
      </c>
      <c r="AI16" s="108"/>
      <c r="AJ16" s="107">
        <f t="shared" si="13"/>
        <v>5460.75</v>
      </c>
      <c r="AK16" s="109"/>
      <c r="AL16" s="107">
        <f t="shared" si="14"/>
        <v>5475</v>
      </c>
      <c r="AM16" s="109"/>
      <c r="AN16" s="109"/>
      <c r="AO16" s="109"/>
      <c r="AP16" s="109"/>
      <c r="AQ16" s="109"/>
      <c r="AR16" s="116" t="str">
        <f t="shared" si="15"/>
        <v>正确</v>
      </c>
      <c r="AS16" s="116" t="str">
        <f t="shared" si="16"/>
        <v>不</v>
      </c>
      <c r="AT16" s="116" t="str">
        <f t="shared" si="17"/>
        <v>重复</v>
      </c>
      <c r="AU16" s="12" t="s">
        <v>159</v>
      </c>
      <c r="AV16" s="12" t="s">
        <v>51</v>
      </c>
    </row>
    <row r="17" s="12" customFormat="1" ht="18" customHeight="1" spans="1:48">
      <c r="A17" s="36">
        <v>14</v>
      </c>
      <c r="B17" s="37" t="s">
        <v>144</v>
      </c>
      <c r="C17" s="37" t="s">
        <v>185</v>
      </c>
      <c r="D17" s="37" t="s">
        <v>145</v>
      </c>
      <c r="E17" s="328" t="s">
        <v>186</v>
      </c>
      <c r="F17" s="38" t="s">
        <v>146</v>
      </c>
      <c r="G17" s="39">
        <v>15056587375</v>
      </c>
      <c r="H17" s="40"/>
      <c r="I17" s="40"/>
      <c r="J17" s="69"/>
      <c r="K17" s="40"/>
      <c r="L17" s="70">
        <f>VLOOKUP(C17,[1]Sheet1!$B$2:$C$16,2,0)</f>
        <v>10000</v>
      </c>
      <c r="M17" s="71">
        <f>VLOOKUP(C17,[1]Sheet1!$B$2:$D$16,3,0)</f>
        <v>321.52</v>
      </c>
      <c r="N17" s="71">
        <f>VLOOKUP(C17,[1]Sheet1!$B$2:$F$16,5,0)</f>
        <v>89.09</v>
      </c>
      <c r="O17" s="71">
        <f>VLOOKUP(C17,[1]Sheet1!$B$1:$E$16,4,0)</f>
        <v>20.1</v>
      </c>
      <c r="P17" s="71">
        <f>VLOOKUP(C17,[1]Sheet1!$B$2:$H$16,7,0)</f>
        <v>97</v>
      </c>
      <c r="Q17" s="89">
        <f t="shared" si="10"/>
        <v>527.71</v>
      </c>
      <c r="R17" s="70">
        <v>0</v>
      </c>
      <c r="S17" s="90">
        <f>L17+IFERROR(VLOOKUP($E:$E,'（居民）工资表-4月'!$E:$S,15,0),0)</f>
        <v>40000</v>
      </c>
      <c r="T17" s="91">
        <f>5000+IFERROR(VLOOKUP($E:$E,'（居民）工资表-4月'!$E:$T,16,0),0)</f>
        <v>20000</v>
      </c>
      <c r="U17" s="91">
        <f>Q17+IFERROR(VLOOKUP($E:$E,'（居民）工资表-4月'!$E:$U,17,0),0)</f>
        <v>2177.71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R17+IFERROR(VLOOKUP($E:$E,'（居民）工资表-4月'!$E:$AC,25,0),0)</f>
        <v>0</v>
      </c>
      <c r="AD17" s="95">
        <f t="shared" si="12"/>
        <v>17822.29</v>
      </c>
      <c r="AE17" s="96">
        <f>ROUND(MAX((AD17)*{0.03;0.1;0.2;0.25;0.3;0.35;0.45}-{0;2520;16920;31920;52920;85920;181920},0),2)</f>
        <v>534.67</v>
      </c>
      <c r="AF17" s="97">
        <f>IFERROR(VLOOKUP(E:E,'（居民）工资表-4月'!E:AF,28,0)+VLOOKUP(E:E,'（居民）工资表-4月'!E:AG,29,0),0)</f>
        <v>400.5</v>
      </c>
      <c r="AG17" s="97">
        <f t="shared" si="8"/>
        <v>134.17</v>
      </c>
      <c r="AH17" s="107">
        <f t="shared" si="9"/>
        <v>9338.12</v>
      </c>
      <c r="AI17" s="108"/>
      <c r="AJ17" s="107">
        <f t="shared" si="13"/>
        <v>9338.12</v>
      </c>
      <c r="AK17" s="109"/>
      <c r="AL17" s="107">
        <f t="shared" si="14"/>
        <v>9472.29</v>
      </c>
      <c r="AM17" s="109"/>
      <c r="AN17" s="109"/>
      <c r="AO17" s="109"/>
      <c r="AP17" s="109"/>
      <c r="AQ17" s="109"/>
      <c r="AR17" s="116" t="str">
        <f t="shared" si="15"/>
        <v>正确</v>
      </c>
      <c r="AS17" s="116" t="str">
        <f>IF(SUMPRODUCT(N(E$1:E$7=E17))&gt;1,"重复","不")</f>
        <v>不</v>
      </c>
      <c r="AT17" s="116" t="str">
        <f>IF(SUMPRODUCT(N(AO$1:AO$7=AO17))&gt;1,"重复","不")</f>
        <v>重复</v>
      </c>
      <c r="AU17" s="12" t="s">
        <v>164</v>
      </c>
      <c r="AV17" s="12" t="s">
        <v>51</v>
      </c>
    </row>
    <row r="18" s="12" customFormat="1" ht="18" customHeight="1" spans="1:48">
      <c r="A18" s="36">
        <v>15</v>
      </c>
      <c r="B18" s="37" t="s">
        <v>144</v>
      </c>
      <c r="C18" s="37" t="s">
        <v>187</v>
      </c>
      <c r="D18" s="37" t="s">
        <v>145</v>
      </c>
      <c r="E18" s="37" t="s">
        <v>188</v>
      </c>
      <c r="F18" s="38" t="s">
        <v>146</v>
      </c>
      <c r="G18" s="39">
        <v>13711361074</v>
      </c>
      <c r="H18" s="40"/>
      <c r="I18" s="40"/>
      <c r="J18" s="69"/>
      <c r="K18" s="40"/>
      <c r="L18" s="70">
        <f>VLOOKUP(C18,[1]Sheet1!$B$2:$C$16,2,0)</f>
        <v>6080</v>
      </c>
      <c r="M18" s="71">
        <f>VLOOKUP(C18,[1]Sheet1!$B$2:$D$16,3,0)</f>
        <v>337.92</v>
      </c>
      <c r="N18" s="71">
        <f>VLOOKUP(C18,[1]Sheet1!$B$2:$F$16,5,0)</f>
        <v>91.48</v>
      </c>
      <c r="O18" s="71">
        <f>VLOOKUP(C18,[1]Sheet1!$B$1:$E$16,4,0)</f>
        <v>12.67</v>
      </c>
      <c r="P18" s="71">
        <f>VLOOKUP(C18,[1]Sheet1!$B$2:$H$16,7,0)</f>
        <v>110.5</v>
      </c>
      <c r="Q18" s="89">
        <f t="shared" si="10"/>
        <v>552.57</v>
      </c>
      <c r="R18" s="70">
        <v>0</v>
      </c>
      <c r="S18" s="90">
        <f>L18+IFERROR(VLOOKUP($E:$E,'（居民）工资表-4月'!$E:$S,15,0),0)</f>
        <v>22420</v>
      </c>
      <c r="T18" s="91">
        <f>5000+IFERROR(VLOOKUP($E:$E,'（居民）工资表-4月'!$E:$T,16,0),0)</f>
        <v>20000</v>
      </c>
      <c r="U18" s="91">
        <f>Q18+IFERROR(VLOOKUP($E:$E,'（居民）工资表-4月'!$E:$U,17,0),0)</f>
        <v>1132.95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R18+IFERROR(VLOOKUP($E:$E,'（居民）工资表-4月'!$E:$AC,25,0),0)</f>
        <v>0</v>
      </c>
      <c r="AD18" s="95">
        <f t="shared" si="12"/>
        <v>1287.05</v>
      </c>
      <c r="AE18" s="96">
        <f>ROUND(MAX((AD18)*{0.03;0.1;0.2;0.25;0.3;0.35;0.45}-{0;2520;16920;31920;52920;85920;181920},0),2)</f>
        <v>38.61</v>
      </c>
      <c r="AF18" s="97">
        <f>IFERROR(VLOOKUP(E:E,'（居民）工资表-4月'!E:AF,28,0)+VLOOKUP(E:E,'（居民）工资表-4月'!E:AG,29,0),0)</f>
        <v>138.59</v>
      </c>
      <c r="AG18" s="97">
        <f t="shared" si="8"/>
        <v>0</v>
      </c>
      <c r="AH18" s="107">
        <f t="shared" si="9"/>
        <v>5527.43</v>
      </c>
      <c r="AI18" s="108"/>
      <c r="AJ18" s="107">
        <f t="shared" si="13"/>
        <v>5527.43</v>
      </c>
      <c r="AK18" s="109"/>
      <c r="AL18" s="107">
        <f t="shared" si="14"/>
        <v>5527.43</v>
      </c>
      <c r="AM18" s="109"/>
      <c r="AN18" s="109"/>
      <c r="AO18" s="109"/>
      <c r="AP18" s="109"/>
      <c r="AQ18" s="109"/>
      <c r="AR18" s="116" t="str">
        <f t="shared" si="15"/>
        <v>正确</v>
      </c>
      <c r="AS18" s="116" t="str">
        <f>IF(SUMPRODUCT(N(E$1:E$7=E18))&gt;1,"重复","不")</f>
        <v>不</v>
      </c>
      <c r="AT18" s="116" t="str">
        <f>IF(SUMPRODUCT(N(AO$1:AO$7=AO18))&gt;1,"重复","不")</f>
        <v>重复</v>
      </c>
      <c r="AU18" s="12" t="s">
        <v>159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189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Q20" si="18">SUM(L4:L18)</f>
        <v>131925.84</v>
      </c>
      <c r="M20" s="74">
        <f t="shared" si="18"/>
        <v>5262.9</v>
      </c>
      <c r="N20" s="74">
        <f t="shared" si="18"/>
        <v>1492.43</v>
      </c>
      <c r="O20" s="74">
        <f t="shared" si="18"/>
        <v>282.62</v>
      </c>
      <c r="P20" s="74">
        <f t="shared" si="18"/>
        <v>2412.9</v>
      </c>
      <c r="Q20" s="74">
        <f t="shared" si="18"/>
        <v>9450.85</v>
      </c>
      <c r="R20" s="74">
        <f t="shared" ref="R20:AL20" si="19">SUM(R4:R18)</f>
        <v>0</v>
      </c>
      <c r="S20" s="74">
        <f t="shared" si="19"/>
        <v>493694.55</v>
      </c>
      <c r="T20" s="74">
        <f t="shared" si="19"/>
        <v>270000</v>
      </c>
      <c r="U20" s="74">
        <f t="shared" si="19"/>
        <v>34510.46</v>
      </c>
      <c r="V20" s="74">
        <f t="shared" si="19"/>
        <v>0</v>
      </c>
      <c r="W20" s="74">
        <f t="shared" si="19"/>
        <v>0</v>
      </c>
      <c r="X20" s="74">
        <f t="shared" si="19"/>
        <v>0</v>
      </c>
      <c r="Y20" s="74">
        <f t="shared" si="19"/>
        <v>0</v>
      </c>
      <c r="Z20" s="74">
        <f t="shared" si="19"/>
        <v>0</v>
      </c>
      <c r="AA20" s="74">
        <f t="shared" si="19"/>
        <v>0</v>
      </c>
      <c r="AB20" s="74">
        <f t="shared" si="19"/>
        <v>0</v>
      </c>
      <c r="AC20" s="74">
        <f t="shared" si="19"/>
        <v>0</v>
      </c>
      <c r="AD20" s="74">
        <f t="shared" si="19"/>
        <v>189184.09</v>
      </c>
      <c r="AE20" s="74">
        <f t="shared" si="19"/>
        <v>10048.47</v>
      </c>
      <c r="AF20" s="74">
        <f t="shared" si="19"/>
        <v>7019.08</v>
      </c>
      <c r="AG20" s="74">
        <f t="shared" si="19"/>
        <v>3129.37</v>
      </c>
      <c r="AH20" s="74">
        <f t="shared" si="19"/>
        <v>119345.62</v>
      </c>
      <c r="AI20" s="74">
        <f t="shared" si="19"/>
        <v>0</v>
      </c>
      <c r="AJ20" s="74">
        <f t="shared" si="19"/>
        <v>119345.62</v>
      </c>
      <c r="AK20" s="74">
        <f t="shared" si="19"/>
        <v>0</v>
      </c>
      <c r="AL20" s="74">
        <f t="shared" si="19"/>
        <v>122474.99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133</v>
      </c>
      <c r="C24" s="47" t="s">
        <v>190</v>
      </c>
      <c r="D24" s="47" t="s">
        <v>22</v>
      </c>
      <c r="E24" s="47" t="s">
        <v>23</v>
      </c>
      <c r="AD24" s="10"/>
      <c r="AG24" s="19"/>
    </row>
    <row r="25" ht="18.75" customHeight="1" spans="2:5">
      <c r="B25" s="48">
        <f>AJ20</f>
        <v>119345.62</v>
      </c>
      <c r="C25" s="48">
        <f>AG20</f>
        <v>3129.37</v>
      </c>
      <c r="D25" s="48">
        <f>AK20</f>
        <v>0</v>
      </c>
      <c r="E25" s="48">
        <f>B25+C25</f>
        <v>122474.99</v>
      </c>
    </row>
    <row r="26" spans="2:5">
      <c r="B26" s="49"/>
      <c r="C26" s="49"/>
      <c r="D26" s="49"/>
      <c r="E26" s="49"/>
    </row>
    <row r="27" s="14" customFormat="1" spans="1:35">
      <c r="A27" s="51" t="s">
        <v>191</v>
      </c>
      <c r="B27" s="52" t="s">
        <v>192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193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194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196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197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198</v>
      </c>
    </row>
    <row r="35" spans="2:2">
      <c r="B35" s="59" t="s">
        <v>199</v>
      </c>
    </row>
    <row r="36" spans="2:2">
      <c r="B36" s="59" t="s">
        <v>200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6" stopIfTrue="1"/>
  </conditionalFormatting>
  <conditionalFormatting sqref="B27:B31">
    <cfRule type="duplicateValues" dxfId="4" priority="7" stopIfTrue="1"/>
  </conditionalFormatting>
  <conditionalFormatting sqref="B35:B36">
    <cfRule type="duplicateValues" dxfId="4" priority="5" stopIfTrue="1"/>
  </conditionalFormatting>
  <conditionalFormatting sqref="C24:C26">
    <cfRule type="duplicateValues" dxfId="4" priority="8" stopIfTrue="1"/>
    <cfRule type="expression" dxfId="5" priority="9" stopIfTrue="1">
      <formula>AND(COUNTIF($B$20:$B$65456,C24)+COUNTIF($B$1:$B$3,C24)&gt;1,NOT(ISBLANK(C24)))</formula>
    </cfRule>
    <cfRule type="expression" dxfId="5" priority="10" stopIfTrue="1">
      <formula>AND(COUNTIF($B$31:$B$65407,C24)+COUNTIF($B$1:$B$30,C24)&gt;1,NOT(ISBLANK(C24)))</formula>
    </cfRule>
    <cfRule type="expression" dxfId="5" priority="11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VLOOKUP(C4,[1]Sheet1!$B$2:$D$16,3,0)</f>
        <v>319.46</v>
      </c>
      <c r="N4" s="71">
        <f>VLOOKUP(C4,[1]Sheet1!$B$2:$F$16,5,0)</f>
        <v>79.86</v>
      </c>
      <c r="O4" s="71">
        <f>VLOOKUP(C4,[1]Sheet1!$B$1:$E$16,4,0)</f>
        <v>11.98</v>
      </c>
      <c r="P4" s="71">
        <f>VLOOKUP(C4,[1]Sheet1!$B$2:$H$16,7,0)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L4+IFERROR(VLOOKUP($E:$E,'（居民）工资表-5月'!$E:$S,15,0),0)</f>
        <v>40000</v>
      </c>
      <c r="T4" s="91">
        <f>5000+IFERROR(VLOOKUP($E:$E,'（居民）工资表-5月'!$E:$T,16,0),0)</f>
        <v>25000</v>
      </c>
      <c r="U4" s="91">
        <f>Q4+IFERROR(VLOOKUP($E:$E,'（居民）工资表-5月'!$E:$U,17,0),0)</f>
        <v>3040.49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5">
        <f>ROUND(S4-T4-U4-AB4-AC4,2)</f>
        <v>11959.51</v>
      </c>
      <c r="AE4" s="96">
        <f>ROUND(MAX((AD4)*{0.03;0.1;0.2;0.25;0.3;0.35;0.45}-{0;2520;16920;31920;52920;85920;181920},0),2)</f>
        <v>358.79</v>
      </c>
      <c r="AF4" s="97">
        <f>IFERROR(VLOOKUP(E:E,'（居民）工资表-5月'!E:AF,28,0)+VLOOKUP(E:E,'（居民）工资表-5月'!E:AG,29,0),0)</f>
        <v>286.45</v>
      </c>
      <c r="AG4" s="97">
        <f>IF((AE4-AF4)&lt;0,0,AE4-AF4)</f>
        <v>72.34</v>
      </c>
      <c r="AH4" s="107">
        <f>ROUND(IF((L4-Q4-AG4)&lt;0,0,(L4-Q4-AG4)),2)</f>
        <v>7338.96</v>
      </c>
      <c r="AI4" s="108"/>
      <c r="AJ4" s="107">
        <f>AH4+AI4</f>
        <v>7338.96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IF(SUMPRODUCT(N(E$1:E$19=E4))&gt;1,"重复","不")</f>
        <v>不</v>
      </c>
      <c r="AT4" s="116" t="str">
        <f>IF(SUMPRODUCT(N(AO$1:AO$19=AO4))&gt;1,"重复","不")</f>
        <v>重复</v>
      </c>
    </row>
    <row r="5" s="12" customFormat="1" ht="18" customHeight="1" spans="1:46">
      <c r="A5" s="36">
        <v>2</v>
      </c>
      <c r="B5" s="37" t="s">
        <v>144</v>
      </c>
      <c r="C5" s="37" t="s">
        <v>148</v>
      </c>
      <c r="D5" s="37" t="s">
        <v>145</v>
      </c>
      <c r="E5" s="328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VLOOKUP(C5,[1]Sheet1!$B$2:$D$16,3,0)</f>
        <v>422.72</v>
      </c>
      <c r="N5" s="71">
        <f>VLOOKUP(C5,[1]Sheet1!$B$2:$F$16,5,0)</f>
        <v>119.92</v>
      </c>
      <c r="O5" s="71">
        <f>VLOOKUP(C5,[1]Sheet1!$B$1:$E$16,4,0)</f>
        <v>4.6</v>
      </c>
      <c r="P5" s="71">
        <f>VLOOKUP(C5,[1]Sheet1!$B$2:$H$16,7,0)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L5+IFERROR(VLOOKUP($E:$E,'（居民）工资表-5月'!$E:$S,15,0),0)</f>
        <v>30280</v>
      </c>
      <c r="T5" s="91">
        <f>5000+IFERROR(VLOOKUP($E:$E,'（居民）工资表-5月'!$E:$T,16,0),0)</f>
        <v>25000</v>
      </c>
      <c r="U5" s="91">
        <f>Q5+IFERROR(VLOOKUP($E:$E,'（居民）工资表-5月'!$E:$U,17,0),0)</f>
        <v>3524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5">
        <f>ROUND(S5-T5-U5-AB5-AC5,2)</f>
        <v>1756</v>
      </c>
      <c r="AE5" s="96">
        <f>ROUND(MAX((AD5)*{0.03;0.1;0.2;0.25;0.3;0.35;0.45}-{0;2520;16920;31920;52920;85920;181920},0),2)</f>
        <v>52.68</v>
      </c>
      <c r="AF5" s="97">
        <f>IFERROR(VLOOKUP(E:E,'（居民）工资表-5月'!E:AF,28,0)+VLOOKUP(E:E,'（居民）工资表-5月'!E:AG,29,0),0)</f>
        <v>39.55</v>
      </c>
      <c r="AG5" s="97">
        <f>IF((AE5-AF5)&lt;0,0,AE5-AF5)</f>
        <v>13.13</v>
      </c>
      <c r="AH5" s="107">
        <f>ROUND(IF((L5-Q5-AG5)&lt;0,0,(L5-Q5-AG5)),2)</f>
        <v>5424.63</v>
      </c>
      <c r="AI5" s="108"/>
      <c r="AJ5" s="107">
        <f>AH5+AI5</f>
        <v>5424.63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IF(SUMPRODUCT(N(E$1:E$19=E5))&gt;1,"重复","不")</f>
        <v>不</v>
      </c>
      <c r="AT5" s="116" t="str">
        <f>IF(SUMPRODUCT(N(AO$1:AO$19=AO5))&gt;1,"重复","不")</f>
        <v>重复</v>
      </c>
    </row>
    <row r="6" s="12" customFormat="1" ht="18" customHeight="1" spans="1:46">
      <c r="A6" s="36">
        <v>3</v>
      </c>
      <c r="B6" s="37" t="s">
        <v>144</v>
      </c>
      <c r="C6" s="37" t="s">
        <v>151</v>
      </c>
      <c r="D6" s="37" t="s">
        <v>145</v>
      </c>
      <c r="E6" s="328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f>VLOOKUP(C6,[1]Sheet1!$B$2:$D$16,3,0)</f>
        <v>584.8</v>
      </c>
      <c r="N6" s="71">
        <f>VLOOKUP(C6,[1]Sheet1!$B$2:$F$16,5,0)</f>
        <v>146.2</v>
      </c>
      <c r="O6" s="71">
        <f>VLOOKUP(C6,[1]Sheet1!$B$1:$E$16,4,0)</f>
        <v>36.55</v>
      </c>
      <c r="P6" s="71">
        <f>VLOOKUP(C6,[1]Sheet1!$B$2:$H$16,7,0)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L6+IFERROR(VLOOKUP($E:$E,'（居民）工资表-5月'!$E:$S,15,0),0)</f>
        <v>150300</v>
      </c>
      <c r="T6" s="91">
        <f>5000+IFERROR(VLOOKUP($E:$E,'（居民）工资表-5月'!$E:$T,16,0),0)</f>
        <v>25000</v>
      </c>
      <c r="U6" s="91">
        <f>Q6+IFERROR(VLOOKUP($E:$E,'（居民）工资表-5月'!$E:$U,17,0),0)</f>
        <v>4787.06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5">
        <f>ROUND(S6-T6-U6-AB6-AC6,2)</f>
        <v>120512.94</v>
      </c>
      <c r="AE6" s="96">
        <f>ROUND(MAX((AD6)*{0.03;0.1;0.2;0.25;0.3;0.35;0.45}-{0;2520;16920;31920;52920;85920;181920},0),2)</f>
        <v>9531.29</v>
      </c>
      <c r="AF6" s="97">
        <f>IFERROR(VLOOKUP(E:E,'（居民）工资表-5月'!E:AF,28,0)+VLOOKUP(E:E,'（居民）工资表-5月'!E:AG,29,0),0)</f>
        <v>7120.15</v>
      </c>
      <c r="AG6" s="97">
        <f>IF((AE6-AF6)&lt;0,0,AE6-AF6)</f>
        <v>2411.14</v>
      </c>
      <c r="AH6" s="107">
        <f>ROUND(IF((L6-Q6-AG6)&lt;0,0,(L6-Q6-AG6)),2)</f>
        <v>26700.31</v>
      </c>
      <c r="AI6" s="108"/>
      <c r="AJ6" s="107">
        <f>AH6+AI6</f>
        <v>26700.31</v>
      </c>
      <c r="AK6" s="109"/>
      <c r="AL6" s="107">
        <f>AJ6+AG6+AK6</f>
        <v>29111.45</v>
      </c>
      <c r="AM6" s="109"/>
      <c r="AN6" s="109"/>
      <c r="AO6" s="109"/>
      <c r="AP6" s="109"/>
      <c r="AQ6" s="109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IF(SUMPRODUCT(N(E$1:E$19=E6))&gt;1,"重复","不")</f>
        <v>不</v>
      </c>
      <c r="AT6" s="116" t="str">
        <f>IF(SUMPRODUCT(N(AO$1:AO$19=AO6))&gt;1,"重复","不")</f>
        <v>重复</v>
      </c>
    </row>
    <row r="7" s="12" customFormat="1" ht="18" customHeight="1" spans="1:46">
      <c r="A7" s="36">
        <v>4</v>
      </c>
      <c r="B7" s="37" t="s">
        <v>144</v>
      </c>
      <c r="C7" s="37" t="s">
        <v>156</v>
      </c>
      <c r="D7" s="37" t="s">
        <v>145</v>
      </c>
      <c r="E7" s="328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f>VLOOKUP(C7,[1]Sheet1!$B$2:$D$16,3,0)</f>
        <v>321.52</v>
      </c>
      <c r="N7" s="71">
        <f>VLOOKUP(C7,[1]Sheet1!$B$2:$F$16,5,0)</f>
        <v>89.09</v>
      </c>
      <c r="O7" s="71">
        <f>VLOOKUP(C7,[1]Sheet1!$B$1:$E$16,4,0)</f>
        <v>20.1</v>
      </c>
      <c r="P7" s="71">
        <f>VLOOKUP(C7,[1]Sheet1!$B$2:$H$16,7,0)</f>
        <v>97</v>
      </c>
      <c r="Q7" s="89">
        <f t="shared" ref="Q7:Q18" si="0">ROUND(SUM(M7:P7),2)</f>
        <v>527.71</v>
      </c>
      <c r="R7" s="70">
        <v>0</v>
      </c>
      <c r="S7" s="90">
        <f>L7+IFERROR(VLOOKUP($E:$E,'（居民）工资表-5月'!$E:$S,15,0),0)</f>
        <v>45000</v>
      </c>
      <c r="T7" s="91">
        <f>5000+IFERROR(VLOOKUP($E:$E,'（居民）工资表-5月'!$E:$T,16,0),0)</f>
        <v>25000</v>
      </c>
      <c r="U7" s="91">
        <f>Q7+IFERROR(VLOOKUP($E:$E,'（居民）工资表-5月'!$E:$U,17,0),0)</f>
        <v>2705.42</v>
      </c>
      <c r="V7" s="70"/>
      <c r="W7" s="70"/>
      <c r="X7" s="70"/>
      <c r="Y7" s="70"/>
      <c r="Z7" s="70"/>
      <c r="AA7" s="70"/>
      <c r="AB7" s="90">
        <f t="shared" ref="AB7:AB18" si="1">ROUND(SUM(V7:AA7),2)</f>
        <v>0</v>
      </c>
      <c r="AC7" s="90">
        <f>R7+IFERROR(VLOOKUP($E:$E,'（居民）工资表-5月'!$E:$AC,25,0),0)</f>
        <v>0</v>
      </c>
      <c r="AD7" s="95">
        <f t="shared" ref="AD7:AD18" si="2">ROUND(S7-T7-U7-AB7-AC7,2)</f>
        <v>17294.58</v>
      </c>
      <c r="AE7" s="96">
        <f>ROUND(MAX((AD7)*{0.03;0.1;0.2;0.25;0.3;0.35;0.45}-{0;2520;16920;31920;52920;85920;181920},0),2)</f>
        <v>518.84</v>
      </c>
      <c r="AF7" s="97">
        <f>IFERROR(VLOOKUP(E:E,'（居民）工资表-5月'!E:AF,28,0)+VLOOKUP(E:E,'（居民）工资表-5月'!E:AG,29,0),0)</f>
        <v>414.67</v>
      </c>
      <c r="AG7" s="97">
        <f t="shared" ref="AG7:AG18" si="3">IF((AE7-AF7)&lt;0,0,AE7-AF7)</f>
        <v>104.17</v>
      </c>
      <c r="AH7" s="107">
        <f t="shared" ref="AH7:AH18" si="4">ROUND(IF((L7-Q7-AG7)&lt;0,0,(L7-Q7-AG7)),2)</f>
        <v>8368.12</v>
      </c>
      <c r="AI7" s="108"/>
      <c r="AJ7" s="107">
        <f t="shared" ref="AJ7:AJ18" si="5">AH7+AI7</f>
        <v>8368.12</v>
      </c>
      <c r="AK7" s="109"/>
      <c r="AL7" s="107">
        <f t="shared" ref="AL7:AL18" si="6">AJ7+AG7+AK7</f>
        <v>8472.29</v>
      </c>
      <c r="AM7" s="109"/>
      <c r="AN7" s="109"/>
      <c r="AO7" s="109"/>
      <c r="AP7" s="109"/>
      <c r="AQ7" s="109"/>
      <c r="AR7" s="116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 t="shared" ref="AS7:AS17" si="8">IF(SUMPRODUCT(N(E$1:E$19=E7))&gt;1,"重复","不")</f>
        <v>不</v>
      </c>
      <c r="AT7" s="116" t="str">
        <f t="shared" ref="AT7:AT17" si="9">IF(SUMPRODUCT(N(AO$1:AO$19=AO7))&gt;1,"重复","不")</f>
        <v>重复</v>
      </c>
    </row>
    <row r="8" s="12" customFormat="1" ht="18" customHeight="1" spans="1:46">
      <c r="A8" s="36">
        <v>5</v>
      </c>
      <c r="B8" s="37" t="s">
        <v>144</v>
      </c>
      <c r="C8" s="37" t="s">
        <v>160</v>
      </c>
      <c r="D8" s="37" t="s">
        <v>145</v>
      </c>
      <c r="E8" s="328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f>VLOOKUP(C8,[1]Sheet1!$B$2:$D$16,3,0)</f>
        <v>321.52</v>
      </c>
      <c r="N8" s="71">
        <f>VLOOKUP(C8,[1]Sheet1!$B$2:$F$16,5,0)</f>
        <v>86.38</v>
      </c>
      <c r="O8" s="71">
        <f>VLOOKUP(C8,[1]Sheet1!$B$1:$E$16,4,0)</f>
        <v>20.1</v>
      </c>
      <c r="P8" s="71">
        <f>VLOOKUP(C8,[1]Sheet1!$B$2:$H$16,7,0)</f>
        <v>344</v>
      </c>
      <c r="Q8" s="89">
        <f t="shared" si="0"/>
        <v>772</v>
      </c>
      <c r="R8" s="70">
        <v>0</v>
      </c>
      <c r="S8" s="90">
        <f>L8+IFERROR(VLOOKUP($E:$E,'（居民）工资表-5月'!$E:$S,15,0),0)</f>
        <v>52500</v>
      </c>
      <c r="T8" s="91">
        <f>5000+IFERROR(VLOOKUP($E:$E,'（居民）工资表-5月'!$E:$T,16,0),0)</f>
        <v>25000</v>
      </c>
      <c r="U8" s="91">
        <f>Q8+IFERROR(VLOOKUP($E:$E,'（居民）工资表-5月'!$E:$U,17,0),0)</f>
        <v>3925.52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R8+IFERROR(VLOOKUP($E:$E,'（居民）工资表-5月'!$E:$AC,25,0),0)</f>
        <v>0</v>
      </c>
      <c r="AD8" s="95">
        <f t="shared" si="2"/>
        <v>23574.48</v>
      </c>
      <c r="AE8" s="96">
        <f>ROUND(MAX((AD8)*{0.03;0.1;0.2;0.25;0.3;0.35;0.45}-{0;2520;16920;31920;52920;85920;181920},0),2)</f>
        <v>707.23</v>
      </c>
      <c r="AF8" s="97">
        <f>IFERROR(VLOOKUP(E:E,'（居民）工资表-5月'!E:AF,28,0)+VLOOKUP(E:E,'（居民）工资表-5月'!E:AG,29,0),0)</f>
        <v>565.39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144</v>
      </c>
      <c r="C9" s="37" t="s">
        <v>162</v>
      </c>
      <c r="D9" s="37" t="s">
        <v>145</v>
      </c>
      <c r="E9" s="328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VLOOKUP(C9,[1]Sheet1!$B$2:$D$16,3,0)</f>
        <v>324.24</v>
      </c>
      <c r="N9" s="71">
        <f>VLOOKUP(C9,[1]Sheet1!$B$2:$F$16,5,0)</f>
        <v>90.4</v>
      </c>
      <c r="O9" s="71">
        <f>VLOOKUP(C9,[1]Sheet1!$B$1:$E$16,4,0)</f>
        <v>12.16</v>
      </c>
      <c r="P9" s="71">
        <f>VLOOKUP(C9,[1]Sheet1!$B$2:$H$16,7,0)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L9+IFERROR(VLOOKUP($E:$E,'（居民）工资表-5月'!$E:$S,15,0),0)</f>
        <v>32500</v>
      </c>
      <c r="T9" s="91">
        <f>5000+IFERROR(VLOOKUP($E:$E,'（居民）工资表-5月'!$E:$T,16,0),0)</f>
        <v>25000</v>
      </c>
      <c r="U9" s="91">
        <f>Q9+IFERROR(VLOOKUP($E:$E,'（居民）工资表-5月'!$E:$U,17,0),0)</f>
        <v>2759.55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R9+IFERROR(VLOOKUP($E:$E,'（居民）工资表-5月'!$E:$AC,25,0),0)</f>
        <v>0</v>
      </c>
      <c r="AD9" s="95">
        <f t="shared" si="2"/>
        <v>4740.45</v>
      </c>
      <c r="AE9" s="96">
        <f>ROUND(MAX((AD9)*{0.03;0.1;0.2;0.25;0.3;0.35;0.45}-{0;2520;16920;31920;52920;85920;181920},0),2)</f>
        <v>142.21</v>
      </c>
      <c r="AF9" s="97">
        <f>IFERROR(VLOOKUP(E:E,'（居民）工资表-5月'!E:AF,28,0)+VLOOKUP(E:E,'（居民）工资表-5月'!E:AG,29,0),0)</f>
        <v>113.02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144</v>
      </c>
      <c r="C10" s="37" t="s">
        <v>165</v>
      </c>
      <c r="D10" s="37" t="s">
        <v>145</v>
      </c>
      <c r="E10" s="328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4525.84</v>
      </c>
      <c r="M10" s="71">
        <f>VLOOKUP(C10,[1]Sheet1!$B$2:$D$16,3,0)</f>
        <v>380.08</v>
      </c>
      <c r="N10" s="71">
        <f>VLOOKUP(C10,[1]Sheet1!$B$2:$F$16,5,0)</f>
        <v>117.02</v>
      </c>
      <c r="O10" s="71">
        <f>VLOOKUP(C10,[1]Sheet1!$B$1:$E$16,4,0)</f>
        <v>23.76</v>
      </c>
      <c r="P10" s="71">
        <f>VLOOKUP(C10,[1]Sheet1!$B$2:$H$16,7,0)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L10+IFERROR(VLOOKUP($E:$E,'（居民）工资表-5月'!$E:$S,15,0),0)</f>
        <v>22320.39</v>
      </c>
      <c r="T10" s="91">
        <f>5000+IFERROR(VLOOKUP($E:$E,'（居民）工资表-5月'!$E:$T,16,0),0)</f>
        <v>25000</v>
      </c>
      <c r="U10" s="91">
        <f>Q10+IFERROR(VLOOKUP($E:$E,'（居民）工资表-5月'!$E:$U,17,0),0)</f>
        <v>3252.83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R10+IFERROR(VLOOKUP($E:$E,'（居民）工资表-5月'!$E:$AC,25,0),0)</f>
        <v>0</v>
      </c>
      <c r="AD10" s="95">
        <f t="shared" si="2"/>
        <v>-5932.44</v>
      </c>
      <c r="AE10" s="96">
        <f>ROUND(MAX((AD10)*{0.03;0.1;0.2;0.25;0.3;0.35;0.45}-{0;2520;16920;31920;52920;85920;181920},0),2)</f>
        <v>0</v>
      </c>
      <c r="AF10" s="97">
        <f>IFERROR(VLOOKUP(E:E,'（居民）工资表-5月'!E:AF,28,0)+VLOOKUP(E:E,'（居民）工资表-5月'!E:AG,29,0),0)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144</v>
      </c>
      <c r="C11" s="37" t="s">
        <v>170</v>
      </c>
      <c r="D11" s="37" t="s">
        <v>145</v>
      </c>
      <c r="E11" s="328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8500</v>
      </c>
      <c r="M11" s="71">
        <f>VLOOKUP(C11,[1]Sheet1!$B$2:$D$16,3,0)</f>
        <v>321.52</v>
      </c>
      <c r="N11" s="71">
        <f>VLOOKUP(C11,[1]Sheet1!$B$2:$F$16,5,0)</f>
        <v>120.38</v>
      </c>
      <c r="O11" s="71">
        <f>VLOOKUP(C11,[1]Sheet1!$B$1:$E$16,4,0)</f>
        <v>20.1</v>
      </c>
      <c r="P11" s="71">
        <f>VLOOKUP(C11,[1]Sheet1!$B$2:$H$16,7,0)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L11+IFERROR(VLOOKUP($E:$E,'（居民）工资表-5月'!$E:$S,15,0),0)</f>
        <v>44000</v>
      </c>
      <c r="T11" s="91">
        <f>5000+IFERROR(VLOOKUP($E:$E,'（居民）工资表-5月'!$E:$T,16,0),0)</f>
        <v>25000</v>
      </c>
      <c r="U11" s="91">
        <f>Q11+IFERROR(VLOOKUP($E:$E,'（居民）工资表-5月'!$E:$U,17,0),0)</f>
        <v>2860.52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R11+IFERROR(VLOOKUP($E:$E,'（居民）工资表-5月'!$E:$AC,25,0),0)</f>
        <v>0</v>
      </c>
      <c r="AD11" s="95">
        <f t="shared" si="2"/>
        <v>16139.48</v>
      </c>
      <c r="AE11" s="96">
        <f>ROUND(MAX((AD11)*{0.03;0.1;0.2;0.25;0.3;0.35;0.45}-{0;2520;16920;31920;52920;85920;181920},0),2)</f>
        <v>484.18</v>
      </c>
      <c r="AF11" s="97">
        <f>IFERROR(VLOOKUP(E:E,'（居民）工资表-5月'!E:AF,28,0)+VLOOKUP(E:E,'（居民）工资表-5月'!E:AG,29,0),0)</f>
        <v>395.95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144</v>
      </c>
      <c r="C12" s="37" t="s">
        <v>174</v>
      </c>
      <c r="D12" s="37" t="s">
        <v>145</v>
      </c>
      <c r="E12" s="328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7000</v>
      </c>
      <c r="M12" s="71">
        <f>VLOOKUP(C12,[1]Sheet1!$B$2:$D$16,3,0)</f>
        <v>321.52</v>
      </c>
      <c r="N12" s="71">
        <f>VLOOKUP(C12,[1]Sheet1!$B$2:$F$16,5,0)</f>
        <v>86.38</v>
      </c>
      <c r="O12" s="71">
        <f>VLOOKUP(C12,[1]Sheet1!$B$1:$E$16,4,0)</f>
        <v>20.1</v>
      </c>
      <c r="P12" s="71">
        <f>VLOOKUP(C12,[1]Sheet1!$B$2:$H$16,7,0)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L12+IFERROR(VLOOKUP($E:$E,'（居民）工资表-5月'!$E:$S,15,0),0)</f>
        <v>36500</v>
      </c>
      <c r="T12" s="91">
        <f>5000+IFERROR(VLOOKUP($E:$E,'（居民）工资表-5月'!$E:$T,16,0),0)</f>
        <v>25000</v>
      </c>
      <c r="U12" s="91">
        <f>Q12+IFERROR(VLOOKUP($E:$E,'（居民）工资表-5月'!$E:$U,17,0),0)</f>
        <v>3925.52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R12+IFERROR(VLOOKUP($E:$E,'（居民）工资表-5月'!$E:$AC,25,0),0)</f>
        <v>0</v>
      </c>
      <c r="AD12" s="95">
        <f t="shared" si="2"/>
        <v>7574.48</v>
      </c>
      <c r="AE12" s="96">
        <f>ROUND(MAX((AD12)*{0.03;0.1;0.2;0.25;0.3;0.35;0.45}-{0;2520;16920;31920;52920;85920;181920},0),2)</f>
        <v>227.23</v>
      </c>
      <c r="AF12" s="97">
        <f>IFERROR(VLOOKUP(E:E,'（居民）工资表-5月'!E:AF,28,0)+VLOOKUP(E:E,'（居民）工资表-5月'!E:AG,29,0),0)</f>
        <v>190.39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144</v>
      </c>
      <c r="C13" s="37" t="s">
        <v>176</v>
      </c>
      <c r="D13" s="37" t="s">
        <v>145</v>
      </c>
      <c r="E13" s="328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7000</v>
      </c>
      <c r="M13" s="71">
        <f>VLOOKUP(C13,[1]Sheet1!$B$2:$D$16,3,0)</f>
        <v>321.52</v>
      </c>
      <c r="N13" s="71">
        <f>VLOOKUP(C13,[1]Sheet1!$B$2:$F$16,5,0)</f>
        <v>86.38</v>
      </c>
      <c r="O13" s="71">
        <f>VLOOKUP(C13,[1]Sheet1!$B$1:$E$16,4,0)</f>
        <v>20.1</v>
      </c>
      <c r="P13" s="71">
        <f>VLOOKUP(C13,[1]Sheet1!$B$2:$H$16,7,0)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L13+IFERROR(VLOOKUP($E:$E,'（居民）工资表-5月'!$E:$S,15,0),0)</f>
        <v>38000</v>
      </c>
      <c r="T13" s="91">
        <f>5000+IFERROR(VLOOKUP($E:$E,'（居民）工资表-5月'!$E:$T,16,0),0)</f>
        <v>25000</v>
      </c>
      <c r="U13" s="91">
        <f>Q13+IFERROR(VLOOKUP($E:$E,'（居民）工资表-5月'!$E:$U,17,0),0)</f>
        <v>3925.52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R13+IFERROR(VLOOKUP($E:$E,'（居民）工资表-5月'!$E:$AC,25,0),0)</f>
        <v>0</v>
      </c>
      <c r="AD13" s="95">
        <f t="shared" si="2"/>
        <v>9074.48</v>
      </c>
      <c r="AE13" s="96">
        <f>ROUND(MAX((AD13)*{0.03;0.1;0.2;0.25;0.3;0.35;0.45}-{0;2520;16920;31920;52920;85920;181920},0),2)</f>
        <v>272.23</v>
      </c>
      <c r="AF13" s="97">
        <f>IFERROR(VLOOKUP(E:E,'（居民）工资表-5月'!E:AF,28,0)+VLOOKUP(E:E,'（居民）工资表-5月'!E:AG,29,0),0)</f>
        <v>235.39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144</v>
      </c>
      <c r="C14" s="37" t="s">
        <v>178</v>
      </c>
      <c r="D14" s="37" t="s">
        <v>145</v>
      </c>
      <c r="E14" s="328" t="s">
        <v>179</v>
      </c>
      <c r="F14" s="38" t="s">
        <v>150</v>
      </c>
      <c r="G14" s="39" t="s">
        <v>180</v>
      </c>
      <c r="H14" s="40"/>
      <c r="I14" s="40"/>
      <c r="J14" s="69"/>
      <c r="K14" s="40"/>
      <c r="L14" s="70">
        <v>7000</v>
      </c>
      <c r="M14" s="71">
        <f>VLOOKUP(C14,[1]Sheet1!$B$2:$D$16,3,0)</f>
        <v>321.52</v>
      </c>
      <c r="N14" s="71">
        <f>VLOOKUP(C14,[1]Sheet1!$B$2:$F$16,5,0)</f>
        <v>120.38</v>
      </c>
      <c r="O14" s="71">
        <f>VLOOKUP(C14,[1]Sheet1!$B$1:$E$16,4,0)</f>
        <v>20.1</v>
      </c>
      <c r="P14" s="71">
        <f>VLOOKUP(C14,[1]Sheet1!$B$2:$H$16,7,0)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L14+IFERROR(VLOOKUP($E:$E,'（居民）工资表-5月'!$E:$S,15,0),0)</f>
        <v>14000</v>
      </c>
      <c r="T14" s="91">
        <f>5000+IFERROR(VLOOKUP($E:$E,'（居民）工资表-5月'!$E:$T,16,0),0)</f>
        <v>10000</v>
      </c>
      <c r="U14" s="91">
        <f>Q14+IFERROR(VLOOKUP($E:$E,'（居民）工资表-5月'!$E:$U,17,0),0)</f>
        <v>1118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R14+IFERROR(VLOOKUP($E:$E,'（居民）工资表-5月'!$E:$AC,25,0),0)</f>
        <v>0</v>
      </c>
      <c r="AD14" s="95">
        <f t="shared" si="2"/>
        <v>2882</v>
      </c>
      <c r="AE14" s="96">
        <f>ROUND(MAX((AD14)*{0.03;0.1;0.2;0.25;0.3;0.35;0.45}-{0;2520;16920;31920;52920;85920;181920},0),2)</f>
        <v>86.46</v>
      </c>
      <c r="AF14" s="97">
        <f>IFERROR(VLOOKUP(E:E,'（居民）工资表-5月'!E:AF,28,0)+VLOOKUP(E:E,'（居民）工资表-5月'!E:AG,29,0),0)</f>
        <v>43.23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144</v>
      </c>
      <c r="C15" s="37" t="s">
        <v>181</v>
      </c>
      <c r="D15" s="37" t="s">
        <v>145</v>
      </c>
      <c r="E15" s="328" t="s">
        <v>182</v>
      </c>
      <c r="F15" s="38" t="s">
        <v>150</v>
      </c>
      <c r="G15" s="39">
        <v>15855788591</v>
      </c>
      <c r="H15" s="40"/>
      <c r="I15" s="40"/>
      <c r="J15" s="69"/>
      <c r="K15" s="40"/>
      <c r="L15" s="70">
        <v>6060</v>
      </c>
      <c r="M15" s="71">
        <f>VLOOKUP(C15,[1]Sheet1!$B$2:$D$16,3,0)</f>
        <v>321.52</v>
      </c>
      <c r="N15" s="71">
        <f>VLOOKUP(C15,[1]Sheet1!$B$2:$F$16,5,0)</f>
        <v>89.09</v>
      </c>
      <c r="O15" s="71">
        <f>VLOOKUP(C15,[1]Sheet1!$B$1:$E$16,4,0)</f>
        <v>20.1</v>
      </c>
      <c r="P15" s="71">
        <f>VLOOKUP(C15,[1]Sheet1!$B$2:$H$16,7,0)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L15+IFERROR(VLOOKUP($E:$E,'（居民）工资表-5月'!$E:$S,15,0),0)</f>
        <v>12120</v>
      </c>
      <c r="T15" s="91">
        <f>5000+IFERROR(VLOOKUP($E:$E,'（居民）工资表-5月'!$E:$T,16,0),0)</f>
        <v>10000</v>
      </c>
      <c r="U15" s="91">
        <f>Q15+IFERROR(VLOOKUP($E:$E,'（居民）工资表-5月'!$E:$U,17,0),0)</f>
        <v>1055.42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R15+IFERROR(VLOOKUP($E:$E,'（居民）工资表-5月'!$E:$AC,25,0),0)</f>
        <v>0</v>
      </c>
      <c r="AD15" s="95">
        <f t="shared" si="2"/>
        <v>1064.58</v>
      </c>
      <c r="AE15" s="96">
        <f>ROUND(MAX((AD15)*{0.03;0.1;0.2;0.25;0.3;0.35;0.45}-{0;2520;16920;31920;52920;85920;181920},0),2)</f>
        <v>31.94</v>
      </c>
      <c r="AF15" s="97">
        <f>IFERROR(VLOOKUP(E:E,'（居民）工资表-5月'!E:AF,28,0)+VLOOKUP(E:E,'（居民）工资表-5月'!E:AG,29,0),0)</f>
        <v>15.97</v>
      </c>
      <c r="AG15" s="97">
        <f t="shared" si="3"/>
        <v>15.97</v>
      </c>
      <c r="AH15" s="107">
        <f t="shared" si="4"/>
        <v>5516.32</v>
      </c>
      <c r="AI15" s="108"/>
      <c r="AJ15" s="107">
        <f t="shared" si="5"/>
        <v>5516.32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144</v>
      </c>
      <c r="C16" s="37" t="s">
        <v>183</v>
      </c>
      <c r="D16" s="37" t="s">
        <v>145</v>
      </c>
      <c r="E16" s="328" t="s">
        <v>184</v>
      </c>
      <c r="F16" s="38" t="s">
        <v>150</v>
      </c>
      <c r="G16" s="39"/>
      <c r="H16" s="40"/>
      <c r="I16" s="40"/>
      <c r="J16" s="69"/>
      <c r="K16" s="40"/>
      <c r="L16" s="70">
        <v>6000</v>
      </c>
      <c r="M16" s="71">
        <f>VLOOKUP(C16,[1]Sheet1!$B$2:$D$16,3,0)</f>
        <v>321.52</v>
      </c>
      <c r="N16" s="71">
        <f>VLOOKUP(C16,[1]Sheet1!$B$2:$F$16,5,0)</f>
        <v>80.38</v>
      </c>
      <c r="O16" s="71">
        <f>VLOOKUP(C16,[1]Sheet1!$B$1:$E$16,4,0)</f>
        <v>20.1</v>
      </c>
      <c r="P16" s="71">
        <f>VLOOKUP(C16,[1]Sheet1!$B$2:$H$16,7,0)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L16+IFERROR(VLOOKUP($E:$E,'（居民）工资表-5月'!$E:$S,15,0),0)</f>
        <v>30000</v>
      </c>
      <c r="T16" s="91">
        <f>5000+IFERROR(VLOOKUP($E:$E,'（居民）工资表-5月'!$E:$T,16,0),0)</f>
        <v>25000</v>
      </c>
      <c r="U16" s="91">
        <f>Q16+IFERROR(VLOOKUP($E:$E,'（居民）工资表-5月'!$E:$U,17,0),0)</f>
        <v>2690.52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R16+IFERROR(VLOOKUP($E:$E,'（居民）工资表-5月'!$E:$AC,25,0),0)</f>
        <v>0</v>
      </c>
      <c r="AD16" s="95">
        <f t="shared" si="2"/>
        <v>2309.48</v>
      </c>
      <c r="AE16" s="96">
        <f>ROUND(MAX((AD16)*{0.03;0.1;0.2;0.25;0.3;0.35;0.45}-{0;2520;16920;31920;52920;85920;181920},0),2)</f>
        <v>69.28</v>
      </c>
      <c r="AF16" s="97">
        <f>IFERROR(VLOOKUP(E:E,'（居民）工资表-5月'!E:AF,28,0)+VLOOKUP(E:E,'（居民）工资表-5月'!E:AG,29,0),0)</f>
        <v>55.03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144</v>
      </c>
      <c r="C17" s="37" t="s">
        <v>185</v>
      </c>
      <c r="D17" s="37" t="s">
        <v>145</v>
      </c>
      <c r="E17" s="328" t="s">
        <v>186</v>
      </c>
      <c r="F17" s="38" t="s">
        <v>146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VLOOKUP(C17,[1]Sheet1!$B$2:$D$16,3,0)</f>
        <v>321.52</v>
      </c>
      <c r="N17" s="71">
        <f>VLOOKUP(C17,[1]Sheet1!$B$2:$F$16,5,0)</f>
        <v>89.09</v>
      </c>
      <c r="O17" s="71">
        <f>VLOOKUP(C17,[1]Sheet1!$B$1:$E$16,4,0)</f>
        <v>20.1</v>
      </c>
      <c r="P17" s="71">
        <f>VLOOKUP(C17,[1]Sheet1!$B$2:$H$16,7,0)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L17+IFERROR(VLOOKUP($E:$E,'（居民）工资表-5月'!$E:$S,15,0),0)</f>
        <v>50000</v>
      </c>
      <c r="T17" s="91">
        <f>5000+IFERROR(VLOOKUP($E:$E,'（居民）工资表-5月'!$E:$T,16,0),0)</f>
        <v>25000</v>
      </c>
      <c r="U17" s="91">
        <f>Q17+IFERROR(VLOOKUP($E:$E,'（居民）工资表-5月'!$E:$U,17,0),0)</f>
        <v>2705.42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R17+IFERROR(VLOOKUP($E:$E,'（居民）工资表-5月'!$E:$AC,25,0),0)</f>
        <v>0</v>
      </c>
      <c r="AD17" s="95">
        <f t="shared" si="2"/>
        <v>22294.58</v>
      </c>
      <c r="AE17" s="96">
        <f>ROUND(MAX((AD17)*{0.03;0.1;0.2;0.25;0.3;0.35;0.45}-{0;2520;16920;31920;52920;85920;181920},0),2)</f>
        <v>668.84</v>
      </c>
      <c r="AF17" s="97">
        <f>IFERROR(VLOOKUP(E:E,'（居民）工资表-5月'!E:AF,28,0)+VLOOKUP(E:E,'（居民）工资表-5月'!E:AG,29,0),0)</f>
        <v>534.67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</row>
    <row r="18" s="12" customFormat="1" ht="18" customHeight="1" spans="1:46">
      <c r="A18" s="36">
        <v>15</v>
      </c>
      <c r="B18" s="37" t="s">
        <v>144</v>
      </c>
      <c r="C18" s="37" t="s">
        <v>187</v>
      </c>
      <c r="D18" s="37" t="s">
        <v>145</v>
      </c>
      <c r="E18" s="37" t="s">
        <v>188</v>
      </c>
      <c r="F18" s="38" t="s">
        <v>146</v>
      </c>
      <c r="G18" s="39">
        <v>13711361074</v>
      </c>
      <c r="H18" s="40"/>
      <c r="I18" s="40"/>
      <c r="J18" s="69"/>
      <c r="K18" s="40"/>
      <c r="L18" s="70">
        <v>6080</v>
      </c>
      <c r="M18" s="71">
        <f>VLOOKUP(C18,[1]Sheet1!$B$2:$D$16,3,0)</f>
        <v>337.92</v>
      </c>
      <c r="N18" s="71">
        <f>VLOOKUP(C18,[1]Sheet1!$B$2:$F$16,5,0)</f>
        <v>91.48</v>
      </c>
      <c r="O18" s="71">
        <f>VLOOKUP(C18,[1]Sheet1!$B$1:$E$16,4,0)</f>
        <v>12.67</v>
      </c>
      <c r="P18" s="71">
        <f>VLOOKUP(C18,[1]Sheet1!$B$2:$H$16,7,0)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L18+IFERROR(VLOOKUP($E:$E,'（居民）工资表-5月'!$E:$S,15,0),0)</f>
        <v>28500</v>
      </c>
      <c r="T18" s="91">
        <f>5000+IFERROR(VLOOKUP($E:$E,'（居民）工资表-5月'!$E:$T,16,0),0)</f>
        <v>25000</v>
      </c>
      <c r="U18" s="91">
        <f>Q18+IFERROR(VLOOKUP($E:$E,'（居民）工资表-5月'!$E:$U,17,0),0)</f>
        <v>1685.52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R18+IFERROR(VLOOKUP($E:$E,'（居民）工资表-5月'!$E:$AC,25,0),0)</f>
        <v>0</v>
      </c>
      <c r="AD18" s="95">
        <f t="shared" si="2"/>
        <v>1814.48</v>
      </c>
      <c r="AE18" s="96">
        <f>ROUND(MAX((AD18)*{0.03;0.1;0.2;0.25;0.3;0.35;0.45}-{0;2520;16920;31920;52920;85920;181920},0),2)</f>
        <v>54.43</v>
      </c>
      <c r="AF18" s="97">
        <f>IFERROR(VLOOKUP(E:E,'（居民）工资表-5月'!E:AF,28,0)+VLOOKUP(E:E,'（居民）工资表-5月'!E:AG,29,0),0)</f>
        <v>138.59</v>
      </c>
      <c r="AG18" s="97">
        <f t="shared" si="3"/>
        <v>0</v>
      </c>
      <c r="AH18" s="107">
        <f t="shared" si="4"/>
        <v>5527.43</v>
      </c>
      <c r="AI18" s="108"/>
      <c r="AJ18" s="107">
        <f t="shared" si="5"/>
        <v>5527.43</v>
      </c>
      <c r="AK18" s="109"/>
      <c r="AL18" s="107">
        <f t="shared" si="6"/>
        <v>5527.43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IF(SUMPRODUCT(N(E$1:E$19=E18))&gt;1,"重复","不")</f>
        <v>不</v>
      </c>
      <c r="AT18" s="116" t="str">
        <f>IF(SUMPRODUCT(N(AO$1:AO$19=AO18))&gt;1,"重复","不")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189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AL20" si="10">SUM(L4:L19)</f>
        <v>132325.84</v>
      </c>
      <c r="M20" s="74">
        <f t="shared" si="10"/>
        <v>5262.9</v>
      </c>
      <c r="N20" s="74">
        <f t="shared" si="10"/>
        <v>1492.43</v>
      </c>
      <c r="O20" s="74">
        <f t="shared" si="10"/>
        <v>282.62</v>
      </c>
      <c r="P20" s="74">
        <f t="shared" si="10"/>
        <v>2412.9</v>
      </c>
      <c r="Q20" s="74">
        <f t="shared" si="10"/>
        <v>9450.85</v>
      </c>
      <c r="R20" s="74">
        <f t="shared" si="10"/>
        <v>0</v>
      </c>
      <c r="S20" s="74">
        <f t="shared" si="10"/>
        <v>626020.39</v>
      </c>
      <c r="T20" s="74">
        <f t="shared" si="10"/>
        <v>345000</v>
      </c>
      <c r="U20" s="74">
        <f t="shared" si="10"/>
        <v>43961.31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237059.08</v>
      </c>
      <c r="AE20" s="74">
        <f t="shared" si="10"/>
        <v>13205.63</v>
      </c>
      <c r="AF20" s="74">
        <f t="shared" si="10"/>
        <v>10148.45</v>
      </c>
      <c r="AG20" s="74">
        <f t="shared" si="10"/>
        <v>3141.34</v>
      </c>
      <c r="AH20" s="74">
        <f t="shared" si="10"/>
        <v>119733.65</v>
      </c>
      <c r="AI20" s="126">
        <f t="shared" si="10"/>
        <v>0</v>
      </c>
      <c r="AJ20" s="74">
        <f t="shared" si="10"/>
        <v>119733.65</v>
      </c>
      <c r="AK20" s="74">
        <f t="shared" si="10"/>
        <v>0</v>
      </c>
      <c r="AL20" s="74">
        <f t="shared" si="10"/>
        <v>122874.99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6">
      <c r="B24" s="47" t="s">
        <v>133</v>
      </c>
      <c r="C24" s="47" t="s">
        <v>190</v>
      </c>
      <c r="D24" s="47" t="s">
        <v>22</v>
      </c>
      <c r="E24" s="47" t="s">
        <v>23</v>
      </c>
      <c r="AD24" s="10"/>
      <c r="AJ24" s="15">
        <v>80</v>
      </c>
    </row>
    <row r="25" ht="18.75" customHeight="1" spans="2:5">
      <c r="B25" s="48">
        <f>AJ20</f>
        <v>119733.65</v>
      </c>
      <c r="C25" s="48">
        <f>AG20</f>
        <v>3141.34</v>
      </c>
      <c r="D25" s="48">
        <f>AK20</f>
        <v>0</v>
      </c>
      <c r="E25" s="48">
        <f>B25+C25+D25</f>
        <v>122874.99</v>
      </c>
    </row>
    <row r="26" spans="2:5">
      <c r="B26" s="49"/>
      <c r="C26" s="49"/>
      <c r="D26" s="49"/>
      <c r="E26" s="49"/>
    </row>
    <row r="27" s="14" customFormat="1" spans="1:35">
      <c r="A27" s="51" t="s">
        <v>191</v>
      </c>
      <c r="B27" s="52" t="s">
        <v>192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193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194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196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197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198</v>
      </c>
    </row>
    <row r="35" spans="2:2">
      <c r="B35" s="59" t="s">
        <v>199</v>
      </c>
    </row>
    <row r="36" spans="2:2">
      <c r="B36" s="59" t="s">
        <v>200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$A18:$XFD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349.59</v>
      </c>
      <c r="N4" s="71">
        <v>98.7</v>
      </c>
      <c r="O4" s="71">
        <v>14.8</v>
      </c>
      <c r="P4" s="71">
        <v>177.4</v>
      </c>
      <c r="Q4" s="89">
        <f>ROUND(SUM(M4:P4),2)</f>
        <v>640.49</v>
      </c>
      <c r="R4" s="70">
        <v>0</v>
      </c>
      <c r="S4" s="90">
        <f>L4+IFERROR(VLOOKUP($E:$E,'（居民）工资表-7月'!$E:$S,15,0),0)</f>
        <v>56000</v>
      </c>
      <c r="T4" s="91">
        <f>5000+IFERROR(VLOOKUP($E:$E,'（居民）工资表-7月'!$E:$T,16,0),0)</f>
        <v>35000</v>
      </c>
      <c r="U4" s="91">
        <f>Q4+IFERROR(VLOOKUP($E:$E,'（居民）工资表-7月'!$E:$U,17,0),0)</f>
        <v>4269.68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5">
        <f>ROUND(S4-T4-U4-AB4-AC4,2)</f>
        <v>16730.32</v>
      </c>
      <c r="AE4" s="96">
        <f>ROUND(MAX((AD4)*{0.03;0.1;0.2;0.25;0.3;0.35;0.45}-{0;2520;16920;31920;52920;85920;181920},0),2)</f>
        <v>501.91</v>
      </c>
      <c r="AF4" s="97">
        <f>IFERROR(VLOOKUP(E:E,'（居民）工资表-7月'!E:AF,28,0)+VLOOKUP(E:E,'（居民）工资表-7月'!E:AG,29,0),0)</f>
        <v>358.79</v>
      </c>
      <c r="AG4" s="97">
        <f>IF((AE4-AF4)&lt;0,0,AE4-AF4)</f>
        <v>143.12</v>
      </c>
      <c r="AH4" s="107">
        <f>ROUND(IF((L4-Q4-AG4)&lt;0,0,(L4-Q4-AG4)),2)</f>
        <v>7216.39</v>
      </c>
      <c r="AI4" s="108"/>
      <c r="AJ4" s="107">
        <f>AH4+AI4</f>
        <v>7216.39</v>
      </c>
      <c r="AK4" s="109"/>
      <c r="AL4" s="107">
        <f>AJ4+AG4+AK4</f>
        <v>7359.51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IF(SUMPRODUCT(N(E$1:E$18=E4))&gt;1,"重复","不")</f>
        <v>不</v>
      </c>
      <c r="AT4" s="116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144</v>
      </c>
      <c r="C5" s="37" t="s">
        <v>148</v>
      </c>
      <c r="D5" s="37" t="s">
        <v>145</v>
      </c>
      <c r="E5" s="328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L5+IFERROR(VLOOKUP($E:$E,'（居民）工资表-7月'!$E:$S,15,0),0)</f>
        <v>42480</v>
      </c>
      <c r="T5" s="91">
        <f>5000+IFERROR(VLOOKUP($E:$E,'（居民）工资表-7月'!$E:$T,16,0),0)</f>
        <v>35000</v>
      </c>
      <c r="U5" s="91">
        <f>Q5+IFERROR(VLOOKUP($E:$E,'（居民）工资表-7月'!$E:$U,17,0),0)</f>
        <v>4848.48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5">
        <f>ROUND(S5-T5-U5-AB5-AC5,2)</f>
        <v>2631.52</v>
      </c>
      <c r="AE5" s="96">
        <f>ROUND(MAX((AD5)*{0.03;0.1;0.2;0.25;0.3;0.35;0.45}-{0;2520;16920;31920;52920;85920;181920},0),2)</f>
        <v>78.95</v>
      </c>
      <c r="AF5" s="97">
        <f>IFERROR(VLOOKUP(E:E,'（居民）工资表-7月'!E:AF,28,0)+VLOOKUP(E:E,'（居民）工资表-7月'!E:AG,29,0),0)</f>
        <v>52.68</v>
      </c>
      <c r="AG5" s="97">
        <f>IF((AE5-AF5)&lt;0,0,AE5-AF5)</f>
        <v>26.27</v>
      </c>
      <c r="AH5" s="107">
        <f>ROUND(IF((L5-Q5-AG5)&lt;0,0,(L5-Q5-AG5)),2)</f>
        <v>5411.49</v>
      </c>
      <c r="AI5" s="108"/>
      <c r="AJ5" s="107">
        <f>AH5+AI5</f>
        <v>5411.49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IF(SUMPRODUCT(N(E$1:E$18=E5))&gt;1,"重复","不")</f>
        <v>不</v>
      </c>
      <c r="AT5" s="116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144</v>
      </c>
      <c r="C6" s="37" t="s">
        <v>151</v>
      </c>
      <c r="D6" s="37" t="s">
        <v>145</v>
      </c>
      <c r="E6" s="328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596.64</v>
      </c>
      <c r="N6" s="71">
        <v>149.16</v>
      </c>
      <c r="O6" s="71">
        <v>37.29</v>
      </c>
      <c r="P6" s="71">
        <v>181</v>
      </c>
      <c r="Q6" s="89">
        <f t="shared" ref="Q6:Q19" si="0">ROUND(SUM(M6:P6),2)</f>
        <v>964.09</v>
      </c>
      <c r="R6" s="70">
        <v>0</v>
      </c>
      <c r="S6" s="90">
        <f>L6+IFERROR(VLOOKUP($E:$E,'（居民）工资表-7月'!$E:$S,15,0),0)</f>
        <v>210420</v>
      </c>
      <c r="T6" s="91">
        <f>5000+IFERROR(VLOOKUP($E:$E,'（居民）工资表-7月'!$E:$T,16,0),0)</f>
        <v>35000</v>
      </c>
      <c r="U6" s="91">
        <f>Q6+IFERROR(VLOOKUP($E:$E,'（居民）工资表-7月'!$E:$U,17,0),0)</f>
        <v>6699.7</v>
      </c>
      <c r="V6" s="70"/>
      <c r="W6" s="70"/>
      <c r="X6" s="70"/>
      <c r="Y6" s="70"/>
      <c r="Z6" s="70"/>
      <c r="AA6" s="70"/>
      <c r="AB6" s="90">
        <f t="shared" ref="AB6:AB19" si="1">ROUND(SUM(V6:AA6),2)</f>
        <v>0</v>
      </c>
      <c r="AC6" s="90">
        <f>R6+IFERROR(VLOOKUP($E:$E,'（居民）工资表-7月'!$E:$AC,25,0),0)</f>
        <v>0</v>
      </c>
      <c r="AD6" s="95">
        <f t="shared" ref="AD6:AD19" si="2">ROUND(S6-T6-U6-AB6-AC6,2)</f>
        <v>168720.3</v>
      </c>
      <c r="AE6" s="96">
        <f>ROUND(MAX((AD6)*{0.03;0.1;0.2;0.25;0.3;0.35;0.45}-{0;2520;16920;31920;52920;85920;181920},0),2)</f>
        <v>16824.06</v>
      </c>
      <c r="AF6" s="97">
        <f>IFERROR(VLOOKUP(E:E,'（居民）工资表-7月'!E:AF,28,0)+VLOOKUP(E:E,'（居民）工资表-7月'!E:AG,29,0),0)</f>
        <v>10892.44</v>
      </c>
      <c r="AG6" s="97">
        <f t="shared" ref="AG6:AG19" si="3">IF((AE6-AF6)&lt;0,0,AE6-AF6)</f>
        <v>5931.62</v>
      </c>
      <c r="AH6" s="107">
        <f t="shared" ref="AH6:AH19" si="4">ROUND(IF((L6-Q6-AG6)&lt;0,0,(L6-Q6-AG6)),2)</f>
        <v>23164.29</v>
      </c>
      <c r="AI6" s="108"/>
      <c r="AJ6" s="107">
        <f t="shared" ref="AJ6:AJ19" si="5">AH6+AI6</f>
        <v>23164.29</v>
      </c>
      <c r="AK6" s="109"/>
      <c r="AL6" s="107">
        <f t="shared" ref="AL6:AL19" si="6">AJ6+AG6+AK6</f>
        <v>29095.91</v>
      </c>
      <c r="AM6" s="109"/>
      <c r="AN6" s="109"/>
      <c r="AO6" s="109"/>
      <c r="AP6" s="109"/>
      <c r="AQ6" s="109"/>
      <c r="AR6" s="116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6" si="8">IF(SUMPRODUCT(N(E$1:E$18=E6))&gt;1,"重复","不")</f>
        <v>不</v>
      </c>
      <c r="AT6" s="116" t="str">
        <f t="shared" ref="AT6:AT16" si="9">IF(SUMPRODUCT(N(AO$1:AO$18=AO6))&gt;1,"重复","不")</f>
        <v>重复</v>
      </c>
    </row>
    <row r="7" s="12" customFormat="1" ht="18" customHeight="1" spans="1:46">
      <c r="A7" s="36">
        <v>4</v>
      </c>
      <c r="B7" s="37" t="s">
        <v>144</v>
      </c>
      <c r="C7" s="37" t="s">
        <v>156</v>
      </c>
      <c r="D7" s="37" t="s">
        <v>145</v>
      </c>
      <c r="E7" s="328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10000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L7+IFERROR(VLOOKUP($E:$E,'（居民）工资表-7月'!$E:$S,15,0),0)</f>
        <v>66000</v>
      </c>
      <c r="T7" s="91">
        <f>5000+IFERROR(VLOOKUP($E:$E,'（居民）工资表-7月'!$E:$T,16,0),0)</f>
        <v>35000</v>
      </c>
      <c r="U7" s="91">
        <f>Q7+IFERROR(VLOOKUP($E:$E,'（居民）工资表-7月'!$E:$U,17,0),0)</f>
        <v>3760.84</v>
      </c>
      <c r="V7" s="70"/>
      <c r="W7" s="70"/>
      <c r="Y7" s="70"/>
      <c r="Z7" s="70"/>
      <c r="AA7" s="70"/>
      <c r="AB7" s="90">
        <f t="shared" si="1"/>
        <v>0</v>
      </c>
      <c r="AC7" s="90">
        <f>R7+IFERROR(VLOOKUP($E:$E,'（居民）工资表-7月'!$E:$AC,25,0),0)</f>
        <v>0</v>
      </c>
      <c r="AD7" s="95">
        <f t="shared" si="2"/>
        <v>27239.16</v>
      </c>
      <c r="AE7" s="96">
        <f>ROUND(MAX((AD7)*{0.03;0.1;0.2;0.25;0.3;0.35;0.45}-{0;2520;16920;31920;52920;85920;181920},0),2)</f>
        <v>817.17</v>
      </c>
      <c r="AF7" s="97">
        <f>IFERROR(VLOOKUP(E:E,'（居民）工资表-7月'!E:AF,28,0)+VLOOKUP(E:E,'（居民）工资表-7月'!E:AG,29,0),0)</f>
        <v>533.01</v>
      </c>
      <c r="AG7" s="97">
        <f t="shared" si="3"/>
        <v>284.16</v>
      </c>
      <c r="AH7" s="107">
        <f t="shared" si="4"/>
        <v>9188.13</v>
      </c>
      <c r="AI7" s="108"/>
      <c r="AJ7" s="107">
        <f t="shared" si="5"/>
        <v>9188.13</v>
      </c>
      <c r="AK7" s="109"/>
      <c r="AL7" s="107">
        <f t="shared" si="6"/>
        <v>9472.29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144</v>
      </c>
      <c r="C8" s="37" t="s">
        <v>160</v>
      </c>
      <c r="D8" s="37" t="s">
        <v>145</v>
      </c>
      <c r="E8" s="328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11500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L8+IFERROR(VLOOKUP($E:$E,'（居民）工资表-7月'!$E:$S,15,0),0)</f>
        <v>76500</v>
      </c>
      <c r="T8" s="91">
        <f>5000+IFERROR(VLOOKUP($E:$E,'（居民）工资表-7月'!$E:$T,16,0),0)</f>
        <v>35000</v>
      </c>
      <c r="U8" s="91">
        <f>Q8+IFERROR(VLOOKUP($E:$E,'（居民）工资表-7月'!$E:$U,17,0),0)</f>
        <v>5469.52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R8+IFERROR(VLOOKUP($E:$E,'（居民）工资表-7月'!$E:$AC,25,0),0)</f>
        <v>0</v>
      </c>
      <c r="AD8" s="95">
        <f t="shared" si="2"/>
        <v>36030.48</v>
      </c>
      <c r="AE8" s="96">
        <f>ROUND(MAX((AD8)*{0.03;0.1;0.2;0.25;0.3;0.35;0.45}-{0;2520;16920;31920;52920;85920;181920},0),2)</f>
        <v>1083.05</v>
      </c>
      <c r="AF8" s="97">
        <f>IFERROR(VLOOKUP(E:E,'（居民）工资表-7月'!E:AF,28,0)+VLOOKUP(E:E,'（居民）工资表-7月'!E:AG,29,0),0)</f>
        <v>909.07</v>
      </c>
      <c r="AG8" s="97">
        <f t="shared" si="3"/>
        <v>173.98</v>
      </c>
      <c r="AH8" s="107">
        <f t="shared" si="4"/>
        <v>10554.02</v>
      </c>
      <c r="AI8" s="108"/>
      <c r="AJ8" s="107">
        <f t="shared" si="5"/>
        <v>10554.02</v>
      </c>
      <c r="AK8" s="109"/>
      <c r="AL8" s="107">
        <f t="shared" si="6"/>
        <v>10728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144</v>
      </c>
      <c r="C9" s="37" t="s">
        <v>162</v>
      </c>
      <c r="D9" s="37" t="s">
        <v>145</v>
      </c>
      <c r="E9" s="328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L9+IFERROR(VLOOKUP($E:$E,'（居民）工资表-7月'!$E:$S,15,0),0)</f>
        <v>45500</v>
      </c>
      <c r="T9" s="91">
        <f>5000+IFERROR(VLOOKUP($E:$E,'（居民）工资表-7月'!$E:$T,16,0),0)</f>
        <v>35000</v>
      </c>
      <c r="U9" s="91">
        <f>Q9+IFERROR(VLOOKUP($E:$E,'（居民）工资表-7月'!$E:$U,17,0),0)</f>
        <v>3813.15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R9+IFERROR(VLOOKUP($E:$E,'（居民）工资表-7月'!$E:$AC,25,0),0)</f>
        <v>0</v>
      </c>
      <c r="AD9" s="95">
        <f t="shared" si="2"/>
        <v>6686.85</v>
      </c>
      <c r="AE9" s="96">
        <f>ROUND(MAX((AD9)*{0.03;0.1;0.2;0.25;0.3;0.35;0.45}-{0;2520;16920;31920;52920;85920;181920},0),2)</f>
        <v>200.61</v>
      </c>
      <c r="AF9" s="97">
        <f>IFERROR(VLOOKUP(E:E,'（居民）工资表-7月'!E:AF,28,0)+VLOOKUP(E:E,'（居民）工资表-7月'!E:AG,29,0),0)</f>
        <v>171.41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144</v>
      </c>
      <c r="C10" s="37" t="s">
        <v>165</v>
      </c>
      <c r="D10" s="37" t="s">
        <v>145</v>
      </c>
      <c r="E10" s="328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4440.97</v>
      </c>
      <c r="M10" s="71">
        <v>401.04</v>
      </c>
      <c r="N10" s="71">
        <v>122.26</v>
      </c>
      <c r="O10" s="71">
        <v>25.07</v>
      </c>
      <c r="P10" s="71">
        <v>123</v>
      </c>
      <c r="Q10" s="89">
        <f t="shared" si="0"/>
        <v>671.37</v>
      </c>
      <c r="R10" s="70">
        <v>0</v>
      </c>
      <c r="S10" s="90">
        <f>L10+IFERROR(VLOOKUP($E:$E,'（居民）工资表-7月'!$E:$S,15,0),0)</f>
        <v>31287.2</v>
      </c>
      <c r="T10" s="91">
        <f>5000+IFERROR(VLOOKUP($E:$E,'（居民）工资表-7月'!$E:$T,16,0),0)</f>
        <v>35000</v>
      </c>
      <c r="U10" s="91">
        <f>Q10+IFERROR(VLOOKUP($E:$E,'（居民）工资表-7月'!$E:$U,17,0),0)</f>
        <v>4554.06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R10+IFERROR(VLOOKUP($E:$E,'（居民）工资表-7月'!$E:$AC,25,0),0)</f>
        <v>0</v>
      </c>
      <c r="AD10" s="95">
        <f t="shared" si="2"/>
        <v>-8266.86</v>
      </c>
      <c r="AE10" s="96">
        <f>ROUND(MAX((AD10)*{0.03;0.1;0.2;0.25;0.3;0.35;0.45}-{0;2520;16920;31920;52920;85920;181920},0),2)</f>
        <v>0</v>
      </c>
      <c r="AF10" s="97">
        <f>IFERROR(VLOOKUP(E:E,'（居民）工资表-7月'!E:AF,28,0)+VLOOKUP(E:E,'（居民）工资表-7月'!E:AG,29,0),0)</f>
        <v>0</v>
      </c>
      <c r="AG10" s="97">
        <f t="shared" si="3"/>
        <v>0</v>
      </c>
      <c r="AH10" s="107">
        <f t="shared" si="4"/>
        <v>3769.6</v>
      </c>
      <c r="AI10" s="108"/>
      <c r="AJ10" s="107">
        <f t="shared" si="5"/>
        <v>3769.6</v>
      </c>
      <c r="AK10" s="109"/>
      <c r="AL10" s="107">
        <f t="shared" si="6"/>
        <v>3769.6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144</v>
      </c>
      <c r="C11" s="37" t="s">
        <v>170</v>
      </c>
      <c r="D11" s="37" t="s">
        <v>145</v>
      </c>
      <c r="E11" s="328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L11+IFERROR(VLOOKUP($E:$E,'（居民）工资表-7月'!$E:$S,15,0),0)</f>
        <v>62500</v>
      </c>
      <c r="T11" s="91">
        <f>5000+IFERROR(VLOOKUP($E:$E,'（居民）工资表-7月'!$E:$T,16,0),0)</f>
        <v>35000</v>
      </c>
      <c r="U11" s="91">
        <f>Q11+IFERROR(VLOOKUP($E:$E,'（居民）工资表-7月'!$E:$U,17,0),0)</f>
        <v>3978.52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R11+IFERROR(VLOOKUP($E:$E,'（居民）工资表-7月'!$E:$AC,25,0),0)</f>
        <v>0</v>
      </c>
      <c r="AD11" s="95">
        <f t="shared" si="2"/>
        <v>23521.48</v>
      </c>
      <c r="AE11" s="96">
        <f>ROUND(MAX((AD11)*{0.03;0.1;0.2;0.25;0.3;0.35;0.45}-{0;2520;16920;31920;52920;85920;181920},0),2)</f>
        <v>705.64</v>
      </c>
      <c r="AF11" s="97">
        <f>IFERROR(VLOOKUP(E:E,'（居民）工资表-7月'!E:AF,28,0)+VLOOKUP(E:E,'（居民）工资表-7月'!E:AG,29,0),0)</f>
        <v>602.41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144</v>
      </c>
      <c r="C12" s="37" t="s">
        <v>174</v>
      </c>
      <c r="D12" s="37" t="s">
        <v>145</v>
      </c>
      <c r="E12" s="328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L12+IFERROR(VLOOKUP($E:$E,'（居民）工资表-7月'!$E:$S,15,0),0)</f>
        <v>52000</v>
      </c>
      <c r="T12" s="91">
        <f>5000+IFERROR(VLOOKUP($E:$E,'（居民）工资表-7月'!$E:$T,16,0),0)</f>
        <v>35000</v>
      </c>
      <c r="U12" s="91">
        <f>Q12+IFERROR(VLOOKUP($E:$E,'（居民）工资表-7月'!$E:$U,17,0),0)</f>
        <v>5469.52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R12+IFERROR(VLOOKUP($E:$E,'（居民）工资表-7月'!$E:$AC,25,0),0)</f>
        <v>0</v>
      </c>
      <c r="AD12" s="95">
        <f t="shared" si="2"/>
        <v>11530.48</v>
      </c>
      <c r="AE12" s="96">
        <f>ROUND(MAX((AD12)*{0.03;0.1;0.2;0.25;0.3;0.35;0.45}-{0;2520;16920;31920;52920;85920;181920},0),2)</f>
        <v>345.91</v>
      </c>
      <c r="AF12" s="97">
        <f>IFERROR(VLOOKUP(E:E,'（居民）工资表-7月'!E:AF,28,0)+VLOOKUP(E:E,'（居民）工资表-7月'!E:AG,29,0),0)</f>
        <v>294.07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144</v>
      </c>
      <c r="C13" s="37" t="s">
        <v>176</v>
      </c>
      <c r="D13" s="37" t="s">
        <v>145</v>
      </c>
      <c r="E13" s="328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L13+IFERROR(VLOOKUP($E:$E,'（居民）工资表-7月'!$E:$S,15,0),0)</f>
        <v>55000</v>
      </c>
      <c r="T13" s="91">
        <f>5000+IFERROR(VLOOKUP($E:$E,'（居民）工资表-7月'!$E:$T,16,0),0)</f>
        <v>35000</v>
      </c>
      <c r="U13" s="91">
        <f>Q13+IFERROR(VLOOKUP($E:$E,'（居民）工资表-7月'!$E:$U,17,0),0)</f>
        <v>5469.52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R13+IFERROR(VLOOKUP($E:$E,'（居民）工资表-7月'!$E:$AC,25,0),0)</f>
        <v>0</v>
      </c>
      <c r="AD13" s="95">
        <f t="shared" si="2"/>
        <v>14530.48</v>
      </c>
      <c r="AE13" s="96">
        <f>ROUND(MAX((AD13)*{0.03;0.1;0.2;0.25;0.3;0.35;0.45}-{0;2520;16920;31920;52920;85920;181920},0),2)</f>
        <v>435.91</v>
      </c>
      <c r="AF13" s="97">
        <f>IFERROR(VLOOKUP(E:E,'（居民）工资表-7月'!E:AF,28,0)+VLOOKUP(E:E,'（居民）工资表-7月'!E:AG,29,0),0)</f>
        <v>369.07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144</v>
      </c>
      <c r="C14" s="37" t="s">
        <v>178</v>
      </c>
      <c r="D14" s="37" t="s">
        <v>145</v>
      </c>
      <c r="E14" s="328" t="s">
        <v>179</v>
      </c>
      <c r="F14" s="38" t="s">
        <v>150</v>
      </c>
      <c r="G14" s="39" t="s">
        <v>180</v>
      </c>
      <c r="H14" s="40"/>
      <c r="I14" s="40"/>
      <c r="J14" s="69"/>
      <c r="K14" s="40"/>
      <c r="L14" s="70">
        <v>5972.73</v>
      </c>
      <c r="M14" s="71">
        <v>0</v>
      </c>
      <c r="N14" s="71">
        <v>0</v>
      </c>
      <c r="O14" s="71">
        <v>0</v>
      </c>
      <c r="P14" s="71">
        <v>0</v>
      </c>
      <c r="Q14" s="89">
        <f t="shared" si="0"/>
        <v>0</v>
      </c>
      <c r="R14" s="70">
        <v>0</v>
      </c>
      <c r="S14" s="90">
        <f>L14+IFERROR(VLOOKUP($E:$E,'（居民）工资表-7月'!$E:$S,15,0),0)</f>
        <v>27572.73</v>
      </c>
      <c r="T14" s="91">
        <f>5000+IFERROR(VLOOKUP($E:$E,'（居民）工资表-7月'!$E:$T,16,0),0)</f>
        <v>20000</v>
      </c>
      <c r="U14" s="91">
        <f>Q14+IFERROR(VLOOKUP($E:$E,'（居民）工资表-7月'!$E:$U,17,0),0)</f>
        <v>1677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R14+IFERROR(VLOOKUP($E:$E,'（居民）工资表-7月'!$E:$AC,25,0),0)</f>
        <v>0</v>
      </c>
      <c r="AD14" s="95">
        <f t="shared" si="2"/>
        <v>5895.73</v>
      </c>
      <c r="AE14" s="96">
        <f>ROUND(MAX((AD14)*{0.03;0.1;0.2;0.25;0.3;0.35;0.45}-{0;2520;16920;31920;52920;85920;181920},0),2)</f>
        <v>176.87</v>
      </c>
      <c r="AF14" s="97">
        <f>IFERROR(VLOOKUP(E:E,'（居民）工资表-7月'!E:AF,28,0)+VLOOKUP(E:E,'（居民）工资表-7月'!E:AG,29,0),0)</f>
        <v>147.69</v>
      </c>
      <c r="AG14" s="97">
        <f t="shared" si="3"/>
        <v>29.18</v>
      </c>
      <c r="AH14" s="107">
        <f t="shared" si="4"/>
        <v>5943.55</v>
      </c>
      <c r="AI14" s="108"/>
      <c r="AJ14" s="107">
        <f t="shared" si="5"/>
        <v>5943.55</v>
      </c>
      <c r="AK14" s="109"/>
      <c r="AL14" s="107">
        <f t="shared" si="6"/>
        <v>5972.73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144</v>
      </c>
      <c r="C15" s="37" t="s">
        <v>181</v>
      </c>
      <c r="D15" s="37" t="s">
        <v>145</v>
      </c>
      <c r="E15" s="328" t="s">
        <v>182</v>
      </c>
      <c r="F15" s="38" t="s">
        <v>150</v>
      </c>
      <c r="G15" s="39">
        <v>15855788591</v>
      </c>
      <c r="H15" s="40"/>
      <c r="I15" s="40"/>
      <c r="J15" s="69"/>
      <c r="K15" s="40"/>
      <c r="L15" s="70">
        <v>4295.45</v>
      </c>
      <c r="M15" s="71">
        <v>-321.52</v>
      </c>
      <c r="N15" s="71">
        <v>-89.09</v>
      </c>
      <c r="O15" s="71">
        <v>-20.1</v>
      </c>
      <c r="P15" s="71">
        <v>-97</v>
      </c>
      <c r="Q15" s="89">
        <f t="shared" si="0"/>
        <v>-527.71</v>
      </c>
      <c r="R15" s="70">
        <v>0</v>
      </c>
      <c r="S15" s="90">
        <f>L15+IFERROR(VLOOKUP($E:$E,'（居民）工资表-7月'!$E:$S,15,0),0)</f>
        <v>23041.09</v>
      </c>
      <c r="T15" s="91">
        <f>5000+IFERROR(VLOOKUP($E:$E,'（居民）工资表-7月'!$E:$T,16,0),0)</f>
        <v>20000</v>
      </c>
      <c r="U15" s="91">
        <f>Q15+IFERROR(VLOOKUP($E:$E,'（居民）工资表-7月'!$E:$U,17,0),0)</f>
        <v>1055.42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R15+IFERROR(VLOOKUP($E:$E,'（居民）工资表-7月'!$E:$AC,25,0),0)</f>
        <v>0</v>
      </c>
      <c r="AD15" s="95">
        <f t="shared" si="2"/>
        <v>1985.67</v>
      </c>
      <c r="AE15" s="96">
        <f>ROUND(MAX((AD15)*{0.03;0.1;0.2;0.25;0.3;0.35;0.45}-{0;2520;16920;31920;52920;85920;181920},0),2)</f>
        <v>59.57</v>
      </c>
      <c r="AF15" s="97">
        <f>IFERROR(VLOOKUP(E:E,'（居民）工资表-7月'!E:AF,28,0)+VLOOKUP(E:E,'（居民）工资表-7月'!E:AG,29,0),0)</f>
        <v>64.88</v>
      </c>
      <c r="AG15" s="97">
        <f t="shared" si="3"/>
        <v>0</v>
      </c>
      <c r="AH15" s="107">
        <f t="shared" si="4"/>
        <v>4823.16</v>
      </c>
      <c r="AI15" s="108"/>
      <c r="AJ15" s="107">
        <f t="shared" si="5"/>
        <v>4823.16</v>
      </c>
      <c r="AK15" s="109"/>
      <c r="AL15" s="107">
        <f t="shared" si="6"/>
        <v>4823.16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144</v>
      </c>
      <c r="C16" s="37" t="s">
        <v>183</v>
      </c>
      <c r="D16" s="37" t="s">
        <v>145</v>
      </c>
      <c r="E16" s="328" t="s">
        <v>184</v>
      </c>
      <c r="F16" s="38" t="s">
        <v>150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L16+IFERROR(VLOOKUP($E:$E,'（居民）工资表-7月'!$E:$S,15,0),0)</f>
        <v>42000</v>
      </c>
      <c r="T16" s="91">
        <f>5000+IFERROR(VLOOKUP($E:$E,'（居民）工资表-7月'!$E:$T,16,0),0)</f>
        <v>35000</v>
      </c>
      <c r="U16" s="91">
        <f>Q16+IFERROR(VLOOKUP($E:$E,'（居民）工资表-7月'!$E:$U,17,0),0)</f>
        <v>3740.52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3259.48</v>
      </c>
      <c r="AE16" s="96">
        <f>ROUND(MAX((AD16)*{0.03;0.1;0.2;0.25;0.3;0.35;0.45}-{0;2520;16920;31920;52920;85920;181920},0),2)</f>
        <v>97.78</v>
      </c>
      <c r="AF16" s="97">
        <f>IFERROR(VLOOKUP(E:E,'（居民）工资表-7月'!E:AF,28,0)+VLOOKUP(E:E,'（居民）工资表-7月'!E:AG,29,0),0)</f>
        <v>83.53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144</v>
      </c>
      <c r="C17" s="37" t="s">
        <v>185</v>
      </c>
      <c r="D17" s="37" t="s">
        <v>145</v>
      </c>
      <c r="E17" s="328" t="s">
        <v>186</v>
      </c>
      <c r="F17" s="38" t="s">
        <v>146</v>
      </c>
      <c r="G17" s="39">
        <v>15056587375</v>
      </c>
      <c r="H17" s="40"/>
      <c r="I17" s="40"/>
      <c r="J17" s="69"/>
      <c r="K17" s="40"/>
      <c r="L17" s="70"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L17+IFERROR(VLOOKUP($E:$E,'（居民）工资表-7月'!$E:$S,15,0),0)</f>
        <v>70000</v>
      </c>
      <c r="T17" s="91">
        <f>5000+IFERROR(VLOOKUP($E:$E,'（居民）工资表-7月'!$E:$T,16,0),0)</f>
        <v>35000</v>
      </c>
      <c r="U17" s="91">
        <f>Q17+IFERROR(VLOOKUP($E:$E,'（居民）工资表-7月'!$E:$U,17,0),0)</f>
        <v>3760.84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R17+IFERROR(VLOOKUP($E:$E,'（居民）工资表-7月'!$E:$AC,25,0),0)</f>
        <v>0</v>
      </c>
      <c r="AD17" s="95">
        <f t="shared" si="2"/>
        <v>31239.16</v>
      </c>
      <c r="AE17" s="96">
        <f>ROUND(MAX((AD17)*{0.03;0.1;0.2;0.25;0.3;0.35;0.45}-{0;2520;16920;31920;52920;85920;181920},0),2)</f>
        <v>937.17</v>
      </c>
      <c r="AF17" s="97">
        <f>IFERROR(VLOOKUP(E:E,'（居民）工资表-7月'!E:AF,28,0)+VLOOKUP(E:E,'（居民）工资表-7月'!E:AG,29,0),0)</f>
        <v>803.01</v>
      </c>
      <c r="AG17" s="97">
        <f t="shared" si="3"/>
        <v>134.16</v>
      </c>
      <c r="AH17" s="107">
        <f t="shared" si="4"/>
        <v>9338.13</v>
      </c>
      <c r="AI17" s="108"/>
      <c r="AJ17" s="107">
        <f t="shared" si="5"/>
        <v>9338.13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IF(SUMPRODUCT(N(E$1:E$18=E17))&gt;1,"重复","不")</f>
        <v>不</v>
      </c>
      <c r="AT17" s="116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144</v>
      </c>
      <c r="C18" s="37" t="s">
        <v>187</v>
      </c>
      <c r="D18" s="37" t="s">
        <v>145</v>
      </c>
      <c r="E18" s="37" t="s">
        <v>188</v>
      </c>
      <c r="F18" s="38" t="s">
        <v>146</v>
      </c>
      <c r="G18" s="39">
        <v>13711361074</v>
      </c>
      <c r="H18" s="40"/>
      <c r="I18" s="40"/>
      <c r="J18" s="69"/>
      <c r="K18" s="40"/>
      <c r="L18" s="70">
        <v>7600</v>
      </c>
      <c r="M18" s="71">
        <v>337.92</v>
      </c>
      <c r="N18" s="71">
        <v>91.48</v>
      </c>
      <c r="O18" s="71">
        <v>12.67</v>
      </c>
      <c r="P18" s="71">
        <v>110.5</v>
      </c>
      <c r="Q18" s="89">
        <f t="shared" si="0"/>
        <v>552.57</v>
      </c>
      <c r="R18" s="70">
        <v>0</v>
      </c>
      <c r="S18" s="90">
        <f>L18+IFERROR(VLOOKUP($E:$E,'（居民）工资表-7月'!$E:$S,15,0),0)</f>
        <v>42663.63</v>
      </c>
      <c r="T18" s="91">
        <f>5000+IFERROR(VLOOKUP($E:$E,'（居民）工资表-7月'!$E:$T,16,0),0)</f>
        <v>35000</v>
      </c>
      <c r="U18" s="91">
        <f>Q18+IFERROR(VLOOKUP($E:$E,'（居民）工资表-7月'!$E:$U,17,0),0)</f>
        <v>2790.66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R18+IFERROR(VLOOKUP($E:$E,'（居民）工资表-7月'!$E:$AC,25,0),0)</f>
        <v>0</v>
      </c>
      <c r="AD18" s="95">
        <f t="shared" si="2"/>
        <v>4872.97</v>
      </c>
      <c r="AE18" s="96">
        <f>ROUND(MAX((AD18)*{0.03;0.1;0.2;0.25;0.3;0.35;0.45}-{0;2520;16920;31920;52920;85920;181920},0),2)</f>
        <v>146.19</v>
      </c>
      <c r="AF18" s="97">
        <f>IFERROR(VLOOKUP(E:E,'（居民）工资表-7月'!E:AF,28,0)+VLOOKUP(E:E,'（居民）工资表-7月'!E:AG,29,0),0)</f>
        <v>138.59</v>
      </c>
      <c r="AG18" s="97">
        <f t="shared" si="3"/>
        <v>7.59999999999999</v>
      </c>
      <c r="AH18" s="107">
        <f t="shared" si="4"/>
        <v>7039.83</v>
      </c>
      <c r="AI18" s="108"/>
      <c r="AJ18" s="107">
        <f t="shared" si="5"/>
        <v>7039.83</v>
      </c>
      <c r="AK18" s="109"/>
      <c r="AL18" s="107">
        <f t="shared" si="6"/>
        <v>7047.43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IF(SUMPRODUCT(N(E$1:E$18=E18))&gt;1,"重复","不")</f>
        <v>不</v>
      </c>
      <c r="AT18" s="116" t="str">
        <f>IF(SUMPRODUCT(N(AO$1:AO$18=AO18))&gt;1,"重复","不")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189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134969.15</v>
      </c>
      <c r="M20" s="74">
        <f>SUM(M4:M19)</f>
        <v>4361.27</v>
      </c>
      <c r="N20" s="74">
        <f>SUM(N4:N19)</f>
        <v>1220.91</v>
      </c>
      <c r="O20" s="74">
        <f t="shared" ref="O20:AL20" si="10">SUM(O4:O19)</f>
        <v>227.19</v>
      </c>
      <c r="P20" s="74">
        <f t="shared" si="10"/>
        <v>2135.9</v>
      </c>
      <c r="Q20" s="74">
        <f t="shared" si="10"/>
        <v>7945.27</v>
      </c>
      <c r="R20" s="74">
        <f t="shared" si="10"/>
        <v>0</v>
      </c>
      <c r="S20" s="74">
        <f t="shared" si="10"/>
        <v>902964.65</v>
      </c>
      <c r="T20" s="74">
        <f t="shared" si="10"/>
        <v>495000</v>
      </c>
      <c r="U20" s="74">
        <f t="shared" si="10"/>
        <v>61357.43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346607.22</v>
      </c>
      <c r="AE20" s="74">
        <f t="shared" si="10"/>
        <v>22410.79</v>
      </c>
      <c r="AF20" s="74">
        <f t="shared" si="10"/>
        <v>15420.65</v>
      </c>
      <c r="AG20" s="74">
        <f t="shared" si="10"/>
        <v>6995.45</v>
      </c>
      <c r="AH20" s="74">
        <f t="shared" si="10"/>
        <v>120028.43</v>
      </c>
      <c r="AI20" s="74">
        <f t="shared" si="10"/>
        <v>0</v>
      </c>
      <c r="AJ20" s="74">
        <f t="shared" si="10"/>
        <v>120028.43</v>
      </c>
      <c r="AK20" s="74">
        <f t="shared" si="10"/>
        <v>0</v>
      </c>
      <c r="AL20" s="74">
        <f t="shared" si="10"/>
        <v>127023.88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0">
      <c r="B24" s="47" t="s">
        <v>133</v>
      </c>
      <c r="C24" s="47" t="s">
        <v>190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120028.43</v>
      </c>
      <c r="C25" s="48">
        <f>AG20</f>
        <v>6995.45</v>
      </c>
      <c r="D25" s="48">
        <f>AK20</f>
        <v>0</v>
      </c>
      <c r="E25" s="48">
        <f>B25+C25+D25</f>
        <v>127023.88</v>
      </c>
    </row>
    <row r="26" spans="2:5">
      <c r="B26" s="49"/>
      <c r="C26" s="49"/>
      <c r="D26" s="49"/>
      <c r="E26" s="49"/>
    </row>
    <row r="27" s="14" customFormat="1" spans="1:35">
      <c r="A27" s="51" t="s">
        <v>191</v>
      </c>
      <c r="B27" s="52" t="s">
        <v>192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193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194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196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197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198</v>
      </c>
    </row>
    <row r="35" spans="2:2">
      <c r="B35" s="59" t="s">
        <v>199</v>
      </c>
    </row>
    <row r="36" spans="2:2">
      <c r="B36" s="59" t="s">
        <v>200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>ROUND(SUM(M4:P4),2)</f>
        <v>621.03</v>
      </c>
      <c r="R4" s="70">
        <v>0</v>
      </c>
      <c r="S4" s="90">
        <f>L4+IFERROR(VLOOKUP($E:$E,'（居民）工资表-8月'!$E:$S,15,0),0)</f>
        <v>64000</v>
      </c>
      <c r="T4" s="91">
        <f>5000+IFERROR(VLOOKUP($E:$E,'（居民）工资表-8月'!$E:$T,16,0),0)</f>
        <v>40000</v>
      </c>
      <c r="U4" s="91">
        <f>Q4+IFERROR(VLOOKUP($E:$E,'（居民）工资表-8月'!$E:$U,17,0),0)</f>
        <v>4890.71</v>
      </c>
      <c r="V4" s="70"/>
      <c r="W4" s="129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5">
        <f>ROUND(S4-T4-U4-AB4-AC4,2)</f>
        <v>19109.29</v>
      </c>
      <c r="AE4" s="96">
        <f>ROUND(MAX((AD4)*{0.03;0.1;0.2;0.25;0.3;0.35;0.45}-{0;2520;16920;31920;52920;85920;181920},0),2)</f>
        <v>573.28</v>
      </c>
      <c r="AF4" s="97">
        <f>IFERROR(VLOOKUP(E:E,'（居民）工资表-8月'!E:AF,28,0)+VLOOKUP(E:E,'（居民）工资表-8月'!E:AG,29,0),0)</f>
        <v>501.91</v>
      </c>
      <c r="AG4" s="97">
        <f>AE4-AF4</f>
        <v>71.3699999999999</v>
      </c>
      <c r="AH4" s="107">
        <f>ROUND(IF((L4-Q4-AG4)&lt;0,0,(L4-Q4-AG4)),2)</f>
        <v>7307.6</v>
      </c>
      <c r="AI4" s="108"/>
      <c r="AJ4" s="107">
        <f>AH4+AI4</f>
        <v>7307.6</v>
      </c>
      <c r="AK4" s="109"/>
      <c r="AL4" s="107">
        <f>AJ4+AG4+AK4</f>
        <v>7378.97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IF(SUMPRODUCT(N(E$1:E$8=E4))&gt;1,"重复","不")</f>
        <v>不</v>
      </c>
      <c r="AT4" s="116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144</v>
      </c>
      <c r="C5" s="37" t="s">
        <v>148</v>
      </c>
      <c r="D5" s="37" t="s">
        <v>145</v>
      </c>
      <c r="E5" s="328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ref="Q5:Q19" si="0">ROUND(SUM(M5:P5),2)</f>
        <v>662.24</v>
      </c>
      <c r="R5" s="70">
        <v>0</v>
      </c>
      <c r="S5" s="90">
        <f>L5+IFERROR(VLOOKUP($E:$E,'（居民）工资表-8月'!$E:$S,15,0),0)</f>
        <v>48580</v>
      </c>
      <c r="T5" s="91">
        <f>5000+IFERROR(VLOOKUP($E:$E,'（居民）工资表-8月'!$E:$T,16,0),0)</f>
        <v>40000</v>
      </c>
      <c r="U5" s="91">
        <f>Q5+IFERROR(VLOOKUP($E:$E,'（居民）工资表-8月'!$E:$U,17,0),0)</f>
        <v>5510.72</v>
      </c>
      <c r="V5" s="70"/>
      <c r="W5" s="129"/>
      <c r="X5" s="70"/>
      <c r="Y5" s="70"/>
      <c r="Z5" s="70"/>
      <c r="AA5" s="70"/>
      <c r="AB5" s="90">
        <f t="shared" ref="AB5:AB19" si="1">ROUND(SUM(V5:AA5),2)</f>
        <v>0</v>
      </c>
      <c r="AC5" s="90">
        <f>R5+IFERROR(VLOOKUP($E:$E,'（居民）工资表-8月'!$E:$AC,25,0),0)</f>
        <v>0</v>
      </c>
      <c r="AD5" s="95">
        <f t="shared" ref="AD5:AD19" si="2">ROUND(S5-T5-U5-AB5-AC5,2)</f>
        <v>3069.28</v>
      </c>
      <c r="AE5" s="96">
        <f>ROUND(MAX((AD5)*{0.03;0.1;0.2;0.25;0.3;0.35;0.45}-{0;2520;16920;31920;52920;85920;181920},0),2)</f>
        <v>92.08</v>
      </c>
      <c r="AF5" s="97">
        <f>IFERROR(VLOOKUP(E:E,'（居民）工资表-8月'!E:AF,28,0)+VLOOKUP(E:E,'（居民）工资表-8月'!E:AG,29,0),0)</f>
        <v>78.95</v>
      </c>
      <c r="AG5" s="97">
        <f t="shared" ref="AG5:AG19" si="3">AE5-AF5</f>
        <v>13.13</v>
      </c>
      <c r="AH5" s="107">
        <f t="shared" ref="AH5:AH19" si="4">ROUND(IF((L5-Q5-AG5)&lt;0,0,(L5-Q5-AG5)),2)</f>
        <v>5424.63</v>
      </c>
      <c r="AI5" s="108"/>
      <c r="AJ5" s="107">
        <f t="shared" ref="AJ5:AJ19" si="5">AH5+AI5</f>
        <v>5424.63</v>
      </c>
      <c r="AK5" s="109"/>
      <c r="AL5" s="107">
        <f t="shared" ref="AL5:AL19" si="6">AJ5+AG5+AK5</f>
        <v>5437.76</v>
      </c>
      <c r="AM5" s="109"/>
      <c r="AN5" s="109"/>
      <c r="AO5" s="109"/>
      <c r="AP5" s="109"/>
      <c r="AQ5" s="109"/>
      <c r="AR5" s="116" t="str">
        <f t="shared" ref="AR5:AR19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 t="shared" ref="AS5:AS19" si="8">IF(SUMPRODUCT(N(E$1:E$8=E5))&gt;1,"重复","不")</f>
        <v>不</v>
      </c>
      <c r="AT5" s="116" t="str">
        <f t="shared" ref="AT5:AT19" si="9">IF(SUMPRODUCT(N(AO$1:AO$8=AO5))&gt;1,"重复","不")</f>
        <v>重复</v>
      </c>
    </row>
    <row r="6" s="12" customFormat="1" ht="18" customHeight="1" spans="1:46">
      <c r="A6" s="36">
        <v>3</v>
      </c>
      <c r="B6" s="37" t="s">
        <v>144</v>
      </c>
      <c r="C6" s="37" t="s">
        <v>151</v>
      </c>
      <c r="D6" s="37" t="s">
        <v>145</v>
      </c>
      <c r="E6" s="328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202</v>
      </c>
      <c r="Q6" s="89">
        <f t="shared" si="0"/>
        <v>977.32</v>
      </c>
      <c r="R6" s="70">
        <v>0</v>
      </c>
      <c r="S6" s="90">
        <f>L6+IFERROR(VLOOKUP($E:$E,'（居民）工资表-8月'!$E:$S,15,0),0)</f>
        <v>240480</v>
      </c>
      <c r="T6" s="91">
        <f>5000+IFERROR(VLOOKUP($E:$E,'（居民）工资表-8月'!$E:$T,16,0),0)</f>
        <v>40000</v>
      </c>
      <c r="U6" s="91">
        <f>Q6+IFERROR(VLOOKUP($E:$E,'（居民）工资表-8月'!$E:$U,17,0),0)</f>
        <v>7677.02</v>
      </c>
      <c r="V6" s="70"/>
      <c r="W6" s="129"/>
      <c r="X6" s="70"/>
      <c r="Y6" s="70"/>
      <c r="Z6" s="70"/>
      <c r="AA6" s="70"/>
      <c r="AB6" s="90">
        <f t="shared" si="1"/>
        <v>0</v>
      </c>
      <c r="AC6" s="90">
        <f>R6+IFERROR(VLOOKUP($E:$E,'（居民）工资表-8月'!$E:$AC,25,0),0)</f>
        <v>0</v>
      </c>
      <c r="AD6" s="95">
        <f t="shared" si="2"/>
        <v>192802.98</v>
      </c>
      <c r="AE6" s="96">
        <f>ROUND(MAX((AD6)*{0.03;0.1;0.2;0.25;0.3;0.35;0.45}-{0;2520;16920;31920;52920;85920;181920},0),2)</f>
        <v>21640.6</v>
      </c>
      <c r="AF6" s="97">
        <f>IFERROR(VLOOKUP(E:E,'（居民）工资表-8月'!E:AF,28,0)+VLOOKUP(E:E,'（居民）工资表-8月'!E:AG,29,0),0)</f>
        <v>16824.06</v>
      </c>
      <c r="AG6" s="97">
        <f t="shared" si="3"/>
        <v>4816.54</v>
      </c>
      <c r="AH6" s="107">
        <f t="shared" si="4"/>
        <v>24266.14</v>
      </c>
      <c r="AI6" s="108"/>
      <c r="AJ6" s="107">
        <f t="shared" si="5"/>
        <v>24266.14</v>
      </c>
      <c r="AK6" s="109"/>
      <c r="AL6" s="107">
        <f t="shared" si="6"/>
        <v>29082.68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144</v>
      </c>
      <c r="C7" s="37" t="s">
        <v>156</v>
      </c>
      <c r="D7" s="37" t="s">
        <v>145</v>
      </c>
      <c r="E7" s="328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L7+IFERROR(VLOOKUP($E:$E,'（居民）工资表-8月'!$E:$S,15,0),0)</f>
        <v>75000</v>
      </c>
      <c r="T7" s="91">
        <f>5000+IFERROR(VLOOKUP($E:$E,'（居民）工资表-8月'!$E:$T,16,0),0)</f>
        <v>40000</v>
      </c>
      <c r="U7" s="91">
        <f>Q7+IFERROR(VLOOKUP($E:$E,'（居民）工资表-8月'!$E:$U,17,0),0)</f>
        <v>4288.55</v>
      </c>
      <c r="V7" s="70"/>
      <c r="W7" s="129"/>
      <c r="X7" s="70"/>
      <c r="Y7" s="70"/>
      <c r="Z7" s="70"/>
      <c r="AA7" s="70"/>
      <c r="AB7" s="90">
        <f t="shared" si="1"/>
        <v>0</v>
      </c>
      <c r="AC7" s="90">
        <f>R7+IFERROR(VLOOKUP($E:$E,'（居民）工资表-8月'!$E:$AC,25,0),0)</f>
        <v>0</v>
      </c>
      <c r="AD7" s="95">
        <f t="shared" si="2"/>
        <v>30711.45</v>
      </c>
      <c r="AE7" s="96">
        <f>ROUND(MAX((AD7)*{0.03;0.1;0.2;0.25;0.3;0.35;0.45}-{0;2520;16920;31920;52920;85920;181920},0),2)</f>
        <v>921.34</v>
      </c>
      <c r="AF7" s="97">
        <f>IFERROR(VLOOKUP(E:E,'（居民）工资表-8月'!E:AF,28,0)+VLOOKUP(E:E,'（居民）工资表-8月'!E:AG,29,0),0)</f>
        <v>817.17</v>
      </c>
      <c r="AG7" s="97">
        <f t="shared" si="3"/>
        <v>104.17</v>
      </c>
      <c r="AH7" s="107">
        <f t="shared" si="4"/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144</v>
      </c>
      <c r="C8" s="37" t="s">
        <v>160</v>
      </c>
      <c r="D8" s="37" t="s">
        <v>145</v>
      </c>
      <c r="E8" s="328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L8+IFERROR(VLOOKUP($E:$E,'（居民）工资表-8月'!$E:$S,15,0),0)</f>
        <v>87000</v>
      </c>
      <c r="T8" s="91">
        <f>5000+IFERROR(VLOOKUP($E:$E,'（居民）工资表-8月'!$E:$T,16,0),0)</f>
        <v>40000</v>
      </c>
      <c r="U8" s="91">
        <f>Q8+IFERROR(VLOOKUP($E:$E,'（居民）工资表-8月'!$E:$U,17,0),0)</f>
        <v>6241.52</v>
      </c>
      <c r="V8" s="70"/>
      <c r="W8" s="129"/>
      <c r="X8" s="70"/>
      <c r="Y8" s="70"/>
      <c r="Z8" s="70"/>
      <c r="AA8" s="70"/>
      <c r="AB8" s="90">
        <f t="shared" si="1"/>
        <v>0</v>
      </c>
      <c r="AC8" s="90">
        <f>R8+IFERROR(VLOOKUP($E:$E,'（居民）工资表-8月'!$E:$AC,25,0),0)</f>
        <v>0</v>
      </c>
      <c r="AD8" s="95">
        <f t="shared" si="2"/>
        <v>40758.48</v>
      </c>
      <c r="AE8" s="96">
        <f>ROUND(MAX((AD8)*{0.03;0.1;0.2;0.25;0.3;0.35;0.45}-{0;2520;16920;31920;52920;85920;181920},0),2)</f>
        <v>1555.85</v>
      </c>
      <c r="AF8" s="97">
        <f>IFERROR(VLOOKUP(E:E,'（居民）工资表-8月'!E:AF,28,0)+VLOOKUP(E:E,'（居民）工资表-8月'!E:AG,29,0),0)</f>
        <v>1083.05</v>
      </c>
      <c r="AG8" s="97">
        <f t="shared" si="3"/>
        <v>472.8</v>
      </c>
      <c r="AH8" s="107">
        <f t="shared" si="4"/>
        <v>9255.2</v>
      </c>
      <c r="AI8" s="108"/>
      <c r="AJ8" s="107">
        <f t="shared" si="5"/>
        <v>9255.2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144</v>
      </c>
      <c r="C9" s="37" t="s">
        <v>162</v>
      </c>
      <c r="D9" s="37" t="s">
        <v>145</v>
      </c>
      <c r="E9" s="328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L9+IFERROR(VLOOKUP($E:$E,'（居民）工资表-8月'!$E:$S,15,0),0)</f>
        <v>52000</v>
      </c>
      <c r="T9" s="91">
        <f>5000+IFERROR(VLOOKUP($E:$E,'（居民）工资表-8月'!$E:$T,16,0),0)</f>
        <v>40000</v>
      </c>
      <c r="U9" s="91">
        <f>Q9+IFERROR(VLOOKUP($E:$E,'（居民）工资表-8月'!$E:$U,17,0),0)</f>
        <v>4339.95</v>
      </c>
      <c r="V9" s="70"/>
      <c r="W9" s="129"/>
      <c r="X9" s="70"/>
      <c r="Y9" s="70"/>
      <c r="Z9" s="70"/>
      <c r="AA9" s="70"/>
      <c r="AB9" s="90">
        <f t="shared" si="1"/>
        <v>0</v>
      </c>
      <c r="AC9" s="90">
        <f>R9+IFERROR(VLOOKUP($E:$E,'（居民）工资表-8月'!$E:$AC,25,0),0)</f>
        <v>0</v>
      </c>
      <c r="AD9" s="95">
        <f t="shared" si="2"/>
        <v>7660.05</v>
      </c>
      <c r="AE9" s="96">
        <f>ROUND(MAX((AD9)*{0.03;0.1;0.2;0.25;0.3;0.35;0.45}-{0;2520;16920;31920;52920;85920;181920},0),2)</f>
        <v>229.8</v>
      </c>
      <c r="AF9" s="97">
        <f>IFERROR(VLOOKUP(E:E,'（居民）工资表-8月'!E:AF,28,0)+VLOOKUP(E:E,'（居民）工资表-8月'!E:AG,29,0),0)</f>
        <v>200.61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144</v>
      </c>
      <c r="C10" s="37" t="s">
        <v>165</v>
      </c>
      <c r="D10" s="37" t="s">
        <v>145</v>
      </c>
      <c r="E10" s="328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L10+IFERROR(VLOOKUP($E:$E,'（居民）工资表-8月'!$E:$S,15,0),0)</f>
        <v>35735.17</v>
      </c>
      <c r="T10" s="91">
        <f>5000+IFERROR(VLOOKUP($E:$E,'（居民）工资表-8月'!$E:$T,16,0),0)</f>
        <v>40000</v>
      </c>
      <c r="U10" s="91">
        <f>Q10+IFERROR(VLOOKUP($E:$E,'（居民）工资表-8月'!$E:$U,17,0),0)</f>
        <v>5218.43</v>
      </c>
      <c r="V10" s="70"/>
      <c r="W10" s="129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R10+IFERROR(VLOOKUP($E:$E,'（居民）工资表-8月'!$E:$AC,25,0),0)</f>
        <v>0</v>
      </c>
      <c r="AD10" s="95">
        <f t="shared" si="2"/>
        <v>-9483.26</v>
      </c>
      <c r="AE10" s="96">
        <f>ROUND(MAX((AD10)*{0.03;0.1;0.2;0.25;0.3;0.35;0.45}-{0;2520;16920;31920;52920;85920;181920},0),2)</f>
        <v>0</v>
      </c>
      <c r="AF10" s="97">
        <f>IFERROR(VLOOKUP(E:E,'（居民）工资表-8月'!E:AF,28,0)+VLOOKUP(E:E,'（居民）工资表-8月'!E:AG,29,0),0)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144</v>
      </c>
      <c r="C11" s="37" t="s">
        <v>170</v>
      </c>
      <c r="D11" s="37" t="s">
        <v>145</v>
      </c>
      <c r="E11" s="328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L11+IFERROR(VLOOKUP($E:$E,'（居民）工资表-8月'!$E:$S,15,0),0)</f>
        <v>71500</v>
      </c>
      <c r="T11" s="91">
        <f>5000+IFERROR(VLOOKUP($E:$E,'（居民）工资表-8月'!$E:$T,16,0),0)</f>
        <v>40000</v>
      </c>
      <c r="U11" s="91">
        <f>Q11+IFERROR(VLOOKUP($E:$E,'（居民）工资表-8月'!$E:$U,17,0),0)</f>
        <v>4537.52</v>
      </c>
      <c r="V11" s="70"/>
      <c r="W11" s="129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R11+IFERROR(VLOOKUP($E:$E,'（居民）工资表-8月'!$E:$AC,25,0),0)</f>
        <v>0</v>
      </c>
      <c r="AD11" s="95">
        <f t="shared" si="2"/>
        <v>26962.48</v>
      </c>
      <c r="AE11" s="96">
        <f>ROUND(MAX((AD11)*{0.03;0.1;0.2;0.25;0.3;0.35;0.45}-{0;2520;16920;31920;52920;85920;181920},0),2)</f>
        <v>808.87</v>
      </c>
      <c r="AF11" s="97">
        <f>IFERROR(VLOOKUP(E:E,'（居民）工资表-8月'!E:AF,28,0)+VLOOKUP(E:E,'（居民）工资表-8月'!E:AG,29,0),0)</f>
        <v>705.64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144</v>
      </c>
      <c r="C12" s="37" t="s">
        <v>174</v>
      </c>
      <c r="D12" s="37" t="s">
        <v>145</v>
      </c>
      <c r="E12" s="328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L12+IFERROR(VLOOKUP($E:$E,'（居民）工资表-8月'!$E:$S,15,0),0)</f>
        <v>59500</v>
      </c>
      <c r="T12" s="91">
        <f>5000+IFERROR(VLOOKUP($E:$E,'（居民）工资表-8月'!$E:$T,16,0),0)</f>
        <v>40000</v>
      </c>
      <c r="U12" s="91">
        <f>Q12+IFERROR(VLOOKUP($E:$E,'（居民）工资表-8月'!$E:$U,17,0),0)</f>
        <v>6241.52</v>
      </c>
      <c r="V12" s="70"/>
      <c r="W12" s="129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R12+IFERROR(VLOOKUP($E:$E,'（居民）工资表-8月'!$E:$AC,25,0),0)</f>
        <v>0</v>
      </c>
      <c r="AD12" s="95">
        <f t="shared" si="2"/>
        <v>13258.48</v>
      </c>
      <c r="AE12" s="96">
        <f>ROUND(MAX((AD12)*{0.03;0.1;0.2;0.25;0.3;0.35;0.45}-{0;2520;16920;31920;52920;85920;181920},0),2)</f>
        <v>397.75</v>
      </c>
      <c r="AF12" s="97">
        <f>IFERROR(VLOOKUP(E:E,'（居民）工资表-8月'!E:AF,28,0)+VLOOKUP(E:E,'（居民）工资表-8月'!E:AG,29,0),0)</f>
        <v>345.91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144</v>
      </c>
      <c r="C13" s="37" t="s">
        <v>176</v>
      </c>
      <c r="D13" s="37" t="s">
        <v>145</v>
      </c>
      <c r="E13" s="328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L13+IFERROR(VLOOKUP($E:$E,'（居民）工资表-8月'!$E:$S,15,0),0)</f>
        <v>63000</v>
      </c>
      <c r="T13" s="91">
        <f>5000+IFERROR(VLOOKUP($E:$E,'（居民）工资表-8月'!$E:$T,16,0),0)</f>
        <v>40000</v>
      </c>
      <c r="U13" s="91">
        <f>Q13+IFERROR(VLOOKUP($E:$E,'（居民）工资表-8月'!$E:$U,17,0),0)</f>
        <v>6241.52</v>
      </c>
      <c r="V13" s="70"/>
      <c r="W13" s="129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R13+IFERROR(VLOOKUP($E:$E,'（居民）工资表-8月'!$E:$AC,25,0),0)</f>
        <v>0</v>
      </c>
      <c r="AD13" s="95">
        <f t="shared" si="2"/>
        <v>16758.48</v>
      </c>
      <c r="AE13" s="96">
        <f>ROUND(MAX((AD13)*{0.03;0.1;0.2;0.25;0.3;0.35;0.45}-{0;2520;16920;31920;52920;85920;181920},0),2)</f>
        <v>502.75</v>
      </c>
      <c r="AF13" s="97">
        <f>IFERROR(VLOOKUP(E:E,'（居民）工资表-8月'!E:AF,28,0)+VLOOKUP(E:E,'（居民）工资表-8月'!E:AG,29,0),0)</f>
        <v>435.91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13</v>
      </c>
      <c r="B14" s="37" t="s">
        <v>144</v>
      </c>
      <c r="C14" s="37" t="s">
        <v>183</v>
      </c>
      <c r="D14" s="37" t="s">
        <v>145</v>
      </c>
      <c r="E14" s="328" t="s">
        <v>184</v>
      </c>
      <c r="F14" s="38" t="s">
        <v>150</v>
      </c>
      <c r="G14" s="39"/>
      <c r="H14" s="40"/>
      <c r="I14" s="40"/>
      <c r="J14" s="69"/>
      <c r="K14" s="40"/>
      <c r="L14" s="70">
        <v>6000</v>
      </c>
      <c r="M14" s="71">
        <v>321.52</v>
      </c>
      <c r="N14" s="71">
        <v>80.38</v>
      </c>
      <c r="O14" s="71">
        <v>20.1</v>
      </c>
      <c r="P14" s="71">
        <v>103</v>
      </c>
      <c r="Q14" s="89">
        <f t="shared" si="0"/>
        <v>525</v>
      </c>
      <c r="R14" s="70">
        <v>0</v>
      </c>
      <c r="S14" s="90">
        <f>L14+IFERROR(VLOOKUP($E:$E,'（居民）工资表-8月'!$E:$S,15,0),0)</f>
        <v>48000</v>
      </c>
      <c r="T14" s="91">
        <f>5000+IFERROR(VLOOKUP($E:$E,'（居民）工资表-8月'!$E:$T,16,0),0)</f>
        <v>40000</v>
      </c>
      <c r="U14" s="91">
        <f>Q14+IFERROR(VLOOKUP($E:$E,'（居民）工资表-8月'!$E:$U,17,0),0)</f>
        <v>4265.52</v>
      </c>
      <c r="V14" s="70"/>
      <c r="W14" s="129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R14+IFERROR(VLOOKUP($E:$E,'（居民）工资表-8月'!$E:$AC,25,0),0)</f>
        <v>0</v>
      </c>
      <c r="AD14" s="95">
        <f t="shared" si="2"/>
        <v>3734.48</v>
      </c>
      <c r="AE14" s="96">
        <f>ROUND(MAX((AD14)*{0.03;0.1;0.2;0.25;0.3;0.35;0.45}-{0;2520;16920;31920;52920;85920;181920},0),2)</f>
        <v>112.03</v>
      </c>
      <c r="AF14" s="97">
        <f>IFERROR(VLOOKUP(E:E,'（居民）工资表-8月'!E:AF,28,0)+VLOOKUP(E:E,'（居民）工资表-8月'!E:AG,29,0),0)</f>
        <v>97.78</v>
      </c>
      <c r="AG14" s="97">
        <f t="shared" si="3"/>
        <v>14.25</v>
      </c>
      <c r="AH14" s="107">
        <f t="shared" si="4"/>
        <v>5460.75</v>
      </c>
      <c r="AI14" s="108"/>
      <c r="AJ14" s="107">
        <f t="shared" si="5"/>
        <v>5460.75</v>
      </c>
      <c r="AK14" s="109"/>
      <c r="AL14" s="107">
        <f t="shared" si="6"/>
        <v>5475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</row>
    <row r="15" s="12" customFormat="1" ht="18" customHeight="1" spans="1:46">
      <c r="A15" s="36">
        <v>14</v>
      </c>
      <c r="B15" s="37" t="s">
        <v>144</v>
      </c>
      <c r="C15" s="37" t="s">
        <v>185</v>
      </c>
      <c r="D15" s="37" t="s">
        <v>145</v>
      </c>
      <c r="E15" s="328" t="s">
        <v>186</v>
      </c>
      <c r="F15" s="38" t="s">
        <v>146</v>
      </c>
      <c r="G15" s="39">
        <v>15056587375</v>
      </c>
      <c r="H15" s="40"/>
      <c r="I15" s="40"/>
      <c r="J15" s="69"/>
      <c r="K15" s="40"/>
      <c r="L15" s="70">
        <v>10000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L15+IFERROR(VLOOKUP($E:$E,'（居民）工资表-8月'!$E:$S,15,0),0)</f>
        <v>80000</v>
      </c>
      <c r="T15" s="91">
        <f>5000+IFERROR(VLOOKUP($E:$E,'（居民）工资表-8月'!$E:$T,16,0),0)</f>
        <v>40000</v>
      </c>
      <c r="U15" s="91">
        <f>Q15+IFERROR(VLOOKUP($E:$E,'（居民）工资表-8月'!$E:$U,17,0),0)</f>
        <v>4288.55</v>
      </c>
      <c r="V15" s="70"/>
      <c r="W15" s="129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R15+IFERROR(VLOOKUP($E:$E,'（居民）工资表-8月'!$E:$AC,25,0),0)</f>
        <v>0</v>
      </c>
      <c r="AD15" s="95">
        <f t="shared" si="2"/>
        <v>35711.45</v>
      </c>
      <c r="AE15" s="96">
        <f>ROUND(MAX((AD15)*{0.03;0.1;0.2;0.25;0.3;0.35;0.45}-{0;2520;16920;31920;52920;85920;181920},0),2)</f>
        <v>1071.34</v>
      </c>
      <c r="AF15" s="97">
        <f>IFERROR(VLOOKUP(E:E,'（居民）工资表-8月'!E:AF,28,0)+VLOOKUP(E:E,'（居民）工资表-8月'!E:AG,29,0),0)</f>
        <v>937.17</v>
      </c>
      <c r="AG15" s="97">
        <f t="shared" si="3"/>
        <v>134.17</v>
      </c>
      <c r="AH15" s="107">
        <f t="shared" si="4"/>
        <v>9338.12</v>
      </c>
      <c r="AI15" s="108"/>
      <c r="AJ15" s="107">
        <f t="shared" si="5"/>
        <v>9338.12</v>
      </c>
      <c r="AK15" s="109"/>
      <c r="AL15" s="107">
        <f t="shared" si="6"/>
        <v>9472.29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</row>
    <row r="16" s="12" customFormat="1" ht="18" customHeight="1" spans="1:46">
      <c r="A16" s="36">
        <v>15</v>
      </c>
      <c r="B16" s="37" t="s">
        <v>144</v>
      </c>
      <c r="C16" s="37" t="s">
        <v>187</v>
      </c>
      <c r="D16" s="37" t="s">
        <v>145</v>
      </c>
      <c r="E16" s="37" t="s">
        <v>188</v>
      </c>
      <c r="F16" s="38" t="s">
        <v>146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L16+IFERROR(VLOOKUP($E:$E,'（居民）工资表-7月'!$E:$S,15,0),0)</f>
        <v>42663.63</v>
      </c>
      <c r="T16" s="91">
        <f>5000+IFERROR(VLOOKUP($E:$E,'（居民）工资表-7月'!$E:$T,16,0),0)</f>
        <v>35000</v>
      </c>
      <c r="U16" s="91">
        <f>Q16+IFERROR(VLOOKUP($E:$E,'（居民）工资表-7月'!$E:$U,17,0),0)</f>
        <v>2790.66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4872.97</v>
      </c>
      <c r="AE16" s="96">
        <f>ROUND(MAX((AD16)*{0.03;0.1;0.2;0.25;0.3;0.35;0.45}-{0;2520;16920;31920;52920;85920;181920},0),2)</f>
        <v>146.19</v>
      </c>
      <c r="AF16" s="97">
        <f>IFERROR(VLOOKUP(E:E,'（居民）工资表-7月'!E:AF,28,0)+VLOOKUP(E:E,'（居民）工资表-7月'!E:AG,29,0),0)</f>
        <v>138.59</v>
      </c>
      <c r="AG16" s="97">
        <f>IF((AE16-AF16)&lt;0,0,AE16-AF16)</f>
        <v>7.59999999999999</v>
      </c>
      <c r="AH16" s="107">
        <f t="shared" si="4"/>
        <v>7039.83</v>
      </c>
      <c r="AI16" s="108"/>
      <c r="AJ16" s="107">
        <f t="shared" si="5"/>
        <v>7039.83</v>
      </c>
      <c r="AK16" s="109"/>
      <c r="AL16" s="107">
        <f t="shared" si="6"/>
        <v>7047.43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IF(SUMPRODUCT(N(E$1:E$18=E16))&gt;1,"重复","不")</f>
        <v>不</v>
      </c>
      <c r="AT16" s="116" t="str">
        <f>IF(SUMPRODUCT(N(AO$1:AO$18=AO16))&gt;1,"重复","不")</f>
        <v>重复</v>
      </c>
    </row>
    <row r="17" s="12" customFormat="1" ht="19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9" customHeight="1" spans="1:46">
      <c r="A18" s="41"/>
      <c r="B18" s="42" t="s">
        <v>189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122707.97</v>
      </c>
      <c r="M18" s="74">
        <f>SUM(M4:M17)</f>
        <v>4671.85</v>
      </c>
      <c r="N18" s="74">
        <f>SUM(N4:N17)</f>
        <v>1295.96</v>
      </c>
      <c r="O18" s="74">
        <f t="shared" ref="O18:AL18" si="10">SUM(O4:O17)</f>
        <v>245.04</v>
      </c>
      <c r="P18" s="74">
        <f t="shared" si="10"/>
        <v>2246.9</v>
      </c>
      <c r="Q18" s="74">
        <f t="shared" si="10"/>
        <v>8459.75</v>
      </c>
      <c r="R18" s="74">
        <f t="shared" si="10"/>
        <v>0</v>
      </c>
      <c r="S18" s="74">
        <f t="shared" si="10"/>
        <v>967458.8</v>
      </c>
      <c r="T18" s="74">
        <f t="shared" si="10"/>
        <v>515000</v>
      </c>
      <c r="U18" s="74">
        <f t="shared" si="10"/>
        <v>66532.19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4">
        <f t="shared" si="10"/>
        <v>0</v>
      </c>
      <c r="Z18" s="74">
        <f t="shared" si="10"/>
        <v>0</v>
      </c>
      <c r="AA18" s="74">
        <f t="shared" si="10"/>
        <v>0</v>
      </c>
      <c r="AB18" s="74">
        <f t="shared" si="10"/>
        <v>0</v>
      </c>
      <c r="AC18" s="74">
        <f t="shared" si="10"/>
        <v>0</v>
      </c>
      <c r="AD18" s="74">
        <f t="shared" si="10"/>
        <v>385926.61</v>
      </c>
      <c r="AE18" s="74">
        <f t="shared" si="10"/>
        <v>28051.88</v>
      </c>
      <c r="AF18" s="74">
        <f t="shared" si="10"/>
        <v>22166.75</v>
      </c>
      <c r="AG18" s="74">
        <f t="shared" si="10"/>
        <v>5885.13</v>
      </c>
      <c r="AH18" s="74">
        <f t="shared" si="10"/>
        <v>108363.09</v>
      </c>
      <c r="AI18" s="74">
        <f t="shared" si="10"/>
        <v>0</v>
      </c>
      <c r="AJ18" s="74">
        <f t="shared" si="10"/>
        <v>108363.09</v>
      </c>
      <c r="AK18" s="74">
        <f t="shared" si="10"/>
        <v>0</v>
      </c>
      <c r="AL18" s="74">
        <f t="shared" si="10"/>
        <v>114248.22</v>
      </c>
      <c r="AM18" s="110"/>
      <c r="AN18" s="110"/>
      <c r="AO18" s="110"/>
      <c r="AP18" s="110"/>
      <c r="AQ18" s="110"/>
      <c r="AR18" s="45"/>
      <c r="AS18" s="45"/>
      <c r="AT18" s="118"/>
    </row>
    <row r="19" ht="19" customHeight="1"/>
    <row r="20" ht="19" customHeight="1"/>
    <row r="21" ht="19" customHeight="1" spans="30:30">
      <c r="AD21" s="101"/>
    </row>
    <row r="22" ht="19" customHeight="1" spans="2:30">
      <c r="B22" s="47" t="s">
        <v>133</v>
      </c>
      <c r="C22" s="47" t="s">
        <v>190</v>
      </c>
      <c r="D22" s="47" t="s">
        <v>22</v>
      </c>
      <c r="E22" s="47" t="s">
        <v>23</v>
      </c>
      <c r="AD22" s="10"/>
    </row>
    <row r="23" ht="19" customHeight="1" spans="2:5">
      <c r="B23" s="48">
        <f>AJ18</f>
        <v>108363.09</v>
      </c>
      <c r="C23" s="48">
        <f>AG18</f>
        <v>5885.13</v>
      </c>
      <c r="D23" s="48">
        <f>AK18</f>
        <v>0</v>
      </c>
      <c r="E23" s="48">
        <f>B23+C23+D23</f>
        <v>114248.22</v>
      </c>
    </row>
    <row r="24" ht="19" customHeight="1" spans="2:5">
      <c r="B24" s="49"/>
      <c r="C24" s="49"/>
      <c r="D24" s="49"/>
      <c r="E24" s="49"/>
    </row>
    <row r="25" s="14" customFormat="1" ht="19" customHeight="1" spans="1:35">
      <c r="A25" s="51" t="s">
        <v>191</v>
      </c>
      <c r="B25" s="52" t="s">
        <v>192</v>
      </c>
      <c r="C25" s="50"/>
      <c r="D25" s="50"/>
      <c r="E25" s="50"/>
      <c r="G25" s="53"/>
      <c r="J25" s="75"/>
      <c r="M25" s="76"/>
      <c r="AI25" s="112"/>
    </row>
    <row r="26" s="14" customFormat="1" ht="19" customHeight="1" spans="1:35">
      <c r="A26" s="54"/>
      <c r="B26" s="55" t="s">
        <v>193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194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195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196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197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198</v>
      </c>
    </row>
    <row r="33" spans="2:2">
      <c r="B33" s="59" t="s">
        <v>199</v>
      </c>
    </row>
    <row r="34" spans="2:2">
      <c r="B34" s="59" t="s">
        <v>200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W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0.125" style="18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47" width="9" style="15" hidden="1" customWidth="1"/>
    <col min="48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9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 t="shared" ref="Q4:Q11" si="0">ROUND(SUM(M4:P4),2)</f>
        <v>621.03</v>
      </c>
      <c r="R4" s="70">
        <v>0</v>
      </c>
      <c r="S4" s="90">
        <f>L4+IFERROR(VLOOKUP($E:$E,'（居民）工资表-9月'!$E:$S,15,0),0)</f>
        <v>72000</v>
      </c>
      <c r="T4" s="91">
        <f>5000+IFERROR(VLOOKUP($E:$E,'（居民）工资表-9月'!$E:$T,16,0),0)</f>
        <v>45000</v>
      </c>
      <c r="U4" s="91">
        <f>Q4+IFERROR(VLOOKUP($E:$E,'（居民）工资表-9月'!$E:$U,17,0),0)</f>
        <v>5511.74</v>
      </c>
      <c r="V4" s="70">
        <v>10000</v>
      </c>
      <c r="W4" s="70"/>
      <c r="X4" s="70">
        <v>10000</v>
      </c>
      <c r="Y4" s="70"/>
      <c r="Z4" s="70">
        <v>4000</v>
      </c>
      <c r="AA4" s="70"/>
      <c r="AB4" s="90">
        <f t="shared" ref="AB4:AB11" si="1">ROUND(SUM(V4:AA4),2)</f>
        <v>24000</v>
      </c>
      <c r="AC4" s="90">
        <f>R4+IFERROR(VLOOKUP($E:$E,'（居民）工资表-9月'!$E:$AC,25,0),0)</f>
        <v>0</v>
      </c>
      <c r="AD4" s="95">
        <f t="shared" ref="AD4:AD11" si="2">ROUND(S4-T4-U4-AB4-AC4,2)</f>
        <v>-2511.74</v>
      </c>
      <c r="AE4" s="96">
        <f>ROUND(MAX((AD4)*{0.03;0.1;0.2;0.25;0.3;0.35;0.45}-{0;2520;16920;31920;52920;85920;181920},0),2)</f>
        <v>0</v>
      </c>
      <c r="AF4" s="97">
        <f>IFERROR(VLOOKUP(E:E,'（居民）工资表-9月'!E:AF,28,0)+VLOOKUP(E:E,'（居民）工资表-9月'!E:AG,29,0),0)</f>
        <v>573.28</v>
      </c>
      <c r="AG4" s="97">
        <f t="shared" ref="AG4:AG11" si="3">IF((AE4-AF4)&lt;0,0,AE4-AF4)</f>
        <v>0</v>
      </c>
      <c r="AH4" s="107">
        <f t="shared" ref="AH4:AH11" si="4">ROUND(IF((L4-Q4-AG4)&lt;0,0,(L4-Q4-AG4)),2)</f>
        <v>7378.97</v>
      </c>
      <c r="AI4" s="108"/>
      <c r="AJ4" s="107">
        <f t="shared" ref="AJ4:AJ11" si="5">AH4+AI4</f>
        <v>7378.97</v>
      </c>
      <c r="AK4" s="109"/>
      <c r="AL4" s="107">
        <f t="shared" ref="AL4:AL11" si="6">AJ4+AG4+AK4</f>
        <v>7378.97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IF(SUMPRODUCT(N(E$1:E$7=E4))&gt;1,"重复","不")</f>
        <v>不</v>
      </c>
      <c r="AT4" s="116" t="str">
        <f t="shared" ref="AT4:AT11" si="9">IF(SUMPRODUCT(N(AO$1:AO$7=AO4))&gt;1,"重复","不")</f>
        <v>重复</v>
      </c>
      <c r="AV4" s="12" t="s">
        <v>147</v>
      </c>
      <c r="AW4" s="12" t="s">
        <v>51</v>
      </c>
    </row>
    <row r="5" s="12" customFormat="1" ht="18" customHeight="1" spans="1:49">
      <c r="A5" s="36">
        <v>2</v>
      </c>
      <c r="B5" s="37" t="s">
        <v>144</v>
      </c>
      <c r="C5" s="37" t="s">
        <v>148</v>
      </c>
      <c r="D5" s="37" t="s">
        <v>145</v>
      </c>
      <c r="E5" s="328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L5+IFERROR(VLOOKUP($E:$E,'（居民）工资表-9月'!$E:$S,15,0),0)</f>
        <v>54680</v>
      </c>
      <c r="T5" s="91">
        <f>5000+IFERROR(VLOOKUP($E:$E,'（居民）工资表-9月'!$E:$T,16,0),0)</f>
        <v>45000</v>
      </c>
      <c r="U5" s="91">
        <f>Q5+IFERROR(VLOOKUP($E:$E,'（居民）工资表-9月'!$E:$U,17,0),0)</f>
        <v>6172.96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R5+IFERROR(VLOOKUP($E:$E,'（居民）工资表-9月'!$E:$AC,25,0),0)</f>
        <v>0</v>
      </c>
      <c r="AD5" s="95">
        <f t="shared" si="2"/>
        <v>3507.04</v>
      </c>
      <c r="AE5" s="96">
        <f>ROUND(MAX((AD5)*{0.03;0.1;0.2;0.25;0.3;0.35;0.45}-{0;2520;16920;31920;52920;85920;181920},0),2)</f>
        <v>105.21</v>
      </c>
      <c r="AF5" s="97">
        <f>IFERROR(VLOOKUP(E:E,'（居民）工资表-9月'!E:AF,28,0)+VLOOKUP(E:E,'（居民）工资表-9月'!E:AG,29,0),0)</f>
        <v>92.08</v>
      </c>
      <c r="AG5" s="97">
        <f t="shared" si="3"/>
        <v>13.13</v>
      </c>
      <c r="AH5" s="107">
        <f t="shared" si="4"/>
        <v>5424.63</v>
      </c>
      <c r="AI5" s="108"/>
      <c r="AJ5" s="107">
        <f t="shared" si="5"/>
        <v>5424.63</v>
      </c>
      <c r="AK5" s="109"/>
      <c r="AL5" s="107">
        <f t="shared" si="6"/>
        <v>5437.76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  <c r="AV5" s="12" t="s">
        <v>50</v>
      </c>
      <c r="AW5" s="12" t="s">
        <v>51</v>
      </c>
    </row>
    <row r="6" s="12" customFormat="1" ht="18" customHeight="1" spans="1:49">
      <c r="A6" s="36">
        <v>3</v>
      </c>
      <c r="B6" s="37" t="s">
        <v>144</v>
      </c>
      <c r="C6" s="37" t="s">
        <v>151</v>
      </c>
      <c r="D6" s="37" t="s">
        <v>145</v>
      </c>
      <c r="E6" s="328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L6+IFERROR(VLOOKUP($E:$E,'（居民）工资表-9月'!$E:$S,15,0),0)</f>
        <v>270540</v>
      </c>
      <c r="T6" s="91">
        <f>5000+IFERROR(VLOOKUP($E:$E,'（居民）工资表-9月'!$E:$T,16,0),0)</f>
        <v>45000</v>
      </c>
      <c r="U6" s="91">
        <f>Q6+IFERROR(VLOOKUP($E:$E,'（居民）工资表-9月'!$E:$U,17,0),0)</f>
        <v>8640.34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R6+IFERROR(VLOOKUP($E:$E,'（居民）工资表-9月'!$E:$AC,25,0),0)</f>
        <v>0</v>
      </c>
      <c r="AD6" s="95">
        <f t="shared" si="2"/>
        <v>216899.66</v>
      </c>
      <c r="AE6" s="96">
        <f>ROUND(MAX((AD6)*{0.03;0.1;0.2;0.25;0.3;0.35;0.45}-{0;2520;16920;31920;52920;85920;181920},0),2)</f>
        <v>26459.93</v>
      </c>
      <c r="AF6" s="97">
        <f>IFERROR(VLOOKUP(E:E,'（居民）工资表-9月'!E:AF,28,0)+VLOOKUP(E:E,'（居民）工资表-9月'!E:AG,29,0),0)</f>
        <v>21640.6</v>
      </c>
      <c r="AG6" s="97">
        <f t="shared" si="3"/>
        <v>4819.33</v>
      </c>
      <c r="AH6" s="107">
        <f t="shared" si="4"/>
        <v>24277.35</v>
      </c>
      <c r="AI6" s="108"/>
      <c r="AJ6" s="107">
        <f t="shared" si="5"/>
        <v>24277.35</v>
      </c>
      <c r="AK6" s="109"/>
      <c r="AL6" s="107">
        <f t="shared" si="6"/>
        <v>29096.68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  <c r="AV6" s="12" t="s">
        <v>154</v>
      </c>
      <c r="AW6" s="12" t="s">
        <v>155</v>
      </c>
    </row>
    <row r="7" s="12" customFormat="1" ht="18" customHeight="1" spans="1:49">
      <c r="A7" s="36">
        <v>4</v>
      </c>
      <c r="B7" s="37" t="s">
        <v>144</v>
      </c>
      <c r="C7" s="37" t="s">
        <v>156</v>
      </c>
      <c r="D7" s="37" t="s">
        <v>145</v>
      </c>
      <c r="E7" s="328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v>504.56</v>
      </c>
      <c r="N7" s="71">
        <v>139.8</v>
      </c>
      <c r="O7" s="71">
        <v>31.54</v>
      </c>
      <c r="P7" s="71">
        <v>97</v>
      </c>
      <c r="Q7" s="89">
        <f t="shared" si="0"/>
        <v>772.9</v>
      </c>
      <c r="R7" s="70">
        <v>0</v>
      </c>
      <c r="S7" s="90">
        <f>L7+IFERROR(VLOOKUP($E:$E,'（居民）工资表-9月'!$E:$S,15,0),0)</f>
        <v>84000</v>
      </c>
      <c r="T7" s="91">
        <f>5000+IFERROR(VLOOKUP($E:$E,'（居民）工资表-9月'!$E:$T,16,0),0)</f>
        <v>45000</v>
      </c>
      <c r="U7" s="91">
        <f>Q7+IFERROR(VLOOKUP($E:$E,'（居民）工资表-9月'!$E:$U,17,0),0)</f>
        <v>5061.45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R7+IFERROR(VLOOKUP($E:$E,'（居民）工资表-9月'!$E:$AC,25,0),0)</f>
        <v>0</v>
      </c>
      <c r="AD7" s="95">
        <f t="shared" si="2"/>
        <v>33938.55</v>
      </c>
      <c r="AE7" s="96">
        <f>ROUND(MAX((AD7)*{0.03;0.1;0.2;0.25;0.3;0.35;0.45}-{0;2520;16920;31920;52920;85920;181920},0),2)</f>
        <v>1018.16</v>
      </c>
      <c r="AF7" s="97">
        <f>IFERROR(VLOOKUP(E:E,'（居民）工资表-9月'!E:AF,28,0)+VLOOKUP(E:E,'（居民）工资表-9月'!E:AG,29,0),0)</f>
        <v>921.34</v>
      </c>
      <c r="AG7" s="97">
        <f t="shared" si="3"/>
        <v>96.8199999999999</v>
      </c>
      <c r="AH7" s="107">
        <f t="shared" si="4"/>
        <v>8130.28</v>
      </c>
      <c r="AI7" s="108"/>
      <c r="AJ7" s="107">
        <f t="shared" si="5"/>
        <v>8130.28</v>
      </c>
      <c r="AK7" s="109"/>
      <c r="AL7" s="107">
        <f t="shared" si="6"/>
        <v>8227.1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V7" s="12" t="s">
        <v>159</v>
      </c>
      <c r="AW7" s="12" t="s">
        <v>51</v>
      </c>
    </row>
    <row r="8" s="12" customFormat="1" ht="18" customHeight="1" spans="1:49">
      <c r="A8" s="36">
        <v>5</v>
      </c>
      <c r="B8" s="37" t="s">
        <v>144</v>
      </c>
      <c r="C8" s="37" t="s">
        <v>160</v>
      </c>
      <c r="D8" s="37" t="s">
        <v>145</v>
      </c>
      <c r="E8" s="328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v>504.56</v>
      </c>
      <c r="N8" s="71">
        <v>132.14</v>
      </c>
      <c r="O8" s="71">
        <v>31.54</v>
      </c>
      <c r="P8" s="71">
        <v>344</v>
      </c>
      <c r="Q8" s="89">
        <f t="shared" si="0"/>
        <v>1012.24</v>
      </c>
      <c r="R8" s="70">
        <v>0</v>
      </c>
      <c r="S8" s="90">
        <f>L8+IFERROR(VLOOKUP($E:$E,'（居民）工资表-9月'!$E:$S,15,0),0)</f>
        <v>97500</v>
      </c>
      <c r="T8" s="91">
        <f>5000+IFERROR(VLOOKUP($E:$E,'（居民）工资表-9月'!$E:$T,16,0),0)</f>
        <v>45000</v>
      </c>
      <c r="U8" s="91">
        <f>Q8+IFERROR(VLOOKUP($E:$E,'（居民）工资表-9月'!$E:$U,17,0),0)</f>
        <v>7253.76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R8+IFERROR(VLOOKUP($E:$E,'（居民）工资表-9月'!$E:$AC,25,0),0)</f>
        <v>0</v>
      </c>
      <c r="AD8" s="95">
        <f t="shared" si="2"/>
        <v>45246.24</v>
      </c>
      <c r="AE8" s="96">
        <f>ROUND(MAX((AD8)*{0.03;0.1;0.2;0.25;0.3;0.35;0.45}-{0;2520;16920;31920;52920;85920;181920},0),2)</f>
        <v>2004.62</v>
      </c>
      <c r="AF8" s="97">
        <f>IFERROR(VLOOKUP(E:E,'（居民）工资表-9月'!E:AF,28,0)+VLOOKUP(E:E,'（居民）工资表-9月'!E:AG,29,0),0)</f>
        <v>1555.85</v>
      </c>
      <c r="AG8" s="97">
        <f t="shared" si="3"/>
        <v>448.77</v>
      </c>
      <c r="AH8" s="107">
        <f t="shared" si="4"/>
        <v>9038.99</v>
      </c>
      <c r="AI8" s="108"/>
      <c r="AJ8" s="107">
        <f t="shared" si="5"/>
        <v>9038.99</v>
      </c>
      <c r="AK8" s="109"/>
      <c r="AL8" s="107">
        <f t="shared" si="6"/>
        <v>9487.76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V8" s="12" t="s">
        <v>159</v>
      </c>
      <c r="AW8" s="12" t="s">
        <v>51</v>
      </c>
    </row>
    <row r="9" s="12" customFormat="1" ht="18" customHeight="1" spans="1:49">
      <c r="A9" s="36">
        <v>6</v>
      </c>
      <c r="B9" s="37" t="s">
        <v>144</v>
      </c>
      <c r="C9" s="37" t="s">
        <v>162</v>
      </c>
      <c r="D9" s="37" t="s">
        <v>145</v>
      </c>
      <c r="E9" s="328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105.82</v>
      </c>
      <c r="O9" s="71">
        <v>12.16</v>
      </c>
      <c r="P9" s="71">
        <v>100</v>
      </c>
      <c r="Q9" s="89">
        <f t="shared" si="0"/>
        <v>542.22</v>
      </c>
      <c r="R9" s="70">
        <v>0</v>
      </c>
      <c r="S9" s="90">
        <f>L9+IFERROR(VLOOKUP($E:$E,'（居民）工资表-9月'!$E:$S,15,0),0)</f>
        <v>58500</v>
      </c>
      <c r="T9" s="91">
        <f>5000+IFERROR(VLOOKUP($E:$E,'（居民）工资表-9月'!$E:$T,16,0),0)</f>
        <v>45000</v>
      </c>
      <c r="U9" s="91">
        <f>Q9+IFERROR(VLOOKUP($E:$E,'（居民）工资表-9月'!$E:$U,17,0),0)</f>
        <v>4882.17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R9+IFERROR(VLOOKUP($E:$E,'（居民）工资表-9月'!$E:$AC,25,0),0)</f>
        <v>0</v>
      </c>
      <c r="AD9" s="95">
        <f t="shared" si="2"/>
        <v>8617.83</v>
      </c>
      <c r="AE9" s="96">
        <f>ROUND(MAX((AD9)*{0.03;0.1;0.2;0.25;0.3;0.35;0.45}-{0;2520;16920;31920;52920;85920;181920},0),2)</f>
        <v>258.53</v>
      </c>
      <c r="AF9" s="97">
        <f>IFERROR(VLOOKUP(E:E,'（居民）工资表-9月'!E:AF,28,0)+VLOOKUP(E:E,'（居民）工资表-9月'!E:AG,29,0),0)</f>
        <v>229.8</v>
      </c>
      <c r="AG9" s="97">
        <f t="shared" si="3"/>
        <v>28.73</v>
      </c>
      <c r="AH9" s="107">
        <f t="shared" si="4"/>
        <v>5929.05</v>
      </c>
      <c r="AI9" s="108"/>
      <c r="AJ9" s="107">
        <f t="shared" si="5"/>
        <v>5929.05</v>
      </c>
      <c r="AK9" s="109"/>
      <c r="AL9" s="107">
        <f t="shared" si="6"/>
        <v>5957.78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V9" s="12" t="s">
        <v>164</v>
      </c>
      <c r="AW9" s="12" t="s">
        <v>51</v>
      </c>
    </row>
    <row r="10" s="12" customFormat="1" ht="18" customHeight="1" spans="1:49">
      <c r="A10" s="36">
        <v>7</v>
      </c>
      <c r="B10" s="37" t="s">
        <v>144</v>
      </c>
      <c r="C10" s="37" t="s">
        <v>165</v>
      </c>
      <c r="D10" s="37" t="s">
        <v>145</v>
      </c>
      <c r="E10" s="328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L10+IFERROR(VLOOKUP($E:$E,'（居民）工资表-9月'!$E:$S,15,0),0)</f>
        <v>40183.14</v>
      </c>
      <c r="T10" s="91">
        <f>5000+IFERROR(VLOOKUP($E:$E,'（居民）工资表-9月'!$E:$T,16,0),0)</f>
        <v>45000</v>
      </c>
      <c r="U10" s="91">
        <f>Q10+IFERROR(VLOOKUP($E:$E,'（居民）工资表-9月'!$E:$U,17,0),0)</f>
        <v>5882.8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R10+IFERROR(VLOOKUP($E:$E,'（居民）工资表-9月'!$E:$AC,25,0),0)</f>
        <v>0</v>
      </c>
      <c r="AD10" s="95">
        <f t="shared" si="2"/>
        <v>-10699.66</v>
      </c>
      <c r="AE10" s="96">
        <f>ROUND(MAX((AD10)*{0.03;0.1;0.2;0.25;0.3;0.35;0.45}-{0;2520;16920;31920;52920;85920;181920},0),2)</f>
        <v>0</v>
      </c>
      <c r="AF10" s="97">
        <f>IFERROR(VLOOKUP(E:E,'（居民）工资表-9月'!E:AF,28,0)+VLOOKUP(E:E,'（居民）工资表-9月'!E:AG,29,0),0)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V10" s="12" t="s">
        <v>168</v>
      </c>
      <c r="AW10" s="12" t="s">
        <v>209</v>
      </c>
    </row>
    <row r="11" s="12" customFormat="1" ht="18" customHeight="1" spans="1:49">
      <c r="A11" s="36">
        <v>8</v>
      </c>
      <c r="B11" s="37" t="s">
        <v>144</v>
      </c>
      <c r="C11" s="37" t="s">
        <v>170</v>
      </c>
      <c r="D11" s="37" t="s">
        <v>145</v>
      </c>
      <c r="E11" s="328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504.56</v>
      </c>
      <c r="N11" s="71">
        <v>166.14</v>
      </c>
      <c r="O11" s="71">
        <v>31.54</v>
      </c>
      <c r="P11" s="71">
        <v>97</v>
      </c>
      <c r="Q11" s="89">
        <f t="shared" ref="Q11:Q19" si="10">ROUND(SUM(M11:P11),2)</f>
        <v>799.24</v>
      </c>
      <c r="R11" s="70">
        <v>0</v>
      </c>
      <c r="S11" s="90">
        <f>L11+IFERROR(VLOOKUP($E:$E,'（居民）工资表-9月'!$E:$S,15,0),0)</f>
        <v>80500</v>
      </c>
      <c r="T11" s="91">
        <f>5000+IFERROR(VLOOKUP($E:$E,'（居民）工资表-9月'!$E:$T,16,0),0)</f>
        <v>45000</v>
      </c>
      <c r="U11" s="91">
        <f>Q11+IFERROR(VLOOKUP($E:$E,'（居民）工资表-9月'!$E:$U,17,0),0)</f>
        <v>5336.76</v>
      </c>
      <c r="V11" s="70"/>
      <c r="W11" s="70"/>
      <c r="X11" s="70"/>
      <c r="Y11" s="70"/>
      <c r="Z11" s="70"/>
      <c r="AA11" s="70"/>
      <c r="AB11" s="90">
        <f t="shared" ref="AB11:AB19" si="11">ROUND(SUM(V11:AA11),2)</f>
        <v>0</v>
      </c>
      <c r="AC11" s="90">
        <f>R11+IFERROR(VLOOKUP($E:$E,'（居民）工资表-9月'!$E:$AC,25,0),0)</f>
        <v>0</v>
      </c>
      <c r="AD11" s="95">
        <f t="shared" ref="AD11:AD19" si="12">ROUND(S11-T11-U11-AB11-AC11,2)</f>
        <v>30163.24</v>
      </c>
      <c r="AE11" s="96">
        <f>ROUND(MAX((AD11)*{0.03;0.1;0.2;0.25;0.3;0.35;0.45}-{0;2520;16920;31920;52920;85920;181920},0),2)</f>
        <v>904.9</v>
      </c>
      <c r="AF11" s="97">
        <f>IFERROR(VLOOKUP(E:E,'（居民）工资表-9月'!E:AF,28,0)+VLOOKUP(E:E,'（居民）工资表-9月'!E:AG,29,0),0)</f>
        <v>808.87</v>
      </c>
      <c r="AG11" s="97">
        <f t="shared" ref="AG11:AG19" si="13">IF((AE11-AF11)&lt;0,0,AE11-AF11)</f>
        <v>96.03</v>
      </c>
      <c r="AH11" s="107">
        <f t="shared" ref="AH11:AH19" si="14">ROUND(IF((L11-Q11-AG11)&lt;0,0,(L11-Q11-AG11)),2)</f>
        <v>8104.73</v>
      </c>
      <c r="AI11" s="108"/>
      <c r="AJ11" s="107">
        <f t="shared" ref="AJ11:AJ19" si="15">AH11+AI11</f>
        <v>8104.73</v>
      </c>
      <c r="AK11" s="109"/>
      <c r="AL11" s="107">
        <f t="shared" ref="AL11:AL19" si="16">AJ11+AG11+AK11</f>
        <v>8200.76</v>
      </c>
      <c r="AM11" s="109"/>
      <c r="AN11" s="109"/>
      <c r="AO11" s="109"/>
      <c r="AP11" s="109"/>
      <c r="AQ11" s="109"/>
      <c r="AR11" s="116" t="str">
        <f t="shared" ref="AR11:AR19" si="17">IF(LEN(E11)=18,IF(RIGHT(E11,1)="X"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,"正确","错误")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*1,"正确","错误")),IF(LEN(E11)=15,"老号，请注意！",IF(LEN(E11)=0,"未填写身份证号码","位数不对！")))</f>
        <v>正确</v>
      </c>
      <c r="AS11" s="116" t="str">
        <f t="shared" ref="AS11:AS19" si="18">IF(SUMPRODUCT(N(E$1:E$7=E11))&gt;1,"重复","不")</f>
        <v>不</v>
      </c>
      <c r="AT11" s="116" t="str">
        <f t="shared" ref="AT11:AT19" si="19">IF(SUMPRODUCT(N(AO$1:AO$7=AO11))&gt;1,"重复","不")</f>
        <v>重复</v>
      </c>
      <c r="AV11" s="12" t="s">
        <v>172</v>
      </c>
      <c r="AW11" s="12" t="s">
        <v>173</v>
      </c>
    </row>
    <row r="12" s="12" customFormat="1" ht="18" customHeight="1" spans="1:49">
      <c r="A12" s="36">
        <v>9</v>
      </c>
      <c r="B12" s="37" t="s">
        <v>144</v>
      </c>
      <c r="C12" s="37" t="s">
        <v>174</v>
      </c>
      <c r="D12" s="37" t="s">
        <v>145</v>
      </c>
      <c r="E12" s="328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504.56</v>
      </c>
      <c r="N12" s="71">
        <v>132.14</v>
      </c>
      <c r="O12" s="71">
        <v>31.54</v>
      </c>
      <c r="P12" s="71">
        <v>344</v>
      </c>
      <c r="Q12" s="89">
        <f t="shared" si="10"/>
        <v>1012.24</v>
      </c>
      <c r="R12" s="70">
        <v>0</v>
      </c>
      <c r="S12" s="90">
        <f>L12+IFERROR(VLOOKUP($E:$E,'（居民）工资表-9月'!$E:$S,15,0),0)</f>
        <v>67000</v>
      </c>
      <c r="T12" s="91">
        <f>5000+IFERROR(VLOOKUP($E:$E,'（居民）工资表-9月'!$E:$T,16,0),0)</f>
        <v>45000</v>
      </c>
      <c r="U12" s="91">
        <f>Q12+IFERROR(VLOOKUP($E:$E,'（居民）工资表-9月'!$E:$U,17,0),0)</f>
        <v>7253.76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R12+IFERROR(VLOOKUP($E:$E,'（居民）工资表-9月'!$E:$AC,25,0),0)</f>
        <v>0</v>
      </c>
      <c r="AD12" s="95">
        <f t="shared" si="12"/>
        <v>14746.24</v>
      </c>
      <c r="AE12" s="96">
        <f>ROUND(MAX((AD12)*{0.03;0.1;0.2;0.25;0.3;0.35;0.45}-{0;2520;16920;31920;52920;85920;181920},0),2)</f>
        <v>442.39</v>
      </c>
      <c r="AF12" s="97">
        <f>IFERROR(VLOOKUP(E:E,'（居民）工资表-9月'!E:AF,28,0)+VLOOKUP(E:E,'（居民）工资表-9月'!E:AG,29,0),0)</f>
        <v>397.75</v>
      </c>
      <c r="AG12" s="97">
        <f t="shared" si="13"/>
        <v>44.64</v>
      </c>
      <c r="AH12" s="107">
        <f t="shared" si="14"/>
        <v>6443.12</v>
      </c>
      <c r="AI12" s="108"/>
      <c r="AJ12" s="107">
        <f t="shared" si="15"/>
        <v>6443.12</v>
      </c>
      <c r="AK12" s="109"/>
      <c r="AL12" s="107">
        <f t="shared" si="16"/>
        <v>6487.76</v>
      </c>
      <c r="AM12" s="109"/>
      <c r="AN12" s="109"/>
      <c r="AO12" s="109"/>
      <c r="AP12" s="109"/>
      <c r="AQ12" s="109"/>
      <c r="AR12" s="116" t="str">
        <f t="shared" si="17"/>
        <v>正确</v>
      </c>
      <c r="AS12" s="116" t="str">
        <f t="shared" si="18"/>
        <v>不</v>
      </c>
      <c r="AT12" s="116" t="str">
        <f t="shared" si="19"/>
        <v>重复</v>
      </c>
      <c r="AV12" s="12" t="s">
        <v>159</v>
      </c>
      <c r="AW12" s="12" t="s">
        <v>51</v>
      </c>
    </row>
    <row r="13" s="12" customFormat="1" ht="18" customHeight="1" spans="1:49">
      <c r="A13" s="36">
        <v>10</v>
      </c>
      <c r="B13" s="37" t="s">
        <v>144</v>
      </c>
      <c r="C13" s="37" t="s">
        <v>176</v>
      </c>
      <c r="D13" s="37" t="s">
        <v>145</v>
      </c>
      <c r="E13" s="328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504.56</v>
      </c>
      <c r="N13" s="71">
        <v>132.14</v>
      </c>
      <c r="O13" s="71">
        <v>41.24</v>
      </c>
      <c r="P13" s="71">
        <v>344</v>
      </c>
      <c r="Q13" s="89">
        <f t="shared" si="10"/>
        <v>1021.94</v>
      </c>
      <c r="R13" s="70">
        <v>0</v>
      </c>
      <c r="S13" s="90">
        <f>L13+IFERROR(VLOOKUP($E:$E,'（居民）工资表-9月'!$E:$S,15,0),0)</f>
        <v>71000</v>
      </c>
      <c r="T13" s="91">
        <f>5000+IFERROR(VLOOKUP($E:$E,'（居民）工资表-9月'!$E:$T,16,0),0)</f>
        <v>45000</v>
      </c>
      <c r="U13" s="91">
        <f>Q13+IFERROR(VLOOKUP($E:$E,'（居民）工资表-9月'!$E:$U,17,0),0)</f>
        <v>7263.46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R13+IFERROR(VLOOKUP($E:$E,'（居民）工资表-9月'!$E:$AC,25,0),0)</f>
        <v>0</v>
      </c>
      <c r="AD13" s="95">
        <f t="shared" si="12"/>
        <v>18736.54</v>
      </c>
      <c r="AE13" s="96">
        <f>ROUND(MAX((AD13)*{0.03;0.1;0.2;0.25;0.3;0.35;0.45}-{0;2520;16920;31920;52920;85920;181920},0),2)</f>
        <v>562.1</v>
      </c>
      <c r="AF13" s="97">
        <f>IFERROR(VLOOKUP(E:E,'（居民）工资表-9月'!E:AF,28,0)+VLOOKUP(E:E,'（居民）工资表-9月'!E:AG,29,0),0)</f>
        <v>502.75</v>
      </c>
      <c r="AG13" s="97">
        <f t="shared" si="13"/>
        <v>59.35</v>
      </c>
      <c r="AH13" s="107">
        <f t="shared" si="14"/>
        <v>6918.71</v>
      </c>
      <c r="AI13" s="108"/>
      <c r="AJ13" s="107">
        <f t="shared" si="15"/>
        <v>6918.71</v>
      </c>
      <c r="AK13" s="109"/>
      <c r="AL13" s="107">
        <f t="shared" si="16"/>
        <v>6978.06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V13" s="12" t="s">
        <v>159</v>
      </c>
      <c r="AW13" s="12" t="s">
        <v>51</v>
      </c>
    </row>
    <row r="14" s="12" customFormat="1" ht="18" customHeight="1" spans="1:49">
      <c r="A14" s="36">
        <v>11</v>
      </c>
      <c r="B14" s="37" t="s">
        <v>144</v>
      </c>
      <c r="C14" s="37" t="s">
        <v>183</v>
      </c>
      <c r="D14" s="37" t="s">
        <v>145</v>
      </c>
      <c r="E14" s="328" t="s">
        <v>184</v>
      </c>
      <c r="F14" s="38" t="s">
        <v>150</v>
      </c>
      <c r="G14" s="39"/>
      <c r="H14" s="40"/>
      <c r="I14" s="40"/>
      <c r="J14" s="69"/>
      <c r="K14" s="40"/>
      <c r="L14" s="70">
        <v>6000</v>
      </c>
      <c r="M14" s="71">
        <v>504.56</v>
      </c>
      <c r="N14" s="71">
        <v>126.14</v>
      </c>
      <c r="O14" s="71">
        <v>31.54</v>
      </c>
      <c r="P14" s="71">
        <v>103</v>
      </c>
      <c r="Q14" s="89">
        <f t="shared" si="10"/>
        <v>765.24</v>
      </c>
      <c r="R14" s="70">
        <v>0</v>
      </c>
      <c r="S14" s="90">
        <f>L14+IFERROR(VLOOKUP($E:$E,'（居民）工资表-9月'!$E:$S,15,0),0)</f>
        <v>54000</v>
      </c>
      <c r="T14" s="91">
        <f>5000+IFERROR(VLOOKUP($E:$E,'（居民）工资表-9月'!$E:$T,16,0),0)</f>
        <v>45000</v>
      </c>
      <c r="U14" s="91">
        <f>Q14+IFERROR(VLOOKUP($E:$E,'（居民）工资表-9月'!$E:$U,17,0),0)</f>
        <v>5030.76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R14+IFERROR(VLOOKUP($E:$E,'（居民）工资表-9月'!$E:$AC,25,0),0)</f>
        <v>0</v>
      </c>
      <c r="AD14" s="95">
        <f t="shared" si="12"/>
        <v>3969.24</v>
      </c>
      <c r="AE14" s="96">
        <f>ROUND(MAX((AD14)*{0.03;0.1;0.2;0.25;0.3;0.35;0.45}-{0;2520;16920;31920;52920;85920;181920},0),2)</f>
        <v>119.08</v>
      </c>
      <c r="AF14" s="97">
        <f>IFERROR(VLOOKUP(E:E,'（居民）工资表-9月'!E:AF,28,0)+VLOOKUP(E:E,'（居民）工资表-9月'!E:AG,29,0),0)</f>
        <v>112.03</v>
      </c>
      <c r="AG14" s="97">
        <f t="shared" si="13"/>
        <v>7.05</v>
      </c>
      <c r="AH14" s="107">
        <f t="shared" si="14"/>
        <v>5227.71</v>
      </c>
      <c r="AI14" s="108"/>
      <c r="AJ14" s="107">
        <f t="shared" si="15"/>
        <v>5227.71</v>
      </c>
      <c r="AK14" s="109"/>
      <c r="AL14" s="107">
        <f t="shared" si="16"/>
        <v>5234.76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V14" s="12" t="s">
        <v>159</v>
      </c>
      <c r="AW14" s="12" t="s">
        <v>51</v>
      </c>
    </row>
    <row r="15" s="12" customFormat="1" ht="18" customHeight="1" spans="1:49">
      <c r="A15" s="36">
        <v>12</v>
      </c>
      <c r="B15" s="37" t="s">
        <v>144</v>
      </c>
      <c r="C15" s="37" t="s">
        <v>185</v>
      </c>
      <c r="D15" s="37" t="s">
        <v>145</v>
      </c>
      <c r="E15" s="328" t="s">
        <v>186</v>
      </c>
      <c r="F15" s="38" t="s">
        <v>146</v>
      </c>
      <c r="G15" s="39">
        <v>15056587375</v>
      </c>
      <c r="H15" s="40"/>
      <c r="I15" s="40"/>
      <c r="J15" s="69"/>
      <c r="K15" s="40"/>
      <c r="L15" s="70">
        <v>10000</v>
      </c>
      <c r="M15" s="71">
        <v>504.56</v>
      </c>
      <c r="N15" s="71">
        <v>139.8</v>
      </c>
      <c r="O15" s="71">
        <v>31.54</v>
      </c>
      <c r="P15" s="71">
        <v>97</v>
      </c>
      <c r="Q15" s="89">
        <f t="shared" si="10"/>
        <v>772.9</v>
      </c>
      <c r="R15" s="70">
        <v>0</v>
      </c>
      <c r="S15" s="90">
        <f>L15+IFERROR(VLOOKUP($E:$E,'（居民）工资表-9月'!$E:$S,15,0),0)</f>
        <v>90000</v>
      </c>
      <c r="T15" s="91">
        <f>5000+IFERROR(VLOOKUP($E:$E,'（居民）工资表-9月'!$E:$T,16,0),0)</f>
        <v>45000</v>
      </c>
      <c r="U15" s="91">
        <f>Q15+IFERROR(VLOOKUP($E:$E,'（居民）工资表-9月'!$E:$U,17,0),0)</f>
        <v>5061.45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R15+IFERROR(VLOOKUP($E:$E,'（居民）工资表-9月'!$E:$AC,25,0),0)</f>
        <v>0</v>
      </c>
      <c r="AD15" s="95">
        <f t="shared" si="12"/>
        <v>39938.55</v>
      </c>
      <c r="AE15" s="96">
        <f>ROUND(MAX((AD15)*{0.03;0.1;0.2;0.25;0.3;0.35;0.45}-{0;2520;16920;31920;52920;85920;181920},0),2)</f>
        <v>1473.86</v>
      </c>
      <c r="AF15" s="97">
        <f>IFERROR(VLOOKUP(E:E,'（居民）工资表-9月'!E:AF,28,0)+VLOOKUP(E:E,'（居民）工资表-9月'!E:AG,29,0),0)</f>
        <v>1071.34</v>
      </c>
      <c r="AG15" s="97">
        <f t="shared" si="13"/>
        <v>402.52</v>
      </c>
      <c r="AH15" s="107">
        <f t="shared" si="14"/>
        <v>8824.58</v>
      </c>
      <c r="AI15" s="108"/>
      <c r="AJ15" s="107">
        <f t="shared" si="15"/>
        <v>8824.58</v>
      </c>
      <c r="AK15" s="109"/>
      <c r="AL15" s="107">
        <f t="shared" si="16"/>
        <v>9227.1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V15" s="12" t="s">
        <v>159</v>
      </c>
      <c r="AW15" s="12" t="s">
        <v>51</v>
      </c>
    </row>
    <row r="16" s="12" customFormat="1" ht="18" customHeight="1" spans="1:49">
      <c r="A16" s="36">
        <v>13</v>
      </c>
      <c r="B16" s="37" t="s">
        <v>144</v>
      </c>
      <c r="C16" s="37" t="s">
        <v>187</v>
      </c>
      <c r="D16" s="37" t="s">
        <v>145</v>
      </c>
      <c r="E16" s="37" t="s">
        <v>188</v>
      </c>
      <c r="F16" s="38" t="s">
        <v>146</v>
      </c>
      <c r="G16" s="39">
        <v>13711361074</v>
      </c>
      <c r="H16" s="40"/>
      <c r="I16" s="40"/>
      <c r="J16" s="69"/>
      <c r="K16" s="40"/>
      <c r="L16" s="70">
        <v>7560.35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10"/>
        <v>552.57</v>
      </c>
      <c r="R16" s="70">
        <v>0</v>
      </c>
      <c r="S16" s="90">
        <f>L16+IFERROR(VLOOKUP($E:$E,'（居民）工资表-9月'!$E:$S,15,0),0)</f>
        <v>50223.98</v>
      </c>
      <c r="T16" s="91">
        <f>5000+IFERROR(VLOOKUP($E:$E,'（居民）工资表-9月'!$E:$T,16,0),0)</f>
        <v>40000</v>
      </c>
      <c r="U16" s="91">
        <f>Q16+IFERROR(VLOOKUP($E:$E,'（居民）工资表-9月'!$E:$U,17,0),0)</f>
        <v>3343.23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R16+IFERROR(VLOOKUP($E:$E,'（居民）工资表-9月'!$E:$AC,25,0),0)</f>
        <v>0</v>
      </c>
      <c r="AD16" s="95">
        <f t="shared" si="12"/>
        <v>6880.75</v>
      </c>
      <c r="AE16" s="96">
        <f>ROUND(MAX((AD16)*{0.03;0.1;0.2;0.25;0.3;0.35;0.45}-{0;2520;16920;31920;52920;85920;181920},0),2)</f>
        <v>206.42</v>
      </c>
      <c r="AF16" s="97">
        <f>IFERROR(VLOOKUP(E:E,'（居民）工资表-9月'!E:AF,28,0)+VLOOKUP(E:E,'（居民）工资表-9月'!E:AG,29,0),0)</f>
        <v>146.19</v>
      </c>
      <c r="AG16" s="97">
        <f t="shared" si="13"/>
        <v>60.23</v>
      </c>
      <c r="AH16" s="107">
        <f t="shared" si="14"/>
        <v>6947.55</v>
      </c>
      <c r="AI16" s="108"/>
      <c r="AJ16" s="107">
        <f t="shared" si="15"/>
        <v>6947.55</v>
      </c>
      <c r="AK16" s="109"/>
      <c r="AL16" s="107">
        <f t="shared" si="16"/>
        <v>7007.78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V16" s="12" t="s">
        <v>159</v>
      </c>
      <c r="AW16" s="12" t="s">
        <v>51</v>
      </c>
    </row>
    <row r="17" s="12" customFormat="1" ht="18" customHeight="1" spans="1:46">
      <c r="A17" s="36"/>
      <c r="B17" s="37"/>
      <c r="C17" s="128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189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122668.32</v>
      </c>
      <c r="M18" s="74">
        <f>SUM(M4:M17)</f>
        <v>5953.13</v>
      </c>
      <c r="N18" s="74">
        <f>SUM(N4:N17)</f>
        <v>1641.6</v>
      </c>
      <c r="O18" s="74">
        <f>SUM(O4:O17)</f>
        <v>334.82</v>
      </c>
      <c r="P18" s="74">
        <f>SUM(P4:P17)</f>
        <v>2232.9</v>
      </c>
      <c r="Q18" s="74">
        <f t="shared" ref="Q18:AL18" si="20">SUM(Q4:Q17)</f>
        <v>10162.45</v>
      </c>
      <c r="R18" s="74">
        <f t="shared" si="20"/>
        <v>0</v>
      </c>
      <c r="S18" s="74">
        <f t="shared" si="20"/>
        <v>1090127.12</v>
      </c>
      <c r="T18" s="74">
        <f t="shared" si="20"/>
        <v>580000</v>
      </c>
      <c r="U18" s="74">
        <f t="shared" si="20"/>
        <v>76694.64</v>
      </c>
      <c r="V18" s="74">
        <f t="shared" si="20"/>
        <v>10000</v>
      </c>
      <c r="W18" s="74">
        <f t="shared" si="20"/>
        <v>0</v>
      </c>
      <c r="X18" s="74">
        <f t="shared" si="20"/>
        <v>10000</v>
      </c>
      <c r="Y18" s="74">
        <f t="shared" si="20"/>
        <v>0</v>
      </c>
      <c r="Z18" s="74">
        <f t="shared" si="20"/>
        <v>4000</v>
      </c>
      <c r="AA18" s="74">
        <f t="shared" si="20"/>
        <v>0</v>
      </c>
      <c r="AB18" s="74">
        <f t="shared" si="20"/>
        <v>24000</v>
      </c>
      <c r="AC18" s="74">
        <f t="shared" si="20"/>
        <v>0</v>
      </c>
      <c r="AD18" s="74">
        <f t="shared" si="20"/>
        <v>409432.48</v>
      </c>
      <c r="AE18" s="74">
        <f t="shared" si="20"/>
        <v>33555.2</v>
      </c>
      <c r="AF18" s="74">
        <f t="shared" si="20"/>
        <v>28051.88</v>
      </c>
      <c r="AG18" s="74">
        <f t="shared" si="20"/>
        <v>6076.6</v>
      </c>
      <c r="AH18" s="74">
        <f t="shared" si="20"/>
        <v>106429.27</v>
      </c>
      <c r="AI18" s="74">
        <f t="shared" si="20"/>
        <v>0</v>
      </c>
      <c r="AJ18" s="74">
        <f t="shared" si="20"/>
        <v>106429.27</v>
      </c>
      <c r="AK18" s="74">
        <f t="shared" si="20"/>
        <v>0</v>
      </c>
      <c r="AL18" s="74">
        <f t="shared" si="20"/>
        <v>112505.87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133</v>
      </c>
      <c r="C22" s="47" t="s">
        <v>190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106429.27</v>
      </c>
      <c r="C23" s="48">
        <f>AG18</f>
        <v>6076.6</v>
      </c>
      <c r="D23" s="48">
        <f>AK18</f>
        <v>0</v>
      </c>
      <c r="E23" s="48">
        <f>B23+C23+D23</f>
        <v>112505.87</v>
      </c>
    </row>
    <row r="24" spans="2:5">
      <c r="B24" s="49"/>
      <c r="C24" s="49"/>
      <c r="D24" s="49"/>
      <c r="E24" s="49"/>
    </row>
    <row r="25" s="14" customFormat="1" spans="1:35">
      <c r="A25" s="51" t="s">
        <v>191</v>
      </c>
      <c r="B25" s="52" t="s">
        <v>192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193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194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195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196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197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198</v>
      </c>
    </row>
    <row r="33" spans="2:2">
      <c r="B33" s="59" t="s">
        <v>199</v>
      </c>
    </row>
    <row r="34" spans="2:2">
      <c r="B34" s="59" t="s">
        <v>200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C17">
    <cfRule type="duplicateValues" dxfId="4" priority="1"/>
  </conditionalFormatting>
  <conditionalFormatting sqref="B30">
    <cfRule type="duplicateValues" dxfId="4" priority="3" stopIfTrue="1"/>
  </conditionalFormatting>
  <conditionalFormatting sqref="B25:B29">
    <cfRule type="duplicateValues" dxfId="4" priority="4" stopIfTrue="1"/>
  </conditionalFormatting>
  <conditionalFormatting sqref="B33:B34">
    <cfRule type="duplicateValues" dxfId="4" priority="2" stopIfTrue="1"/>
  </conditionalFormatting>
  <conditionalFormatting sqref="C22:C24">
    <cfRule type="duplicateValues" dxfId="4" priority="5" stopIfTrue="1"/>
    <cfRule type="expression" dxfId="5" priority="6" stopIfTrue="1">
      <formula>AND(COUNTIF($B$18:$B$65454,C22)+COUNTIF($B$1:$B$3,C22)&gt;1,NOT(ISBLANK(C22)))</formula>
    </cfRule>
    <cfRule type="expression" dxfId="5" priority="7" stopIfTrue="1">
      <formula>AND(COUNTIF($B$29:$B$65405,C22)+COUNTIF($B$1:$B$28,C22)&gt;1,NOT(ISBLANK(C22)))</formula>
    </cfRule>
    <cfRule type="expression" dxfId="5" priority="8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V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 t="shared" ref="Q4:Q16" si="0">ROUND(SUM(M4:P4),2)</f>
        <v>621.03</v>
      </c>
      <c r="R4" s="70">
        <v>0</v>
      </c>
      <c r="S4" s="90">
        <f>L4+IFERROR(VLOOKUP($E:$E,'（居民）工资表-10月'!$E:$S,15,0),0)</f>
        <v>80000</v>
      </c>
      <c r="T4" s="91">
        <f>5000+IFERROR(VLOOKUP($E:$E,'（居民）工资表-10月'!$E:$T,16,0),0)</f>
        <v>50000</v>
      </c>
      <c r="U4" s="91">
        <f>Q4+IFERROR(VLOOKUP($E:$E,'（居民）工资表-10月'!$E:$U,17,0),0)</f>
        <v>6132.77</v>
      </c>
      <c r="V4" s="70"/>
      <c r="W4" s="70"/>
      <c r="X4" s="70"/>
      <c r="Y4" s="70"/>
      <c r="Z4" s="70"/>
      <c r="AA4" s="70"/>
      <c r="AB4" s="90">
        <f t="shared" ref="AB4:AB16" si="1">ROUND(SUM(V4:AA4),2)</f>
        <v>0</v>
      </c>
      <c r="AC4" s="90">
        <f>R4+IFERROR(VLOOKUP($E:$E,'（居民）工资表-10月'!$E:$AC,25,0),0)</f>
        <v>0</v>
      </c>
      <c r="AD4" s="95">
        <f t="shared" ref="AD4:AD16" si="2">ROUND(S4-T4-U4-AB4-AC4,2)</f>
        <v>23867.23</v>
      </c>
      <c r="AE4" s="96">
        <f>ROUND(MAX((AD4)*{0.03;0.1;0.2;0.25;0.3;0.35;0.45}-{0;2520;16920;31920;52920;85920;181920},0),2)</f>
        <v>716.02</v>
      </c>
      <c r="AF4" s="97">
        <f>IFERROR(VLOOKUP(E:E,'（居民）工资表-10月'!E:AF,28,0)+VLOOKUP(E:E,'（居民）工资表-10月'!E:AG,29,0),0)</f>
        <v>573.28</v>
      </c>
      <c r="AG4" s="97">
        <f>IF((AE4-AF4)&lt;0,0,AE4-AF4)</f>
        <v>142.74</v>
      </c>
      <c r="AH4" s="107">
        <f t="shared" ref="AH4:AH16" si="3">ROUND(IF((L4-Q4-AG4)&lt;0,0,(L4-Q4-AG4)),2)</f>
        <v>7236.23</v>
      </c>
      <c r="AI4" s="108"/>
      <c r="AJ4" s="107">
        <f t="shared" ref="AJ4:AJ16" si="4">AH4+AI4</f>
        <v>7236.23</v>
      </c>
      <c r="AK4" s="109"/>
      <c r="AL4" s="107">
        <f t="shared" ref="AL4:AL16" si="5">AJ4+AG4+AK4</f>
        <v>7378.97</v>
      </c>
      <c r="AM4" s="109"/>
      <c r="AN4" s="109"/>
      <c r="AO4" s="109"/>
      <c r="AP4" s="109"/>
      <c r="AQ4" s="109"/>
      <c r="AR4" s="116" t="str">
        <f t="shared" ref="AR4:AR16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IF(SUMPRODUCT(N(E$1:E$6=E4))&gt;1,"重复","不")</f>
        <v>不</v>
      </c>
      <c r="AT4" s="116" t="str">
        <f t="shared" ref="AT4:AT12" si="8">IF(SUMPRODUCT(N(AO$1:AO$6=AO4))&gt;1,"重复","不")</f>
        <v>重复</v>
      </c>
      <c r="AU4" s="11"/>
      <c r="AV4" s="11"/>
    </row>
    <row r="5" s="12" customFormat="1" ht="18" customHeight="1" spans="1:48">
      <c r="A5" s="36">
        <v>2</v>
      </c>
      <c r="B5" s="37" t="s">
        <v>144</v>
      </c>
      <c r="C5" s="37" t="s">
        <v>148</v>
      </c>
      <c r="D5" s="37" t="s">
        <v>145</v>
      </c>
      <c r="E5" s="328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L5+IFERROR(VLOOKUP($E:$E,'（居民）工资表-10月'!$E:$S,15,0),0)</f>
        <v>60780</v>
      </c>
      <c r="T5" s="91">
        <f>5000+IFERROR(VLOOKUP($E:$E,'（居民）工资表-10月'!$E:$T,16,0),0)</f>
        <v>50000</v>
      </c>
      <c r="U5" s="91">
        <f>Q5+IFERROR(VLOOKUP($E:$E,'（居民）工资表-10月'!$E:$U,17,0),0)</f>
        <v>6835.2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R5+IFERROR(VLOOKUP($E:$E,'（居民）工资表-10月'!$E:$AC,25,0),0)</f>
        <v>0</v>
      </c>
      <c r="AD5" s="95">
        <f t="shared" si="2"/>
        <v>3944.8</v>
      </c>
      <c r="AE5" s="96">
        <f>ROUND(MAX((AD5)*{0.03;0.1;0.2;0.25;0.3;0.35;0.45}-{0;2520;16920;31920;52920;85920;181920},0),2)</f>
        <v>118.34</v>
      </c>
      <c r="AF5" s="97">
        <f>IFERROR(VLOOKUP(E:E,'（居民）工资表-10月'!E:AF,28,0)+VLOOKUP(E:E,'（居民）工资表-10月'!E:AG,29,0),0)</f>
        <v>105.21</v>
      </c>
      <c r="AG5" s="97">
        <f t="shared" ref="AG5:AG16" si="9">IF((AE5-AF5)&lt;0,0,AE5-AF5)</f>
        <v>13.13</v>
      </c>
      <c r="AH5" s="107">
        <f t="shared" si="3"/>
        <v>5424.63</v>
      </c>
      <c r="AI5" s="108"/>
      <c r="AJ5" s="107">
        <f t="shared" si="4"/>
        <v>5424.63</v>
      </c>
      <c r="AK5" s="109"/>
      <c r="AL5" s="107">
        <f t="shared" si="5"/>
        <v>5437.76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1"/>
      <c r="AV5" s="11"/>
    </row>
    <row r="6" s="12" customFormat="1" ht="18" customHeight="1" spans="1:48">
      <c r="A6" s="36">
        <v>3</v>
      </c>
      <c r="B6" s="37" t="s">
        <v>144</v>
      </c>
      <c r="C6" s="37" t="s">
        <v>151</v>
      </c>
      <c r="D6" s="37" t="s">
        <v>145</v>
      </c>
      <c r="E6" s="328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L6+IFERROR(VLOOKUP($E:$E,'（居民）工资表-10月'!$E:$S,15,0),0)</f>
        <v>300600</v>
      </c>
      <c r="T6" s="91">
        <f>5000+IFERROR(VLOOKUP($E:$E,'（居民）工资表-10月'!$E:$T,16,0),0)</f>
        <v>50000</v>
      </c>
      <c r="U6" s="91">
        <f>Q6+IFERROR(VLOOKUP($E:$E,'（居民）工资表-10月'!$E:$U,17,0),0)</f>
        <v>9603.66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R6+IFERROR(VLOOKUP($E:$E,'（居民）工资表-10月'!$E:$AC,25,0),0)</f>
        <v>0</v>
      </c>
      <c r="AD6" s="95">
        <f t="shared" si="2"/>
        <v>240996.34</v>
      </c>
      <c r="AE6" s="96">
        <f>ROUND(MAX((AD6)*{0.03;0.1;0.2;0.25;0.3;0.35;0.45}-{0;2520;16920;31920;52920;85920;181920},0),2)</f>
        <v>31279.27</v>
      </c>
      <c r="AF6" s="97">
        <f>IFERROR(VLOOKUP(E:E,'（居民）工资表-10月'!E:AF,28,0)+VLOOKUP(E:E,'（居民）工资表-10月'!E:AG,29,0),0)</f>
        <v>26459.93</v>
      </c>
      <c r="AG6" s="97">
        <f t="shared" si="9"/>
        <v>4819.34</v>
      </c>
      <c r="AH6" s="107">
        <f t="shared" si="3"/>
        <v>24277.34</v>
      </c>
      <c r="AI6" s="108"/>
      <c r="AJ6" s="107">
        <f t="shared" si="4"/>
        <v>24277.34</v>
      </c>
      <c r="AK6" s="109"/>
      <c r="AL6" s="107">
        <f t="shared" si="5"/>
        <v>29096.68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1"/>
      <c r="AV6" s="11"/>
    </row>
    <row r="7" s="12" customFormat="1" ht="19" customHeight="1" spans="1:48">
      <c r="A7" s="36">
        <v>4</v>
      </c>
      <c r="B7" s="37" t="s">
        <v>144</v>
      </c>
      <c r="C7" s="37" t="s">
        <v>156</v>
      </c>
      <c r="D7" s="37" t="s">
        <v>145</v>
      </c>
      <c r="E7" s="328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89">
        <f t="shared" si="0"/>
        <v>550</v>
      </c>
      <c r="R7" s="70">
        <v>0</v>
      </c>
      <c r="S7" s="90">
        <f>L7+IFERROR(VLOOKUP($E:$E,'（居民）工资表-10月'!$E:$S,15,0),0)</f>
        <v>93000</v>
      </c>
      <c r="T7" s="91">
        <f>5000+IFERROR(VLOOKUP($E:$E,'（居民）工资表-10月'!$E:$T,16,0),0)</f>
        <v>50000</v>
      </c>
      <c r="U7" s="91">
        <f>Q7+IFERROR(VLOOKUP($E:$E,'（居民）工资表-10月'!$E:$U,17,0),0)</f>
        <v>5611.45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R7+IFERROR(VLOOKUP($E:$E,'（居民）工资表-10月'!$E:$AC,25,0),0)</f>
        <v>0</v>
      </c>
      <c r="AD7" s="95">
        <f t="shared" si="2"/>
        <v>37388.55</v>
      </c>
      <c r="AE7" s="96">
        <f>ROUND(MAX((AD7)*{0.03;0.1;0.2;0.25;0.3;0.35;0.45}-{0;2520;16920;31920;52920;85920;181920},0),2)</f>
        <v>1218.86</v>
      </c>
      <c r="AF7" s="97">
        <f>IFERROR(VLOOKUP(E:E,'（居民）工资表-10月'!E:AF,28,0)+VLOOKUP(E:E,'（居民）工资表-10月'!E:AG,29,0),0)</f>
        <v>1018.16</v>
      </c>
      <c r="AG7" s="97">
        <f t="shared" si="9"/>
        <v>200.7</v>
      </c>
      <c r="AH7" s="107">
        <f t="shared" si="3"/>
        <v>8249.3</v>
      </c>
      <c r="AI7" s="108"/>
      <c r="AJ7" s="107">
        <f t="shared" si="4"/>
        <v>8249.3</v>
      </c>
      <c r="AK7" s="109"/>
      <c r="AL7" s="107">
        <f t="shared" si="5"/>
        <v>8450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1"/>
      <c r="AV7" s="11"/>
    </row>
    <row r="8" s="12" customFormat="1" ht="19" customHeight="1" spans="1:48">
      <c r="A8" s="36">
        <v>5</v>
      </c>
      <c r="B8" s="37" t="s">
        <v>144</v>
      </c>
      <c r="C8" s="37" t="s">
        <v>160</v>
      </c>
      <c r="D8" s="37" t="s">
        <v>145</v>
      </c>
      <c r="E8" s="328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89">
        <f t="shared" si="0"/>
        <v>793.84</v>
      </c>
      <c r="R8" s="70">
        <v>0</v>
      </c>
      <c r="S8" s="90">
        <f>L8+IFERROR(VLOOKUP($E:$E,'（居民）工资表-10月'!$E:$S,15,0),0)</f>
        <v>108000</v>
      </c>
      <c r="T8" s="91">
        <f>5000+IFERROR(VLOOKUP($E:$E,'（居民）工资表-10月'!$E:$T,16,0),0)</f>
        <v>50000</v>
      </c>
      <c r="U8" s="91">
        <f>Q8+IFERROR(VLOOKUP($E:$E,'（居民）工资表-10月'!$E:$U,17,0),0)</f>
        <v>8047.6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R8+IFERROR(VLOOKUP($E:$E,'（居民）工资表-10月'!$E:$AC,25,0),0)</f>
        <v>0</v>
      </c>
      <c r="AD8" s="95">
        <f t="shared" si="2"/>
        <v>49952.4</v>
      </c>
      <c r="AE8" s="96">
        <f>ROUND(MAX((AD8)*{0.03;0.1;0.2;0.25;0.3;0.35;0.45}-{0;2520;16920;31920;52920;85920;181920},0),2)</f>
        <v>2475.24</v>
      </c>
      <c r="AF8" s="97">
        <f>IFERROR(VLOOKUP(E:E,'（居民）工资表-10月'!E:AF,28,0)+VLOOKUP(E:E,'（居民）工资表-10月'!E:AG,29,0),0)</f>
        <v>2004.62</v>
      </c>
      <c r="AG8" s="97">
        <f t="shared" si="9"/>
        <v>470.62</v>
      </c>
      <c r="AH8" s="107">
        <f t="shared" si="3"/>
        <v>9235.54</v>
      </c>
      <c r="AI8" s="108"/>
      <c r="AJ8" s="107">
        <f t="shared" si="4"/>
        <v>9235.54</v>
      </c>
      <c r="AK8" s="109"/>
      <c r="AL8" s="107">
        <f t="shared" si="5"/>
        <v>9706.16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1"/>
      <c r="AV8" s="11"/>
    </row>
    <row r="9" s="12" customFormat="1" ht="19" customHeight="1" spans="1:48">
      <c r="A9" s="36">
        <v>6</v>
      </c>
      <c r="B9" s="37" t="s">
        <v>144</v>
      </c>
      <c r="C9" s="37" t="s">
        <v>162</v>
      </c>
      <c r="D9" s="37" t="s">
        <v>145</v>
      </c>
      <c r="E9" s="328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299.28</v>
      </c>
      <c r="N9" s="71">
        <v>95.54</v>
      </c>
      <c r="O9" s="71">
        <v>11.22</v>
      </c>
      <c r="P9" s="71">
        <v>100</v>
      </c>
      <c r="Q9" s="89">
        <f t="shared" si="0"/>
        <v>506.04</v>
      </c>
      <c r="R9" s="70">
        <v>0</v>
      </c>
      <c r="S9" s="90">
        <f>L9+IFERROR(VLOOKUP($E:$E,'（居民）工资表-10月'!$E:$S,15,0),0)</f>
        <v>65000</v>
      </c>
      <c r="T9" s="91">
        <f>5000+IFERROR(VLOOKUP($E:$E,'（居民）工资表-10月'!$E:$T,16,0),0)</f>
        <v>50000</v>
      </c>
      <c r="U9" s="91">
        <f>Q9+IFERROR(VLOOKUP($E:$E,'（居民）工资表-10月'!$E:$U,17,0),0)</f>
        <v>5388.21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R9+IFERROR(VLOOKUP($E:$E,'（居民）工资表-10月'!$E:$AC,25,0),0)</f>
        <v>0</v>
      </c>
      <c r="AD9" s="95">
        <f t="shared" si="2"/>
        <v>9611.79</v>
      </c>
      <c r="AE9" s="96">
        <f>ROUND(MAX((AD9)*{0.03;0.1;0.2;0.25;0.3;0.35;0.45}-{0;2520;16920;31920;52920;85920;181920},0),2)</f>
        <v>288.35</v>
      </c>
      <c r="AF9" s="97">
        <f>IFERROR(VLOOKUP(E:E,'（居民）工资表-10月'!E:AF,28,0)+VLOOKUP(E:E,'（居民）工资表-10月'!E:AG,29,0),0)</f>
        <v>258.53</v>
      </c>
      <c r="AG9" s="97">
        <f t="shared" si="9"/>
        <v>29.8200000000001</v>
      </c>
      <c r="AH9" s="107">
        <f t="shared" si="3"/>
        <v>5964.14</v>
      </c>
      <c r="AI9" s="108"/>
      <c r="AJ9" s="107">
        <f t="shared" si="4"/>
        <v>5964.14</v>
      </c>
      <c r="AK9" s="109"/>
      <c r="AL9" s="107">
        <f t="shared" si="5"/>
        <v>5993.96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1"/>
      <c r="AV9" s="11"/>
    </row>
    <row r="10" s="12" customFormat="1" ht="19" customHeight="1" spans="1:48">
      <c r="A10" s="36">
        <v>7</v>
      </c>
      <c r="B10" s="37" t="s">
        <v>144</v>
      </c>
      <c r="C10" s="37" t="s">
        <v>165</v>
      </c>
      <c r="D10" s="37" t="s">
        <v>145</v>
      </c>
      <c r="E10" s="328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L10+IFERROR(VLOOKUP($E:$E,'（居民）工资表-10月'!$E:$S,15,0),0)</f>
        <v>44631.11</v>
      </c>
      <c r="T10" s="91">
        <f>5000+IFERROR(VLOOKUP($E:$E,'（居民）工资表-10月'!$E:$T,16,0),0)</f>
        <v>50000</v>
      </c>
      <c r="U10" s="91">
        <f>Q10+IFERROR(VLOOKUP($E:$E,'（居民）工资表-10月'!$E:$U,17,0),0)</f>
        <v>6547.17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R10+IFERROR(VLOOKUP($E:$E,'（居民）工资表-10月'!$E:$AC,25,0),0)</f>
        <v>0</v>
      </c>
      <c r="AD10" s="95">
        <f t="shared" si="2"/>
        <v>-11916.06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9"/>
        <v>0</v>
      </c>
      <c r="AH10" s="107">
        <f t="shared" si="3"/>
        <v>3783.6</v>
      </c>
      <c r="AI10" s="108"/>
      <c r="AJ10" s="107">
        <f t="shared" si="4"/>
        <v>3783.6</v>
      </c>
      <c r="AK10" s="109"/>
      <c r="AL10" s="107">
        <f t="shared" si="5"/>
        <v>3783.6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1"/>
      <c r="AV10" s="11"/>
    </row>
    <row r="11" s="12" customFormat="1" ht="18" customHeight="1" spans="1:48">
      <c r="A11" s="36">
        <v>8</v>
      </c>
      <c r="B11" s="37" t="s">
        <v>144</v>
      </c>
      <c r="C11" s="37" t="s">
        <v>170</v>
      </c>
      <c r="D11" s="37" t="s">
        <v>145</v>
      </c>
      <c r="E11" s="328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89">
        <f t="shared" si="0"/>
        <v>580.84</v>
      </c>
      <c r="R11" s="70">
        <v>0</v>
      </c>
      <c r="S11" s="90">
        <f>L11+IFERROR(VLOOKUP($E:$E,'（居民）工资表-10月'!$E:$S,15,0),0)</f>
        <v>89500</v>
      </c>
      <c r="T11" s="91">
        <f>5000+IFERROR(VLOOKUP($E:$E,'（居民）工资表-10月'!$E:$T,16,0),0)</f>
        <v>50000</v>
      </c>
      <c r="U11" s="91">
        <f>Q11+IFERROR(VLOOKUP($E:$E,'（居民）工资表-10月'!$E:$U,17,0),0)</f>
        <v>5917.6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R11+IFERROR(VLOOKUP($E:$E,'（居民）工资表-10月'!$E:$AC,25,0),0)</f>
        <v>0</v>
      </c>
      <c r="AD11" s="95">
        <f t="shared" si="2"/>
        <v>33582.4</v>
      </c>
      <c r="AE11" s="96">
        <f>ROUND(MAX((AD11)*{0.03;0.1;0.2;0.25;0.3;0.35;0.45}-{0;2520;16920;31920;52920;85920;181920},0),2)</f>
        <v>1007.47</v>
      </c>
      <c r="AF11" s="97">
        <f>IFERROR(VLOOKUP(E:E,'（居民）工资表-10月'!E:AF,28,0)+VLOOKUP(E:E,'（居民）工资表-10月'!E:AG,29,0),0)</f>
        <v>904.9</v>
      </c>
      <c r="AG11" s="97">
        <f t="shared" si="9"/>
        <v>102.57</v>
      </c>
      <c r="AH11" s="107">
        <f t="shared" si="3"/>
        <v>8316.59</v>
      </c>
      <c r="AI11" s="108"/>
      <c r="AJ11" s="107">
        <f t="shared" si="4"/>
        <v>8316.59</v>
      </c>
      <c r="AK11" s="109"/>
      <c r="AL11" s="107">
        <f t="shared" si="5"/>
        <v>8419.16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1"/>
      <c r="AV11" s="11"/>
    </row>
    <row r="12" s="12" customFormat="1" ht="18" customHeight="1" spans="1:48">
      <c r="A12" s="36">
        <v>9</v>
      </c>
      <c r="B12" s="37" t="s">
        <v>144</v>
      </c>
      <c r="C12" s="37" t="s">
        <v>174</v>
      </c>
      <c r="D12" s="37" t="s">
        <v>145</v>
      </c>
      <c r="E12" s="328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89">
        <f t="shared" si="0"/>
        <v>793.84</v>
      </c>
      <c r="R12" s="70">
        <v>0</v>
      </c>
      <c r="S12" s="90">
        <f>L12+IFERROR(VLOOKUP($E:$E,'（居民）工资表-10月'!$E:$S,15,0),0)</f>
        <v>74500</v>
      </c>
      <c r="T12" s="91">
        <f>5000+IFERROR(VLOOKUP($E:$E,'（居民）工资表-10月'!$E:$T,16,0),0)</f>
        <v>50000</v>
      </c>
      <c r="U12" s="91">
        <f>Q12+IFERROR(VLOOKUP($E:$E,'（居民）工资表-10月'!$E:$U,17,0),0)</f>
        <v>8047.6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R12+IFERROR(VLOOKUP($E:$E,'（居民）工资表-10月'!$E:$AC,25,0),0)</f>
        <v>0</v>
      </c>
      <c r="AD12" s="95">
        <f t="shared" si="2"/>
        <v>16452.4</v>
      </c>
      <c r="AE12" s="96">
        <f>ROUND(MAX((AD12)*{0.03;0.1;0.2;0.25;0.3;0.35;0.45}-{0;2520;16920;31920;52920;85920;181920},0),2)</f>
        <v>493.57</v>
      </c>
      <c r="AF12" s="97">
        <f>IFERROR(VLOOKUP(E:E,'（居民）工资表-10月'!E:AF,28,0)+VLOOKUP(E:E,'（居民）工资表-10月'!E:AG,29,0),0)</f>
        <v>442.39</v>
      </c>
      <c r="AG12" s="97">
        <f t="shared" si="9"/>
        <v>51.18</v>
      </c>
      <c r="AH12" s="107">
        <f t="shared" si="3"/>
        <v>6654.98</v>
      </c>
      <c r="AI12" s="108"/>
      <c r="AJ12" s="107">
        <f t="shared" si="4"/>
        <v>6654.98</v>
      </c>
      <c r="AK12" s="109"/>
      <c r="AL12" s="107">
        <f t="shared" si="5"/>
        <v>6706.16</v>
      </c>
      <c r="AM12" s="109"/>
      <c r="AN12" s="109"/>
      <c r="AO12" s="109"/>
      <c r="AP12" s="109"/>
      <c r="AQ12" s="109"/>
      <c r="AR12" s="116" t="str">
        <f t="shared" si="6"/>
        <v>正确</v>
      </c>
      <c r="AS12" s="116" t="str">
        <f>IF(SUMPRODUCT(N(E$1:E$6=E12))&gt;1,"重复","不")</f>
        <v>不</v>
      </c>
      <c r="AT12" s="116" t="str">
        <f>IF(SUMPRODUCT(N(AO$1:AO$6=AO12))&gt;1,"重复","不")</f>
        <v>重复</v>
      </c>
      <c r="AU12" s="11"/>
      <c r="AV12" s="11"/>
    </row>
    <row r="13" s="12" customFormat="1" ht="18" customHeight="1" spans="1:48">
      <c r="A13" s="36">
        <v>10</v>
      </c>
      <c r="B13" s="37" t="s">
        <v>144</v>
      </c>
      <c r="C13" s="37" t="s">
        <v>176</v>
      </c>
      <c r="D13" s="37" t="s">
        <v>145</v>
      </c>
      <c r="E13" s="328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89">
        <f t="shared" si="0"/>
        <v>793.84</v>
      </c>
      <c r="R13" s="70">
        <v>0</v>
      </c>
      <c r="S13" s="90">
        <f>L13+IFERROR(VLOOKUP($E:$E,'（居民）工资表-10月'!$E:$S,15,0),0)</f>
        <v>79000</v>
      </c>
      <c r="T13" s="91">
        <f>5000+IFERROR(VLOOKUP($E:$E,'（居民）工资表-10月'!$E:$T,16,0),0)</f>
        <v>50000</v>
      </c>
      <c r="U13" s="91">
        <f>Q13+IFERROR(VLOOKUP($E:$E,'（居民）工资表-10月'!$E:$U,17,0),0)</f>
        <v>8057.3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R13+IFERROR(VLOOKUP($E:$E,'（居民）工资表-10月'!$E:$AC,25,0),0)</f>
        <v>0</v>
      </c>
      <c r="AD13" s="95">
        <f t="shared" si="2"/>
        <v>20942.7</v>
      </c>
      <c r="AE13" s="96">
        <f>ROUND(MAX((AD13)*{0.03;0.1;0.2;0.25;0.3;0.35;0.45}-{0;2520;16920;31920;52920;85920;181920},0),2)</f>
        <v>628.28</v>
      </c>
      <c r="AF13" s="97">
        <f>IFERROR(VLOOKUP(E:E,'（居民）工资表-10月'!E:AF,28,0)+VLOOKUP(E:E,'（居民）工资表-10月'!E:AG,29,0),0)</f>
        <v>562.1</v>
      </c>
      <c r="AG13" s="97">
        <f t="shared" si="9"/>
        <v>66.1799999999999</v>
      </c>
      <c r="AH13" s="107">
        <f t="shared" si="3"/>
        <v>7139.98</v>
      </c>
      <c r="AI13" s="108"/>
      <c r="AJ13" s="107">
        <f t="shared" si="4"/>
        <v>7139.98</v>
      </c>
      <c r="AK13" s="109"/>
      <c r="AL13" s="107">
        <f t="shared" si="5"/>
        <v>7206.16</v>
      </c>
      <c r="AM13" s="109"/>
      <c r="AN13" s="109"/>
      <c r="AO13" s="109"/>
      <c r="AP13" s="109"/>
      <c r="AQ13" s="109"/>
      <c r="AR13" s="116" t="str">
        <f t="shared" si="6"/>
        <v>正确</v>
      </c>
      <c r="AS13" s="116" t="str">
        <f>IF(SUMPRODUCT(N(E$1:E$6=E13))&gt;1,"重复","不")</f>
        <v>不</v>
      </c>
      <c r="AT13" s="116" t="str">
        <f>IF(SUMPRODUCT(N(AO$1:AO$6=AO13))&gt;1,"重复","不")</f>
        <v>重复</v>
      </c>
      <c r="AU13" s="11"/>
      <c r="AV13" s="11"/>
    </row>
    <row r="14" s="12" customFormat="1" ht="18" customHeight="1" spans="1:48">
      <c r="A14" s="36">
        <v>11</v>
      </c>
      <c r="B14" s="37" t="s">
        <v>144</v>
      </c>
      <c r="C14" s="37" t="s">
        <v>183</v>
      </c>
      <c r="D14" s="37" t="s">
        <v>145</v>
      </c>
      <c r="E14" s="328" t="s">
        <v>184</v>
      </c>
      <c r="F14" s="38" t="s">
        <v>150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89">
        <f t="shared" si="0"/>
        <v>546.84</v>
      </c>
      <c r="R14" s="70">
        <v>0</v>
      </c>
      <c r="S14" s="90">
        <f>L14+IFERROR(VLOOKUP($E:$E,'（居民）工资表-10月'!$E:$S,15,0),0)</f>
        <v>60000</v>
      </c>
      <c r="T14" s="91">
        <f>5000+IFERROR(VLOOKUP($E:$E,'（居民）工资表-10月'!$E:$T,16,0),0)</f>
        <v>50000</v>
      </c>
      <c r="U14" s="91">
        <f>Q14+IFERROR(VLOOKUP($E:$E,'（居民）工资表-10月'!$E:$U,17,0),0)</f>
        <v>5577.6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R14+IFERROR(VLOOKUP($E:$E,'（居民）工资表-10月'!$E:$AC,25,0),0)</f>
        <v>0</v>
      </c>
      <c r="AD14" s="95">
        <f t="shared" si="2"/>
        <v>4422.4</v>
      </c>
      <c r="AE14" s="96">
        <f>ROUND(MAX((AD14)*{0.03;0.1;0.2;0.25;0.3;0.35;0.45}-{0;2520;16920;31920;52920;85920;181920},0),2)</f>
        <v>132.67</v>
      </c>
      <c r="AF14" s="97">
        <f>IFERROR(VLOOKUP(E:E,'（居民）工资表-10月'!E:AF,28,0)+VLOOKUP(E:E,'（居民）工资表-10月'!E:AG,29,0),0)</f>
        <v>119.08</v>
      </c>
      <c r="AG14" s="97">
        <f t="shared" si="9"/>
        <v>13.59</v>
      </c>
      <c r="AH14" s="107">
        <f t="shared" si="3"/>
        <v>5439.57</v>
      </c>
      <c r="AI14" s="108"/>
      <c r="AJ14" s="107">
        <f t="shared" si="4"/>
        <v>5439.57</v>
      </c>
      <c r="AK14" s="109"/>
      <c r="AL14" s="107">
        <f t="shared" si="5"/>
        <v>5453.16</v>
      </c>
      <c r="AM14" s="109"/>
      <c r="AN14" s="109"/>
      <c r="AO14" s="109"/>
      <c r="AP14" s="109"/>
      <c r="AQ14" s="109"/>
      <c r="AR14" s="116" t="str">
        <f t="shared" si="6"/>
        <v>正确</v>
      </c>
      <c r="AS14" s="116" t="str">
        <f>IF(SUMPRODUCT(N(E$1:E$6=E14))&gt;1,"重复","不")</f>
        <v>不</v>
      </c>
      <c r="AT14" s="116" t="str">
        <f>IF(SUMPRODUCT(N(AO$1:AO$6=AO14))&gt;1,"重复","不")</f>
        <v>重复</v>
      </c>
      <c r="AU14" s="11"/>
      <c r="AV14" s="11"/>
    </row>
    <row r="15" s="12" customFormat="1" ht="18" customHeight="1" spans="1:48">
      <c r="A15" s="36">
        <v>12</v>
      </c>
      <c r="B15" s="37" t="s">
        <v>144</v>
      </c>
      <c r="C15" s="37" t="s">
        <v>185</v>
      </c>
      <c r="D15" s="37" t="s">
        <v>145</v>
      </c>
      <c r="E15" s="328" t="s">
        <v>186</v>
      </c>
      <c r="F15" s="38" t="s">
        <v>146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89">
        <f t="shared" si="0"/>
        <v>550</v>
      </c>
      <c r="R15" s="70">
        <v>0</v>
      </c>
      <c r="S15" s="90">
        <f>L15+IFERROR(VLOOKUP($E:$E,'（居民）工资表-10月'!$E:$S,15,0),0)</f>
        <v>100000</v>
      </c>
      <c r="T15" s="91">
        <f>5000+IFERROR(VLOOKUP($E:$E,'（居民）工资表-10月'!$E:$T,16,0),0)</f>
        <v>50000</v>
      </c>
      <c r="U15" s="91">
        <f>Q15+IFERROR(VLOOKUP($E:$E,'（居民）工资表-10月'!$E:$U,17,0),0)</f>
        <v>5611.45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R15+IFERROR(VLOOKUP($E:$E,'（居民）工资表-10月'!$E:$AC,25,0),0)</f>
        <v>0</v>
      </c>
      <c r="AD15" s="95">
        <f t="shared" si="2"/>
        <v>44388.55</v>
      </c>
      <c r="AE15" s="96">
        <f>ROUND(MAX((AD15)*{0.03;0.1;0.2;0.25;0.3;0.35;0.45}-{0;2520;16920;31920;52920;85920;181920},0),2)</f>
        <v>1918.86</v>
      </c>
      <c r="AF15" s="97">
        <f>IFERROR(VLOOKUP(E:E,'（居民）工资表-10月'!E:AF,28,0)+VLOOKUP(E:E,'（居民）工资表-10月'!E:AG,29,0),0)</f>
        <v>1473.86</v>
      </c>
      <c r="AG15" s="97">
        <f t="shared" si="9"/>
        <v>445</v>
      </c>
      <c r="AH15" s="107">
        <f t="shared" si="3"/>
        <v>9005</v>
      </c>
      <c r="AI15" s="108"/>
      <c r="AJ15" s="107">
        <f t="shared" si="4"/>
        <v>9005</v>
      </c>
      <c r="AK15" s="109"/>
      <c r="AL15" s="107">
        <f t="shared" si="5"/>
        <v>9450</v>
      </c>
      <c r="AM15" s="109"/>
      <c r="AN15" s="109"/>
      <c r="AO15" s="109"/>
      <c r="AP15" s="109"/>
      <c r="AQ15" s="109"/>
      <c r="AR15" s="116" t="str">
        <f t="shared" si="6"/>
        <v>正确</v>
      </c>
      <c r="AS15" s="116" t="str">
        <f>IF(SUMPRODUCT(N(E$1:E$6=E15))&gt;1,"重复","不")</f>
        <v>不</v>
      </c>
      <c r="AT15" s="116" t="str">
        <f>IF(SUMPRODUCT(N(AO$1:AO$6=AO15))&gt;1,"重复","不")</f>
        <v>重复</v>
      </c>
      <c r="AU15" s="11"/>
      <c r="AV15" s="11"/>
    </row>
    <row r="16" s="12" customFormat="1" ht="18" customHeight="1" spans="1:48">
      <c r="A16" s="36">
        <v>13</v>
      </c>
      <c r="B16" s="37" t="s">
        <v>144</v>
      </c>
      <c r="C16" s="37" t="s">
        <v>187</v>
      </c>
      <c r="D16" s="37" t="s">
        <v>145</v>
      </c>
      <c r="E16" s="37" t="s">
        <v>188</v>
      </c>
      <c r="F16" s="38" t="s">
        <v>146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L16+IFERROR(VLOOKUP($E:$E,'（居民）工资表-10月'!$E:$S,15,0),0)</f>
        <v>57823.98</v>
      </c>
      <c r="T16" s="91">
        <f>5000+IFERROR(VLOOKUP($E:$E,'（居民）工资表-10月'!$E:$T,16,0),0)</f>
        <v>45000</v>
      </c>
      <c r="U16" s="91">
        <f>Q16+IFERROR(VLOOKUP($E:$E,'（居民）工资表-10月'!$E:$U,17,0),0)</f>
        <v>3895.8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R16+IFERROR(VLOOKUP($E:$E,'（居民）工资表-10月'!$E:$AC,25,0),0)</f>
        <v>0</v>
      </c>
      <c r="AD16" s="95">
        <f t="shared" si="2"/>
        <v>8928.18</v>
      </c>
      <c r="AE16" s="96">
        <f>ROUND(MAX((AD16)*{0.03;0.1;0.2;0.25;0.3;0.35;0.45}-{0;2520;16920;31920;52920;85920;181920},0),2)</f>
        <v>267.85</v>
      </c>
      <c r="AF16" s="97">
        <f>IFERROR(VLOOKUP(E:E,'（居民）工资表-10月'!E:AF,28,0)+VLOOKUP(E:E,'（居民）工资表-10月'!E:AG,29,0),0)</f>
        <v>206.42</v>
      </c>
      <c r="AG16" s="97">
        <f t="shared" si="9"/>
        <v>61.43</v>
      </c>
      <c r="AH16" s="107">
        <f t="shared" si="3"/>
        <v>6986</v>
      </c>
      <c r="AI16" s="108"/>
      <c r="AJ16" s="107">
        <f t="shared" si="4"/>
        <v>6986</v>
      </c>
      <c r="AK16" s="109"/>
      <c r="AL16" s="107">
        <f t="shared" si="5"/>
        <v>7047.43</v>
      </c>
      <c r="AM16" s="109"/>
      <c r="AN16" s="109"/>
      <c r="AO16" s="109"/>
      <c r="AP16" s="109"/>
      <c r="AQ16" s="109"/>
      <c r="AR16" s="116" t="str">
        <f t="shared" si="6"/>
        <v>正确</v>
      </c>
      <c r="AS16" s="116" t="str">
        <f>IF(SUMPRODUCT(N(E$1:E$6=E16))&gt;1,"重复","不")</f>
        <v>不</v>
      </c>
      <c r="AT16" s="116" t="str">
        <f>IF(SUMPRODUCT(N(AO$1:AO$6=AO16))&gt;1,"重复","不")</f>
        <v>重复</v>
      </c>
      <c r="AU16" s="11"/>
      <c r="AV16" s="11"/>
    </row>
    <row r="17" s="12" customFormat="1" ht="18" customHeight="1" spans="1:48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  <c r="AU17" s="11"/>
      <c r="AV17" s="11"/>
    </row>
    <row r="18" s="13" customFormat="1" ht="18" customHeight="1" spans="1:46">
      <c r="A18" s="41"/>
      <c r="B18" s="42" t="s">
        <v>189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SUM(L4:L16)</f>
        <v>122707.97</v>
      </c>
      <c r="M18" s="74">
        <f>SUM(M4:M16)</f>
        <v>4763.37</v>
      </c>
      <c r="N18" s="74">
        <f>SUM(N4:N16)</f>
        <v>1331.12</v>
      </c>
      <c r="O18" s="74">
        <f t="shared" ref="O18:AL18" si="10">SUM(O4:O16)</f>
        <v>251.38</v>
      </c>
      <c r="P18" s="74">
        <f t="shared" si="10"/>
        <v>2232.9</v>
      </c>
      <c r="Q18" s="74">
        <f t="shared" si="10"/>
        <v>8578.77</v>
      </c>
      <c r="R18" s="74">
        <f t="shared" si="10"/>
        <v>0</v>
      </c>
      <c r="S18" s="74">
        <f t="shared" si="10"/>
        <v>1212835.09</v>
      </c>
      <c r="T18" s="74">
        <f t="shared" si="10"/>
        <v>645000</v>
      </c>
      <c r="U18" s="74">
        <f t="shared" si="10"/>
        <v>85273.41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4">
        <f t="shared" si="10"/>
        <v>0</v>
      </c>
      <c r="Z18" s="74">
        <f t="shared" si="10"/>
        <v>0</v>
      </c>
      <c r="AA18" s="74">
        <f t="shared" si="10"/>
        <v>0</v>
      </c>
      <c r="AB18" s="74">
        <f t="shared" si="10"/>
        <v>0</v>
      </c>
      <c r="AC18" s="74">
        <f t="shared" si="10"/>
        <v>0</v>
      </c>
      <c r="AD18" s="74">
        <f t="shared" si="10"/>
        <v>482561.68</v>
      </c>
      <c r="AE18" s="74">
        <f t="shared" si="10"/>
        <v>40544.78</v>
      </c>
      <c r="AF18" s="74">
        <f t="shared" si="10"/>
        <v>34128.48</v>
      </c>
      <c r="AG18" s="74">
        <f t="shared" si="10"/>
        <v>6416.3</v>
      </c>
      <c r="AH18" s="74">
        <f t="shared" si="10"/>
        <v>107712.9</v>
      </c>
      <c r="AI18" s="74">
        <f t="shared" si="10"/>
        <v>0</v>
      </c>
      <c r="AJ18" s="74">
        <f t="shared" si="10"/>
        <v>107712.9</v>
      </c>
      <c r="AK18" s="74">
        <f t="shared" si="10"/>
        <v>0</v>
      </c>
      <c r="AL18" s="74">
        <f t="shared" si="10"/>
        <v>114129.2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133</v>
      </c>
      <c r="C22" s="47" t="s">
        <v>190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107712.9</v>
      </c>
      <c r="C23" s="48">
        <f>AG18</f>
        <v>6416.3</v>
      </c>
      <c r="D23" s="48">
        <f>AK18</f>
        <v>0</v>
      </c>
      <c r="E23" s="48">
        <f>B23+C23+D23</f>
        <v>114129.2</v>
      </c>
    </row>
    <row r="24" spans="2:5">
      <c r="B24" s="49"/>
      <c r="C24" s="49"/>
      <c r="D24" s="49"/>
      <c r="E24" s="49"/>
    </row>
    <row r="25" s="14" customFormat="1" spans="1:35">
      <c r="A25" s="51" t="s">
        <v>191</v>
      </c>
      <c r="B25" s="52" t="s">
        <v>192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193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194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195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196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197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198</v>
      </c>
    </row>
    <row r="33" spans="2:2">
      <c r="B33" s="59" t="s">
        <v>199</v>
      </c>
    </row>
    <row r="34" spans="2:2">
      <c r="B34" s="59" t="s">
        <v>200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</vt:lpstr>
      <vt:lpstr>付款通知</vt:lpstr>
      <vt:lpstr>（居民）工资表-7月</vt:lpstr>
      <vt:lpstr>（居民）工资表-5月</vt:lpstr>
      <vt:lpstr>（居民）工资表-6月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2018-08-01T08:19:00Z</dcterms:created>
  <cp:lastPrinted>2019-02-02T09:30:00Z</cp:lastPrinted>
  <dcterms:modified xsi:type="dcterms:W3CDTF">2025-04-03T06:01:56Z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2052-12.1.0.20784</vt:lpwstr>
  </property>
  <property fmtid="{D5CDD505-2E9C-101B-9397-08002B2CF9AE}" pid="4" name="ICV">
    <vt:lpwstr>BAAAEB3A37F248E48D2032AB646B39E1</vt:lpwstr>
  </property>
  <property fmtid="{D5CDD505-2E9C-101B-9397-08002B2CF9AE}" pid="5" name="KSOReadingLayout">
    <vt:bool>true</vt:bool>
  </property>
</Properties>
</file>