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225" tabRatio="609" firstSheet="1" activeTab="1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  <externalReference r:id="rId19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'（居民）工资表-9月'!$A$3:$AT$18</definedName>
    <definedName name="_xlnm._FilterDatabase" localSheetId="7" hidden="1">'（居民）工资表-10月'!$A$3:$AT$18</definedName>
    <definedName name="_xlnm._FilterDatabase" localSheetId="8" hidden="1">'（居民）工资表-11月'!$A$3:$AT$18</definedName>
    <definedName name="_xlnm._FilterDatabase" localSheetId="10" hidden="1">'（居民）工资表-12月'!$A$3:$AT$18</definedName>
    <definedName name="_xlnm._FilterDatabase" localSheetId="11" hidden="1">'（居民）工资表-2月'!$A$3:$AT$19</definedName>
    <definedName name="_xlnm._FilterDatabase" localSheetId="12" hidden="1">'（居民）工资表-3月'!$A$3:$AT$18</definedName>
    <definedName name="_xlnm._FilterDatabase" localSheetId="13" hidden="1">'（居民）工资表-4月'!$A$3:$AT$20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'（居民）工资表-10月'!$A$1:$AT$24</definedName>
    <definedName name="_xlnm.Print_Area" localSheetId="8">'（居民）工资表-11月'!$A$1:$AT$24</definedName>
    <definedName name="_xlnm.Print_Area" localSheetId="10">'（居民）工资表-12月'!$A$1:$AT$24</definedName>
    <definedName name="_xlnm.Print_Area" localSheetId="9">'（居民）工资表-1月'!$A$1:$AT$25</definedName>
    <definedName name="_xlnm.Print_Area" localSheetId="11">'（居民）工资表-2月'!$A$1:$AT$24</definedName>
    <definedName name="_xlnm.Print_Area" localSheetId="12">'（居民）工资表-3月'!$A$1:$AT$24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<sst xmlns="http://schemas.openxmlformats.org/spreadsheetml/2006/main" count="2060" uniqueCount="240">
  <si>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</si>
  <si>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</si>
  <si>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</si>
  <si>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</si>
  <si>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</si>
  <si>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</si>
  <si>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</si>
  <si>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</si>
  <si>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</si>
  <si>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</si>
  <si>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</si>
  <si>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</si>
  <si>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</si>
  <si>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</si>
  <si>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</si>
  <si>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</si>
  <si>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</si>
  <si>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</si>
  <si>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</si>
  <si>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</si>
  <si>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</si>
  <si>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</si>
  <si>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</si>
  <si>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</si>
  <si>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</si>
  <si>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</si>
  <si>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</si>
  <si>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</si>
  <si>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</si>
  <si>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</si>
  <si>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</si>
  <si>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</si>
  <si>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</si>
  <si>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</si>
  <si>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</si>
  <si>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</si>
  <si>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</si>
  <si>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</si>
  <si>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</si>
  <si>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</si>
  <si>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</si>
  <si>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</si>
  <si>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</si>
  <si>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</si>
  <si>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</si>
  <si>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</si>
  <si>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</si>
  <si>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</si>
  <si>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</si>
  <si>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</si>
  <si>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</si>
  <si>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</si>
  <si>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</si>
  <si>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</si>
  <si>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</si>
  <si>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</si>
  <si>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</si>
  <si>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</si>
  <si>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</si>
  <si>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</si>
  <si>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</si>
  <si>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</si>
  <si>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</si>
  <si>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</si>
  <si>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</si>
  <si>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</si>
  <si>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</si>
  <si>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</si>
  <si>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</si>
  <si>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根据贵公司与我公司所签订的服务协议，请贵公司在2025年3月8日之前按照下列表格内容支付相关款项.</t>
  </si>
  <si>
    <t>本 期 应 付 款 汇 总 结 算 明 细</t>
  </si>
  <si>
    <t>汇款信息：</t>
  </si>
  <si>
    <t/>
  </si>
  <si>
    <t>本期应付款合计（小写）：</t>
  </si>
  <si>
    <t>账户全称：</t>
  </si>
  <si>
    <t>北京易才博普奥管理顾问有限公司</t>
  </si>
  <si>
    <t>本期应付款合计（大写）：</t>
  </si>
  <si>
    <t>开户银行：</t>
  </si>
  <si>
    <t>招商银行北京自贸试验区商务中心区支行</t>
  </si>
  <si>
    <t>本期款项合计：</t>
  </si>
  <si>
    <t>尾数调整：</t>
  </si>
  <si>
    <t>银行账号：</t>
  </si>
  <si>
    <t>110909478010001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</si>
  <si>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</si>
  <si>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</si>
  <si>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联行号：</t>
  </si>
  <si>
    <t>308100005385</t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</si>
  <si>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</si>
  <si>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</si>
  <si>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</si>
  <si>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</si>
  <si>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</si>
  <si>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</si>
  <si>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</si>
  <si>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</si>
  <si>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</si>
  <si>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</si>
  <si>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</si>
  <si>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</si>
  <si>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</si>
  <si>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</si>
  <si>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</si>
  <si>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</si>
  <si>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</si>
  <si>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</si>
  <si>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</si>
  <si>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</si>
  <si>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</si>
  <si>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</si>
  <si>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</si>
  <si>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</si>
  <si>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</si>
  <si>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</si>
  <si>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</si>
  <si>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</si>
  <si>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</si>
  <si>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</si>
  <si>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</si>
  <si>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</si>
  <si>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</si>
  <si>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</si>
  <si>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</si>
  <si>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</si>
  <si>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</si>
  <si>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</si>
  <si>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</si>
  <si>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</si>
  <si>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</si>
  <si>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</si>
  <si>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</si>
  <si>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</si>
  <si>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</si>
  <si>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</si>
  <si>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</si>
  <si>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</si>
  <si>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</si>
  <si>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</si>
  <si>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</si>
  <si>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</si>
  <si>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</si>
  <si>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</si>
  <si>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</si>
  <si>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</si>
  <si>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</si>
  <si>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</si>
  <si>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</si>
  <si>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</si>
  <si>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</si>
  <si>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</si>
  <si>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</si>
  <si>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</si>
  <si>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</si>
  <si>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</si>
  <si>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</si>
  <si>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</si>
  <si>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</si>
  <si>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</si>
  <si>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</si>
  <si>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</si>
  <si>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</si>
  <si>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</si>
  <si>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</si>
  <si>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</si>
  <si>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</si>
  <si>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</si>
  <si>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</si>
  <si>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</si>
  <si>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</si>
  <si>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</si>
  <si>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</si>
  <si>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</si>
  <si>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</si>
  <si>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</si>
  <si>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</si>
  <si>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</si>
  <si>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</si>
  <si>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</si>
  <si>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</si>
  <si>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</si>
  <si>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</si>
  <si>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</si>
  <si>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</si>
  <si>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</si>
  <si>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</si>
  <si>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</si>
  <si>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</si>
  <si>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</si>
  <si>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</si>
  <si>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</si>
  <si>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</si>
  <si>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</si>
  <si>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</si>
  <si>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</si>
  <si>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</si>
  <si>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</si>
  <si>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</si>
  <si>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</si>
  <si>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</si>
  <si>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</si>
  <si>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</si>
  <si>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</si>
  <si>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</si>
  <si>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</si>
  <si>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</si>
  <si>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</si>
  <si>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</si>
  <si>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</si>
  <si>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</si>
  <si>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</si>
  <si>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</si>
  <si>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残障金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</si>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</sst>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family val="2"/>
      <charset val="134"/>
    </font>
    <font>
      <i/>
      <sz val="11"/>
      <color indexed="0"/>
      <name val="微软雅黑"/>
      <family val="2"/>
      <charset val="134"/>
    </font>
    <font>
      <b/>
      <sz val="12"/>
      <color indexed="0"/>
      <name val="宋体"/>
      <charset val="134"/>
    </font>
    <font>
      <sz val="12"/>
      <color indexed="0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indexed="8"/>
      <name val="宋体"/>
      <charset val="134"/>
    </font>
    <font>
      <b/>
      <sz val="1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3" fillId="7" borderId="0" xfId="144" applyFont="1" applyFill="1" applyBorder="1" applyAlignment="1">
      <alignment vertical="center"/>
    </xf>
    <xf numFmtId="0" fontId="53" fillId="7" borderId="0" xfId="144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Font="1" applyFill="1" applyBorder="1" applyAlignment="1">
      <alignment vertical="center" wrapText="1"/>
    </xf>
    <xf numFmtId="0" fontId="53" fillId="7" borderId="0" xfId="144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horizontal="left" vertical="center"/>
      <protection locked="0"/>
    </xf>
    <xf numFmtId="0" fontId="53" fillId="7" borderId="0" xfId="0" applyFont="1" applyFill="1" applyBorder="1" applyAlignment="1">
      <alignment horizontal="left" vertical="center"/>
    </xf>
    <xf numFmtId="49" fontId="55" fillId="7" borderId="0" xfId="472" applyNumberFormat="1" applyFont="1" applyFill="1" applyBorder="1" applyAlignment="1" applyProtection="1">
      <alignment horizontal="left" vertical="center"/>
      <protection locked="0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53" fillId="7" borderId="0" xfId="144" applyFont="1" applyFill="1" applyBorder="1" applyAlignment="1" quotePrefix="1">
      <alignment horizontal="left" vertical="center" wrapText="1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12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 t="str">
            <v>创联/易才/天津代缴</v>
          </cell>
          <cell r="D2">
            <v>4447.97</v>
          </cell>
          <cell r="E2">
            <v>401.04</v>
          </cell>
          <cell r="F2">
            <v>25.07</v>
          </cell>
        </row>
        <row r="3">
          <cell r="B3" t="str">
            <v>赵亮</v>
          </cell>
          <cell r="C3" t="str">
            <v>创联/易才/四平</v>
          </cell>
          <cell r="D3">
            <v>8000</v>
          </cell>
          <cell r="E3">
            <v>344.57</v>
          </cell>
          <cell r="F3">
            <v>12.92</v>
          </cell>
        </row>
        <row r="4">
          <cell r="B4" t="str">
            <v>梁敏霞</v>
          </cell>
          <cell r="C4" t="str">
            <v>创联/易才/广州</v>
          </cell>
          <cell r="D4">
            <v>6100</v>
          </cell>
          <cell r="E4">
            <v>422.72</v>
          </cell>
          <cell r="F4">
            <v>4.6</v>
          </cell>
        </row>
        <row r="5">
          <cell r="B5" t="str">
            <v>徐明龙</v>
          </cell>
          <cell r="C5" t="str">
            <v>创联/湖南（蚌埠）易才</v>
          </cell>
          <cell r="D5">
            <v>9000</v>
          </cell>
          <cell r="E5">
            <v>338.16</v>
          </cell>
          <cell r="F5">
            <v>21.14</v>
          </cell>
        </row>
        <row r="6">
          <cell r="B6" t="str">
            <v>陈佳文</v>
          </cell>
          <cell r="C6" t="str">
            <v>创联/湖南（阜阳）易才</v>
          </cell>
          <cell r="D6">
            <v>10500</v>
          </cell>
          <cell r="E6">
            <v>338.16</v>
          </cell>
          <cell r="F6">
            <v>21.14</v>
          </cell>
        </row>
        <row r="7">
          <cell r="B7" t="str">
            <v>龙治旺</v>
          </cell>
          <cell r="C7" t="str">
            <v>创联/湖南（常德）易才</v>
          </cell>
          <cell r="D7">
            <v>6500</v>
          </cell>
          <cell r="E7">
            <v>322.16</v>
          </cell>
          <cell r="F7">
            <v>12.08</v>
          </cell>
        </row>
        <row r="8">
          <cell r="B8" t="str">
            <v>冯玉</v>
          </cell>
          <cell r="C8" t="str">
            <v>创联/易才/上海</v>
          </cell>
          <cell r="D8">
            <v>30060</v>
          </cell>
          <cell r="E8">
            <v>590.72</v>
          </cell>
          <cell r="F8">
            <v>36.92</v>
          </cell>
        </row>
        <row r="9">
          <cell r="B9" t="str">
            <v>汤祥文</v>
          </cell>
          <cell r="C9" t="str">
            <v>创联/湖南（芜湖）易才</v>
          </cell>
          <cell r="D9">
            <v>9000</v>
          </cell>
          <cell r="E9">
            <v>338.16</v>
          </cell>
          <cell r="F9">
            <v>21.14</v>
          </cell>
        </row>
        <row r="10">
          <cell r="B10" t="str">
            <v>杨旭</v>
          </cell>
          <cell r="C10" t="str">
            <v>创联/湖南（阜阳）易才</v>
          </cell>
          <cell r="D10">
            <v>7500</v>
          </cell>
          <cell r="E10">
            <v>338.16</v>
          </cell>
          <cell r="F10">
            <v>21.14</v>
          </cell>
        </row>
        <row r="11">
          <cell r="B11" t="str">
            <v>任志伟</v>
          </cell>
          <cell r="C11" t="str">
            <v>创联/湖南（阜阳）易才</v>
          </cell>
          <cell r="D11">
            <v>8000</v>
          </cell>
          <cell r="E11">
            <v>338.16</v>
          </cell>
          <cell r="F11">
            <v>21.14</v>
          </cell>
        </row>
        <row r="12">
          <cell r="B12" t="str">
            <v>张莉</v>
          </cell>
          <cell r="C12" t="str">
            <v>创联/湖南（合肥）易才</v>
          </cell>
          <cell r="D12">
            <v>6000</v>
          </cell>
          <cell r="E12">
            <v>338.16</v>
          </cell>
          <cell r="F12">
            <v>21.14</v>
          </cell>
        </row>
        <row r="13">
          <cell r="B13" t="str">
            <v>倪绍帅</v>
          </cell>
          <cell r="C13" t="str">
            <v>创联/易才/蚌埠</v>
          </cell>
          <cell r="D13">
            <v>10000</v>
          </cell>
          <cell r="E13">
            <v>338.16</v>
          </cell>
          <cell r="F13">
            <v>21.14</v>
          </cell>
        </row>
        <row r="14">
          <cell r="B14" t="str">
            <v>吕阳</v>
          </cell>
          <cell r="C14" t="str">
            <v>创联/易才/武汉</v>
          </cell>
          <cell r="D14">
            <v>7600</v>
          </cell>
          <cell r="E14">
            <v>337.92</v>
          </cell>
          <cell r="F14">
            <v>12.67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5" customWidth="1"/>
    <col min="2" max="2" width="25" style="245" customWidth="1"/>
    <col min="3" max="3" width="7.36666666666667" style="245" customWidth="1"/>
    <col min="4" max="4" width="9.45" style="245" customWidth="1"/>
    <col min="5" max="5" width="8.26666666666667" style="245" customWidth="1"/>
    <col min="6" max="6" width="11.9083333333333" style="245" customWidth="1"/>
    <col min="7" max="7" width="16.3666666666667" style="245" customWidth="1"/>
    <col min="8" max="11" width="8.45" style="245" customWidth="1"/>
    <col min="12" max="12" width="9.09166666666667" style="245" customWidth="1"/>
    <col min="13" max="14" width="9.26666666666667" style="245" customWidth="1"/>
    <col min="15" max="15" width="7.45" style="245" customWidth="1"/>
    <col min="16" max="16" width="11.2666666666667" style="245" customWidth="1"/>
    <col min="17" max="17" width="9.09166666666667" style="245" customWidth="1"/>
    <col min="18" max="21" width="9.26666666666667" style="245" customWidth="1"/>
    <col min="22" max="22" width="9.09166666666667" style="245" customWidth="1"/>
    <col min="23" max="26" width="9.26666666666667" style="245" customWidth="1"/>
    <col min="27" max="28" width="9.09166666666667" style="245" customWidth="1"/>
    <col min="29" max="29" width="9" style="245" customWidth="1"/>
    <col min="30" max="30" width="9.09166666666667" style="245" customWidth="1"/>
    <col min="31" max="31" width="9.26666666666667" style="245" customWidth="1"/>
    <col min="32" max="32" width="8.90833333333333" style="245" customWidth="1"/>
    <col min="33" max="33" width="9.09166666666667" style="245" customWidth="1"/>
    <col min="34" max="34" width="9.26666666666667" style="245" customWidth="1"/>
    <col min="35" max="35" width="11.0916666666667" style="245" customWidth="1"/>
    <col min="36" max="36" width="9.26666666666667" style="245" customWidth="1"/>
    <col min="37" max="37" width="8.45" style="245" customWidth="1"/>
    <col min="38" max="38" width="9.09166666666667" style="245" hidden="1" customWidth="1"/>
    <col min="39" max="42" width="9.26666666666667" style="245" hidden="1" customWidth="1"/>
    <col min="43" max="43" width="9.90833333333333" style="245" customWidth="1"/>
    <col min="44" max="44" width="9.36666666666667" style="245" customWidth="1"/>
    <col min="45" max="45" width="10.2666666666667" style="246" customWidth="1"/>
    <col min="46" max="46" width="10" style="246" customWidth="1"/>
    <col min="47" max="49" width="9.26666666666667" style="246" customWidth="1"/>
    <col min="50" max="50" width="9.26666666666667" style="245" customWidth="1"/>
    <col min="51" max="51" width="5.90833333333333" style="245" customWidth="1"/>
    <col min="52" max="52" width="8.36666666666667" style="245" customWidth="1"/>
    <col min="53" max="53" width="5.90833333333333" style="245" customWidth="1"/>
    <col min="54" max="54" width="8.90833333333333" style="245" customWidth="1"/>
    <col min="55" max="55" width="10.9083333333333" style="245" customWidth="1"/>
    <col min="56" max="56" width="40.2666666666667" style="247" customWidth="1"/>
    <col min="57" max="57" width="10.6333333333333" style="245" customWidth="1"/>
    <col min="58" max="16384" width="9" style="245"/>
  </cols>
  <sheetData>
    <row r="1" s="239" customFormat="1" ht="22.5" customHeight="1" spans="1:56">
      <c r="A1" s="248" t="s">
        <v>0</v>
      </c>
      <c r="B1" s="249" t="s">
        <v>1</v>
      </c>
      <c r="C1" s="249" t="s">
        <v>2</v>
      </c>
      <c r="D1" s="248" t="s">
        <v>3</v>
      </c>
      <c r="E1" s="249" t="s">
        <v>4</v>
      </c>
      <c r="F1" s="249" t="s">
        <v>5</v>
      </c>
      <c r="G1" s="249" t="s">
        <v>6</v>
      </c>
      <c r="H1" s="249" t="s">
        <v>7</v>
      </c>
      <c r="I1" s="249" t="s">
        <v>8</v>
      </c>
      <c r="J1" s="249" t="s">
        <v>9</v>
      </c>
      <c r="K1" s="249" t="s">
        <v>10</v>
      </c>
      <c r="L1" s="282" t="s">
        <v>11</v>
      </c>
      <c r="M1" s="282"/>
      <c r="N1" s="282"/>
      <c r="O1" s="282"/>
      <c r="P1" s="282"/>
      <c r="Q1" s="282" t="s">
        <v>12</v>
      </c>
      <c r="R1" s="282"/>
      <c r="S1" s="282"/>
      <c r="T1" s="282"/>
      <c r="U1" s="282"/>
      <c r="V1" s="282" t="s">
        <v>13</v>
      </c>
      <c r="W1" s="282"/>
      <c r="X1" s="282"/>
      <c r="Y1" s="282"/>
      <c r="Z1" s="282"/>
      <c r="AA1" s="248" t="s">
        <v>14</v>
      </c>
      <c r="AB1" s="248"/>
      <c r="AC1" s="248"/>
      <c r="AD1" s="248" t="s">
        <v>15</v>
      </c>
      <c r="AE1" s="248"/>
      <c r="AF1" s="248"/>
      <c r="AG1" s="282" t="s">
        <v>16</v>
      </c>
      <c r="AH1" s="282"/>
      <c r="AI1" s="282"/>
      <c r="AJ1" s="282"/>
      <c r="AK1" s="282"/>
      <c r="AL1" s="248" t="s">
        <v>17</v>
      </c>
      <c r="AM1" s="248"/>
      <c r="AN1" s="248"/>
      <c r="AO1" s="248"/>
      <c r="AP1" s="248"/>
      <c r="AQ1" s="248" t="s">
        <v>18</v>
      </c>
      <c r="AR1" s="248"/>
      <c r="AS1" s="293" t="s">
        <v>19</v>
      </c>
      <c r="AT1" s="293"/>
      <c r="AU1" s="293"/>
      <c r="AV1" s="293"/>
      <c r="AW1" s="293"/>
      <c r="AX1" s="248" t="s">
        <v>20</v>
      </c>
      <c r="AY1" s="248"/>
      <c r="AZ1" s="248" t="s">
        <v>21</v>
      </c>
      <c r="BA1" s="248"/>
      <c r="BB1" s="248" t="s">
        <v>22</v>
      </c>
      <c r="BC1" s="248" t="s">
        <v>23</v>
      </c>
      <c r="BD1" s="304" t="s">
        <v>24</v>
      </c>
    </row>
    <row r="2" ht="22.5" customHeight="1" spans="1:56">
      <c r="A2" s="248"/>
      <c r="B2" s="250"/>
      <c r="C2" s="249"/>
      <c r="D2" s="248"/>
      <c r="E2" s="249"/>
      <c r="F2" s="251"/>
      <c r="G2" s="251"/>
      <c r="H2" s="249"/>
      <c r="I2" s="249"/>
      <c r="J2" s="249"/>
      <c r="K2" s="249"/>
      <c r="L2" s="283" t="s">
        <v>25</v>
      </c>
      <c r="M2" s="283" t="s">
        <v>26</v>
      </c>
      <c r="N2" s="283" t="s">
        <v>27</v>
      </c>
      <c r="O2" s="283" t="s">
        <v>28</v>
      </c>
      <c r="P2" s="283" t="s">
        <v>29</v>
      </c>
      <c r="Q2" s="283" t="s">
        <v>25</v>
      </c>
      <c r="R2" s="283" t="s">
        <v>26</v>
      </c>
      <c r="S2" s="283" t="s">
        <v>27</v>
      </c>
      <c r="T2" s="283" t="s">
        <v>28</v>
      </c>
      <c r="U2" s="283" t="s">
        <v>29</v>
      </c>
      <c r="V2" s="283" t="s">
        <v>25</v>
      </c>
      <c r="W2" s="283" t="s">
        <v>26</v>
      </c>
      <c r="X2" s="283" t="s">
        <v>27</v>
      </c>
      <c r="Y2" s="283" t="s">
        <v>28</v>
      </c>
      <c r="Z2" s="283" t="s">
        <v>29</v>
      </c>
      <c r="AA2" s="283" t="s">
        <v>25</v>
      </c>
      <c r="AB2" s="283" t="s">
        <v>30</v>
      </c>
      <c r="AC2" s="283" t="s">
        <v>31</v>
      </c>
      <c r="AD2" s="283" t="s">
        <v>25</v>
      </c>
      <c r="AE2" s="283" t="s">
        <v>30</v>
      </c>
      <c r="AF2" s="283" t="s">
        <v>31</v>
      </c>
      <c r="AG2" s="283" t="s">
        <v>25</v>
      </c>
      <c r="AH2" s="283" t="s">
        <v>26</v>
      </c>
      <c r="AI2" s="283" t="s">
        <v>27</v>
      </c>
      <c r="AJ2" s="283" t="s">
        <v>28</v>
      </c>
      <c r="AK2" s="283" t="s">
        <v>29</v>
      </c>
      <c r="AL2" s="283" t="s">
        <v>25</v>
      </c>
      <c r="AM2" s="283" t="s">
        <v>26</v>
      </c>
      <c r="AN2" s="283" t="s">
        <v>27</v>
      </c>
      <c r="AO2" s="283" t="s">
        <v>28</v>
      </c>
      <c r="AP2" s="283" t="s">
        <v>29</v>
      </c>
      <c r="AQ2" s="283" t="s">
        <v>32</v>
      </c>
      <c r="AR2" s="283" t="s">
        <v>33</v>
      </c>
      <c r="AS2" s="294" t="s">
        <v>34</v>
      </c>
      <c r="AT2" s="294" t="s">
        <v>35</v>
      </c>
      <c r="AU2" s="294" t="s">
        <v>36</v>
      </c>
      <c r="AV2" s="294" t="s">
        <v>37</v>
      </c>
      <c r="AW2" s="294" t="s">
        <v>38</v>
      </c>
      <c r="AX2" s="248"/>
      <c r="AY2" s="248"/>
      <c r="AZ2" s="248"/>
      <c r="BA2" s="248"/>
      <c r="BB2" s="248"/>
      <c r="BC2" s="248"/>
      <c r="BD2" s="304"/>
    </row>
    <row r="3" s="240" customFormat="1" ht="18" customHeight="1" spans="1:60">
      <c r="A3" s="252">
        <v>1</v>
      </c>
      <c r="B3" s="253" t="s">
        <v>39</v>
      </c>
      <c r="C3" s="254" t="s">
        <v>40</v>
      </c>
      <c r="D3" s="255" t="s">
        <v>41</v>
      </c>
      <c r="E3" s="253" t="s">
        <v>42</v>
      </c>
      <c r="F3" s="256" t="s">
        <v>43</v>
      </c>
      <c r="G3" s="257" t="s">
        <v>44</v>
      </c>
      <c r="H3" s="255" t="s">
        <v>45</v>
      </c>
      <c r="I3" s="255" t="s">
        <v>45</v>
      </c>
      <c r="J3" s="255" t="s">
        <v>46</v>
      </c>
      <c r="K3" s="255" t="s">
        <v>46</v>
      </c>
      <c r="L3" s="252">
        <v>3300</v>
      </c>
      <c r="M3" s="252">
        <v>0.16</v>
      </c>
      <c r="N3" s="252">
        <f t="shared" ref="N3:N8" si="0">ROUND(L3*M3,2)</f>
        <v>528</v>
      </c>
      <c r="O3" s="252">
        <v>0.08</v>
      </c>
      <c r="P3" s="252">
        <f t="shared" ref="P3:P8" si="1">ROUND(L3*O3,2)</f>
        <v>264</v>
      </c>
      <c r="Q3" s="252">
        <v>3300</v>
      </c>
      <c r="R3" s="252">
        <v>0.08</v>
      </c>
      <c r="S3" s="252">
        <f t="shared" ref="S3:S8" si="2">ROUND(Q3*R3,2)</f>
        <v>264</v>
      </c>
      <c r="T3" s="252">
        <v>0.02</v>
      </c>
      <c r="U3" s="252">
        <f t="shared" ref="U3:U8" si="3">ROUND(Q3*T3,2)</f>
        <v>66</v>
      </c>
      <c r="V3" s="252">
        <v>3300</v>
      </c>
      <c r="W3" s="252">
        <v>0.007</v>
      </c>
      <c r="X3" s="252">
        <f t="shared" ref="X3:X8" si="4">ROUND(V3*W3,2)</f>
        <v>23.1</v>
      </c>
      <c r="Y3" s="252">
        <v>0.003</v>
      </c>
      <c r="Z3" s="252">
        <f t="shared" ref="Z3:Z8" si="5">ROUND(V3*Y3,2)</f>
        <v>9.9</v>
      </c>
      <c r="AA3" s="252"/>
      <c r="AB3" s="252"/>
      <c r="AC3" s="252"/>
      <c r="AD3" s="252">
        <v>3300</v>
      </c>
      <c r="AE3" s="252">
        <v>0.002</v>
      </c>
      <c r="AF3" s="252">
        <f t="shared" ref="AF3:AF15" si="6">ROUND(AD3*AE3,2)</f>
        <v>6.6</v>
      </c>
      <c r="AG3" s="252">
        <v>3000</v>
      </c>
      <c r="AH3" s="252">
        <v>0.1</v>
      </c>
      <c r="AI3" s="252">
        <f>ROUND(AG3*AH3,2)</f>
        <v>300</v>
      </c>
      <c r="AJ3" s="252">
        <v>0.06</v>
      </c>
      <c r="AK3" s="252">
        <f>ROUND(AG3*AJ3,2)</f>
        <v>180</v>
      </c>
      <c r="AL3" s="290"/>
      <c r="AM3" s="252"/>
      <c r="AN3" s="252"/>
      <c r="AO3" s="252"/>
      <c r="AP3" s="253" t="s">
        <v>47</v>
      </c>
      <c r="AQ3" s="295">
        <v>5</v>
      </c>
      <c r="AR3" s="252"/>
      <c r="AS3" s="296">
        <f t="shared" ref="AS3:AS15" si="7">N3+S3+X3+AC3+AF3+AN3+AQ3</f>
        <v>826.7</v>
      </c>
      <c r="AT3" s="296">
        <f t="shared" ref="AT3:AT15" si="8">P3+U3+Z3</f>
        <v>339.9</v>
      </c>
      <c r="AU3" s="296">
        <f t="shared" ref="AU3:AU15" si="9">AI3</f>
        <v>300</v>
      </c>
      <c r="AV3" s="296">
        <f t="shared" ref="AV3:AV15" si="10">AK3</f>
        <v>180</v>
      </c>
      <c r="AW3" s="296">
        <f t="shared" ref="AW3:AW15" si="11">AV3+AS3+AT3+AU3</f>
        <v>1646.6</v>
      </c>
      <c r="AX3" s="305">
        <f t="shared" ref="AX3:AX15" si="12">AS3+AT3</f>
        <v>1166.6</v>
      </c>
      <c r="AY3" s="305"/>
      <c r="AZ3" s="305">
        <f t="shared" ref="AZ3:AZ8" si="13">AU3+AV3</f>
        <v>480</v>
      </c>
      <c r="BA3" s="305"/>
      <c r="BB3" s="306">
        <v>80</v>
      </c>
      <c r="BC3" s="305">
        <f t="shared" ref="BC3:BC15" si="14">AX3+AZ3+BB3</f>
        <v>1726.6</v>
      </c>
      <c r="BD3" s="307"/>
      <c r="BE3" s="321"/>
      <c r="BF3" s="322"/>
      <c r="BG3" s="322"/>
      <c r="BH3" s="323" t="s">
        <v>47</v>
      </c>
    </row>
    <row r="4" s="240" customFormat="1" ht="18" customHeight="1" spans="1:60">
      <c r="A4" s="252"/>
      <c r="B4" s="253" t="s">
        <v>39</v>
      </c>
      <c r="C4" s="254" t="s">
        <v>40</v>
      </c>
      <c r="D4" s="255" t="s">
        <v>41</v>
      </c>
      <c r="E4" s="253" t="s">
        <v>42</v>
      </c>
      <c r="F4" s="256" t="s">
        <v>43</v>
      </c>
      <c r="G4" s="257" t="s">
        <v>44</v>
      </c>
      <c r="H4" s="255" t="s">
        <v>45</v>
      </c>
      <c r="I4" s="255" t="s">
        <v>45</v>
      </c>
      <c r="J4" s="255" t="s">
        <v>48</v>
      </c>
      <c r="K4" s="255" t="s">
        <v>48</v>
      </c>
      <c r="L4" s="252">
        <v>3300</v>
      </c>
      <c r="M4" s="252">
        <v>0.16</v>
      </c>
      <c r="N4" s="252">
        <f t="shared" si="0"/>
        <v>528</v>
      </c>
      <c r="O4" s="252">
        <v>0.08</v>
      </c>
      <c r="P4" s="252">
        <f t="shared" si="1"/>
        <v>264</v>
      </c>
      <c r="Q4" s="252">
        <v>3300</v>
      </c>
      <c r="R4" s="252">
        <v>0.08</v>
      </c>
      <c r="S4" s="252">
        <f t="shared" si="2"/>
        <v>264</v>
      </c>
      <c r="T4" s="252">
        <v>0.02</v>
      </c>
      <c r="U4" s="252">
        <f t="shared" si="3"/>
        <v>66</v>
      </c>
      <c r="V4" s="252">
        <v>3300</v>
      </c>
      <c r="W4" s="252">
        <v>0.007</v>
      </c>
      <c r="X4" s="252">
        <f t="shared" si="4"/>
        <v>23.1</v>
      </c>
      <c r="Y4" s="252">
        <v>0.003</v>
      </c>
      <c r="Z4" s="252">
        <f t="shared" si="5"/>
        <v>9.9</v>
      </c>
      <c r="AA4" s="252"/>
      <c r="AB4" s="252"/>
      <c r="AC4" s="252"/>
      <c r="AD4" s="252">
        <v>3300</v>
      </c>
      <c r="AE4" s="252">
        <v>0.002</v>
      </c>
      <c r="AF4" s="252">
        <f t="shared" si="6"/>
        <v>6.6</v>
      </c>
      <c r="AG4" s="252">
        <v>3000</v>
      </c>
      <c r="AH4" s="252">
        <v>0.1</v>
      </c>
      <c r="AI4" s="252">
        <f>ROUND(AG4*AH4,2)</f>
        <v>300</v>
      </c>
      <c r="AJ4" s="252">
        <v>0.06</v>
      </c>
      <c r="AK4" s="252">
        <f>ROUND(AG4*AJ4,2)</f>
        <v>180</v>
      </c>
      <c r="AL4" s="290"/>
      <c r="AM4" s="252"/>
      <c r="AN4" s="252"/>
      <c r="AO4" s="252"/>
      <c r="AP4" s="253" t="s">
        <v>47</v>
      </c>
      <c r="AQ4" s="295">
        <v>5</v>
      </c>
      <c r="AR4" s="252"/>
      <c r="AS4" s="296">
        <f t="shared" si="7"/>
        <v>826.7</v>
      </c>
      <c r="AT4" s="296">
        <f t="shared" si="8"/>
        <v>339.9</v>
      </c>
      <c r="AU4" s="296">
        <f t="shared" si="9"/>
        <v>300</v>
      </c>
      <c r="AV4" s="296">
        <f t="shared" si="10"/>
        <v>180</v>
      </c>
      <c r="AW4" s="296">
        <f t="shared" si="11"/>
        <v>1646.6</v>
      </c>
      <c r="AX4" s="305">
        <f t="shared" si="12"/>
        <v>1166.6</v>
      </c>
      <c r="AY4" s="305"/>
      <c r="AZ4" s="305">
        <f t="shared" si="13"/>
        <v>480</v>
      </c>
      <c r="BA4" s="305"/>
      <c r="BB4" s="306">
        <v>80</v>
      </c>
      <c r="BC4" s="305">
        <f t="shared" si="14"/>
        <v>1726.6</v>
      </c>
      <c r="BD4" s="307"/>
      <c r="BE4" s="321"/>
      <c r="BF4" s="322"/>
      <c r="BG4" s="322"/>
      <c r="BH4" s="323" t="s">
        <v>47</v>
      </c>
    </row>
    <row r="5" s="240" customFormat="1" ht="18" customHeight="1" spans="1:60">
      <c r="A5" s="252"/>
      <c r="B5" s="253" t="s">
        <v>39</v>
      </c>
      <c r="C5" s="254" t="s">
        <v>40</v>
      </c>
      <c r="D5" s="255" t="s">
        <v>41</v>
      </c>
      <c r="E5" s="253" t="s">
        <v>42</v>
      </c>
      <c r="F5" s="256" t="s">
        <v>43</v>
      </c>
      <c r="G5" s="257" t="s">
        <v>44</v>
      </c>
      <c r="H5" s="255" t="s">
        <v>45</v>
      </c>
      <c r="I5" s="255" t="s">
        <v>45</v>
      </c>
      <c r="J5" s="255" t="s">
        <v>49</v>
      </c>
      <c r="K5" s="255" t="s">
        <v>49</v>
      </c>
      <c r="L5" s="252">
        <v>3300</v>
      </c>
      <c r="M5" s="252">
        <v>0.16</v>
      </c>
      <c r="N5" s="252">
        <f t="shared" si="0"/>
        <v>528</v>
      </c>
      <c r="O5" s="252">
        <v>0.08</v>
      </c>
      <c r="P5" s="252">
        <f t="shared" si="1"/>
        <v>264</v>
      </c>
      <c r="Q5" s="252">
        <v>3300</v>
      </c>
      <c r="R5" s="252">
        <v>0.08</v>
      </c>
      <c r="S5" s="252">
        <f t="shared" si="2"/>
        <v>264</v>
      </c>
      <c r="T5" s="252">
        <v>0.02</v>
      </c>
      <c r="U5" s="252">
        <f t="shared" si="3"/>
        <v>66</v>
      </c>
      <c r="V5" s="252">
        <v>3300</v>
      </c>
      <c r="W5" s="252">
        <v>0.007</v>
      </c>
      <c r="X5" s="252">
        <f t="shared" si="4"/>
        <v>23.1</v>
      </c>
      <c r="Y5" s="252">
        <v>0.003</v>
      </c>
      <c r="Z5" s="252">
        <f t="shared" si="5"/>
        <v>9.9</v>
      </c>
      <c r="AA5" s="252"/>
      <c r="AB5" s="252"/>
      <c r="AC5" s="252"/>
      <c r="AD5" s="252">
        <v>3300</v>
      </c>
      <c r="AE5" s="252">
        <v>0.002</v>
      </c>
      <c r="AF5" s="252">
        <f t="shared" si="6"/>
        <v>6.6</v>
      </c>
      <c r="AG5" s="252">
        <v>3000</v>
      </c>
      <c r="AH5" s="252">
        <v>0.1</v>
      </c>
      <c r="AI5" s="252">
        <f>ROUND(AG5*AH5,2)</f>
        <v>300</v>
      </c>
      <c r="AJ5" s="252">
        <v>0.06</v>
      </c>
      <c r="AK5" s="252">
        <f>ROUND(AG5*AJ5,2)</f>
        <v>180</v>
      </c>
      <c r="AL5" s="290"/>
      <c r="AM5" s="252"/>
      <c r="AN5" s="252"/>
      <c r="AO5" s="252"/>
      <c r="AP5" s="253" t="s">
        <v>47</v>
      </c>
      <c r="AQ5" s="295">
        <v>5</v>
      </c>
      <c r="AR5" s="252"/>
      <c r="AS5" s="296">
        <f t="shared" si="7"/>
        <v>826.7</v>
      </c>
      <c r="AT5" s="296">
        <f t="shared" si="8"/>
        <v>339.9</v>
      </c>
      <c r="AU5" s="296">
        <f t="shared" si="9"/>
        <v>300</v>
      </c>
      <c r="AV5" s="296">
        <f t="shared" si="10"/>
        <v>180</v>
      </c>
      <c r="AW5" s="296">
        <f t="shared" si="11"/>
        <v>1646.6</v>
      </c>
      <c r="AX5" s="305">
        <f t="shared" si="12"/>
        <v>1166.6</v>
      </c>
      <c r="AY5" s="305"/>
      <c r="AZ5" s="305">
        <f t="shared" si="13"/>
        <v>480</v>
      </c>
      <c r="BA5" s="305"/>
      <c r="BB5" s="306">
        <v>80</v>
      </c>
      <c r="BC5" s="305">
        <f t="shared" si="14"/>
        <v>1726.6</v>
      </c>
      <c r="BD5" s="307"/>
      <c r="BE5" s="321"/>
      <c r="BF5" s="322"/>
      <c r="BG5" s="322"/>
      <c r="BH5" s="323" t="s">
        <v>47</v>
      </c>
    </row>
    <row r="6" s="240" customFormat="1" ht="18" customHeight="1" spans="1:60">
      <c r="A6" s="252">
        <v>2</v>
      </c>
      <c r="B6" s="253" t="s">
        <v>39</v>
      </c>
      <c r="C6" s="254" t="s">
        <v>50</v>
      </c>
      <c r="D6" s="255" t="s">
        <v>41</v>
      </c>
      <c r="E6" s="253" t="s">
        <v>51</v>
      </c>
      <c r="F6" s="256" t="s">
        <v>52</v>
      </c>
      <c r="G6" s="326" t="s">
        <v>53</v>
      </c>
      <c r="H6" s="255" t="s">
        <v>45</v>
      </c>
      <c r="I6" s="255" t="s">
        <v>54</v>
      </c>
      <c r="J6" s="255" t="s">
        <v>46</v>
      </c>
      <c r="K6" s="255" t="s">
        <v>54</v>
      </c>
      <c r="L6" s="252">
        <v>3803</v>
      </c>
      <c r="M6" s="252">
        <v>0.14</v>
      </c>
      <c r="N6" s="252">
        <f t="shared" si="0"/>
        <v>532.42</v>
      </c>
      <c r="O6" s="252">
        <v>0.08</v>
      </c>
      <c r="P6" s="252">
        <f t="shared" si="1"/>
        <v>304.24</v>
      </c>
      <c r="Q6" s="252">
        <v>6175</v>
      </c>
      <c r="R6" s="252">
        <v>0.055</v>
      </c>
      <c r="S6" s="252">
        <f t="shared" si="2"/>
        <v>339.63</v>
      </c>
      <c r="T6" s="252">
        <v>0.02</v>
      </c>
      <c r="U6" s="252">
        <f t="shared" si="3"/>
        <v>123.5</v>
      </c>
      <c r="V6" s="252">
        <v>3803</v>
      </c>
      <c r="W6" s="252">
        <v>0.0032</v>
      </c>
      <c r="X6" s="252">
        <f t="shared" si="4"/>
        <v>12.17</v>
      </c>
      <c r="Y6" s="252">
        <v>0.002</v>
      </c>
      <c r="Z6" s="252">
        <f t="shared" si="5"/>
        <v>7.61</v>
      </c>
      <c r="AA6" s="252">
        <v>6175</v>
      </c>
      <c r="AB6" s="252">
        <v>0.0085</v>
      </c>
      <c r="AC6" s="252">
        <f t="shared" ref="AC6:AC8" si="15">ROUND(AA6*AB6,2)</f>
        <v>52.49</v>
      </c>
      <c r="AD6" s="252">
        <v>3803</v>
      </c>
      <c r="AE6" s="252">
        <v>0.0016</v>
      </c>
      <c r="AF6" s="252">
        <f t="shared" si="6"/>
        <v>6.08</v>
      </c>
      <c r="AG6" s="252"/>
      <c r="AH6" s="252"/>
      <c r="AI6" s="252"/>
      <c r="AJ6" s="252"/>
      <c r="AK6" s="252"/>
      <c r="AL6" s="290"/>
      <c r="AM6" s="252"/>
      <c r="AN6" s="252"/>
      <c r="AO6" s="252"/>
      <c r="AP6" s="253"/>
      <c r="AQ6" s="295">
        <v>26.76</v>
      </c>
      <c r="AR6" s="252"/>
      <c r="AS6" s="296">
        <f t="shared" si="7"/>
        <v>969.55</v>
      </c>
      <c r="AT6" s="296">
        <f t="shared" si="8"/>
        <v>435.35</v>
      </c>
      <c r="AU6" s="296">
        <f t="shared" si="9"/>
        <v>0</v>
      </c>
      <c r="AV6" s="296">
        <f t="shared" si="10"/>
        <v>0</v>
      </c>
      <c r="AW6" s="296">
        <f t="shared" si="11"/>
        <v>1404.9</v>
      </c>
      <c r="AX6" s="305">
        <f t="shared" si="12"/>
        <v>1404.9</v>
      </c>
      <c r="AY6" s="305"/>
      <c r="AZ6" s="305">
        <f t="shared" si="13"/>
        <v>0</v>
      </c>
      <c r="BA6" s="305"/>
      <c r="BB6" s="306">
        <v>80</v>
      </c>
      <c r="BC6" s="305">
        <f t="shared" si="14"/>
        <v>1484.9</v>
      </c>
      <c r="BD6" s="307"/>
      <c r="BE6" s="324"/>
      <c r="BF6" s="324"/>
      <c r="BG6" s="324"/>
      <c r="BH6" s="324"/>
    </row>
    <row r="7" s="240" customFormat="1" ht="18" customHeight="1" spans="1:60">
      <c r="A7" s="252"/>
      <c r="B7" s="253" t="s">
        <v>39</v>
      </c>
      <c r="C7" s="254" t="s">
        <v>50</v>
      </c>
      <c r="D7" s="255" t="s">
        <v>41</v>
      </c>
      <c r="E7" s="253" t="s">
        <v>51</v>
      </c>
      <c r="F7" s="256" t="s">
        <v>52</v>
      </c>
      <c r="G7" s="326" t="s">
        <v>53</v>
      </c>
      <c r="H7" s="255" t="s">
        <v>45</v>
      </c>
      <c r="I7" s="255" t="s">
        <v>54</v>
      </c>
      <c r="J7" s="255" t="s">
        <v>48</v>
      </c>
      <c r="K7" s="255" t="s">
        <v>54</v>
      </c>
      <c r="L7" s="252">
        <v>3803</v>
      </c>
      <c r="M7" s="252">
        <v>0.14</v>
      </c>
      <c r="N7" s="252">
        <f t="shared" si="0"/>
        <v>532.42</v>
      </c>
      <c r="O7" s="252">
        <v>0.08</v>
      </c>
      <c r="P7" s="252">
        <f t="shared" si="1"/>
        <v>304.24</v>
      </c>
      <c r="Q7" s="252">
        <v>6175</v>
      </c>
      <c r="R7" s="252">
        <v>0.055</v>
      </c>
      <c r="S7" s="252">
        <f t="shared" si="2"/>
        <v>339.63</v>
      </c>
      <c r="T7" s="252">
        <v>0.02</v>
      </c>
      <c r="U7" s="252">
        <f t="shared" si="3"/>
        <v>123.5</v>
      </c>
      <c r="V7" s="252">
        <v>3803</v>
      </c>
      <c r="W7" s="252">
        <v>0.0032</v>
      </c>
      <c r="X7" s="252">
        <f t="shared" si="4"/>
        <v>12.17</v>
      </c>
      <c r="Y7" s="252">
        <v>0.002</v>
      </c>
      <c r="Z7" s="252">
        <f t="shared" si="5"/>
        <v>7.61</v>
      </c>
      <c r="AA7" s="252">
        <v>6175</v>
      </c>
      <c r="AB7" s="252">
        <v>0.0085</v>
      </c>
      <c r="AC7" s="252">
        <f t="shared" si="15"/>
        <v>52.49</v>
      </c>
      <c r="AD7" s="252">
        <v>3803</v>
      </c>
      <c r="AE7" s="252">
        <v>0.0016</v>
      </c>
      <c r="AF7" s="252">
        <f t="shared" si="6"/>
        <v>6.08</v>
      </c>
      <c r="AG7" s="252"/>
      <c r="AH7" s="252"/>
      <c r="AI7" s="252"/>
      <c r="AJ7" s="252"/>
      <c r="AK7" s="252"/>
      <c r="AL7" s="290"/>
      <c r="AM7" s="252"/>
      <c r="AN7" s="252"/>
      <c r="AO7" s="252"/>
      <c r="AP7" s="253"/>
      <c r="AQ7" s="295">
        <v>26.76</v>
      </c>
      <c r="AR7" s="252"/>
      <c r="AS7" s="296">
        <f t="shared" si="7"/>
        <v>969.55</v>
      </c>
      <c r="AT7" s="296">
        <f t="shared" si="8"/>
        <v>435.35</v>
      </c>
      <c r="AU7" s="296">
        <f t="shared" si="9"/>
        <v>0</v>
      </c>
      <c r="AV7" s="296">
        <f t="shared" si="10"/>
        <v>0</v>
      </c>
      <c r="AW7" s="296">
        <f t="shared" si="11"/>
        <v>1404.9</v>
      </c>
      <c r="AX7" s="305">
        <f t="shared" si="12"/>
        <v>1404.9</v>
      </c>
      <c r="AY7" s="305"/>
      <c r="AZ7" s="305">
        <f t="shared" si="13"/>
        <v>0</v>
      </c>
      <c r="BA7" s="305"/>
      <c r="BB7" s="306">
        <v>80</v>
      </c>
      <c r="BC7" s="305">
        <f t="shared" si="14"/>
        <v>1484.9</v>
      </c>
      <c r="BD7" s="307"/>
      <c r="BE7" s="324"/>
      <c r="BF7" s="324"/>
      <c r="BG7" s="324"/>
      <c r="BH7" s="324"/>
    </row>
    <row r="8" s="240" customFormat="1" ht="18" customHeight="1" spans="1:60">
      <c r="A8" s="252"/>
      <c r="B8" s="253" t="s">
        <v>39</v>
      </c>
      <c r="C8" s="254" t="s">
        <v>50</v>
      </c>
      <c r="D8" s="255" t="s">
        <v>41</v>
      </c>
      <c r="E8" s="253" t="s">
        <v>51</v>
      </c>
      <c r="F8" s="256" t="s">
        <v>52</v>
      </c>
      <c r="G8" s="326" t="s">
        <v>53</v>
      </c>
      <c r="H8" s="255" t="s">
        <v>45</v>
      </c>
      <c r="I8" s="255" t="s">
        <v>54</v>
      </c>
      <c r="J8" s="255" t="s">
        <v>49</v>
      </c>
      <c r="K8" s="255" t="s">
        <v>54</v>
      </c>
      <c r="L8" s="252">
        <v>3803</v>
      </c>
      <c r="M8" s="252">
        <v>0.14</v>
      </c>
      <c r="N8" s="252">
        <f t="shared" si="0"/>
        <v>532.42</v>
      </c>
      <c r="O8" s="252">
        <v>0.08</v>
      </c>
      <c r="P8" s="252">
        <f t="shared" si="1"/>
        <v>304.24</v>
      </c>
      <c r="Q8" s="252">
        <v>6175</v>
      </c>
      <c r="R8" s="252">
        <v>0.055</v>
      </c>
      <c r="S8" s="252">
        <f t="shared" si="2"/>
        <v>339.63</v>
      </c>
      <c r="T8" s="252">
        <v>0.02</v>
      </c>
      <c r="U8" s="252">
        <f t="shared" si="3"/>
        <v>123.5</v>
      </c>
      <c r="V8" s="252">
        <v>3803</v>
      </c>
      <c r="W8" s="252">
        <v>0.0032</v>
      </c>
      <c r="X8" s="252">
        <f t="shared" si="4"/>
        <v>12.17</v>
      </c>
      <c r="Y8" s="252">
        <v>0.002</v>
      </c>
      <c r="Z8" s="252">
        <f t="shared" si="5"/>
        <v>7.61</v>
      </c>
      <c r="AA8" s="252">
        <v>6175</v>
      </c>
      <c r="AB8" s="252">
        <v>0.0085</v>
      </c>
      <c r="AC8" s="252">
        <f t="shared" si="15"/>
        <v>52.49</v>
      </c>
      <c r="AD8" s="252">
        <v>3803</v>
      </c>
      <c r="AE8" s="252">
        <v>0.0016</v>
      </c>
      <c r="AF8" s="252">
        <f t="shared" si="6"/>
        <v>6.08</v>
      </c>
      <c r="AG8" s="252"/>
      <c r="AH8" s="252"/>
      <c r="AI8" s="252"/>
      <c r="AJ8" s="252"/>
      <c r="AK8" s="252"/>
      <c r="AL8" s="290"/>
      <c r="AM8" s="252"/>
      <c r="AN8" s="252"/>
      <c r="AO8" s="252"/>
      <c r="AP8" s="253"/>
      <c r="AQ8" s="295">
        <v>26.76</v>
      </c>
      <c r="AR8" s="252"/>
      <c r="AS8" s="296">
        <f t="shared" si="7"/>
        <v>969.55</v>
      </c>
      <c r="AT8" s="296">
        <f t="shared" si="8"/>
        <v>435.35</v>
      </c>
      <c r="AU8" s="296">
        <f t="shared" si="9"/>
        <v>0</v>
      </c>
      <c r="AV8" s="296">
        <f t="shared" si="10"/>
        <v>0</v>
      </c>
      <c r="AW8" s="296">
        <f t="shared" si="11"/>
        <v>1404.9</v>
      </c>
      <c r="AX8" s="305">
        <f t="shared" si="12"/>
        <v>1404.9</v>
      </c>
      <c r="AY8" s="305"/>
      <c r="AZ8" s="305">
        <f t="shared" si="13"/>
        <v>0</v>
      </c>
      <c r="BA8" s="305"/>
      <c r="BB8" s="306">
        <v>80</v>
      </c>
      <c r="BC8" s="305">
        <f t="shared" si="14"/>
        <v>1484.9</v>
      </c>
      <c r="BD8" s="307"/>
      <c r="BE8" s="324"/>
      <c r="BF8" s="324"/>
      <c r="BG8" s="324"/>
      <c r="BH8" s="324"/>
    </row>
    <row r="9" s="241" customFormat="1" ht="18" customHeight="1" spans="1:60">
      <c r="A9" s="258" t="s">
        <v>55</v>
      </c>
      <c r="B9" s="259" t="s">
        <v>39</v>
      </c>
      <c r="C9" s="260" t="s">
        <v>50</v>
      </c>
      <c r="D9" s="261" t="s">
        <v>41</v>
      </c>
      <c r="E9" s="259" t="s">
        <v>51</v>
      </c>
      <c r="F9" s="262" t="s">
        <v>52</v>
      </c>
      <c r="G9" s="327" t="s">
        <v>53</v>
      </c>
      <c r="H9" s="261" t="s">
        <v>45</v>
      </c>
      <c r="I9" s="261" t="s">
        <v>54</v>
      </c>
      <c r="J9" s="261" t="s">
        <v>56</v>
      </c>
      <c r="K9" s="261" t="s">
        <v>54</v>
      </c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89">
        <f t="shared" ref="AD9:AD11" si="16">3803-3000</f>
        <v>803</v>
      </c>
      <c r="AE9" s="289">
        <v>0.0016</v>
      </c>
      <c r="AF9" s="289">
        <f t="shared" si="6"/>
        <v>1.28</v>
      </c>
      <c r="AG9" s="258"/>
      <c r="AH9" s="258"/>
      <c r="AI9" s="258"/>
      <c r="AJ9" s="258"/>
      <c r="AK9" s="258"/>
      <c r="AL9" s="291"/>
      <c r="AM9" s="258"/>
      <c r="AN9" s="258"/>
      <c r="AO9" s="258"/>
      <c r="AP9" s="259"/>
      <c r="AQ9" s="297"/>
      <c r="AR9" s="258"/>
      <c r="AS9" s="298">
        <f t="shared" si="7"/>
        <v>1.28</v>
      </c>
      <c r="AT9" s="298">
        <f t="shared" si="8"/>
        <v>0</v>
      </c>
      <c r="AU9" s="298">
        <f t="shared" si="9"/>
        <v>0</v>
      </c>
      <c r="AV9" s="298">
        <f t="shared" si="10"/>
        <v>0</v>
      </c>
      <c r="AW9" s="298">
        <f t="shared" si="11"/>
        <v>1.28</v>
      </c>
      <c r="AX9" s="308">
        <f t="shared" si="12"/>
        <v>1.28</v>
      </c>
      <c r="AY9" s="308"/>
      <c r="AZ9" s="308"/>
      <c r="BA9" s="308"/>
      <c r="BB9" s="309"/>
      <c r="BC9" s="308">
        <f t="shared" si="14"/>
        <v>1.28</v>
      </c>
      <c r="BD9" s="310" t="s">
        <v>57</v>
      </c>
      <c r="BE9" s="325"/>
      <c r="BF9" s="325"/>
      <c r="BG9" s="325"/>
      <c r="BH9" s="325"/>
    </row>
    <row r="10" s="241" customFormat="1" ht="18" customHeight="1" spans="1:60">
      <c r="A10" s="258" t="s">
        <v>55</v>
      </c>
      <c r="B10" s="259" t="s">
        <v>39</v>
      </c>
      <c r="C10" s="260" t="s">
        <v>50</v>
      </c>
      <c r="D10" s="261" t="s">
        <v>41</v>
      </c>
      <c r="E10" s="259" t="s">
        <v>51</v>
      </c>
      <c r="F10" s="262" t="s">
        <v>52</v>
      </c>
      <c r="G10" s="327" t="s">
        <v>53</v>
      </c>
      <c r="H10" s="261" t="s">
        <v>45</v>
      </c>
      <c r="I10" s="261" t="s">
        <v>54</v>
      </c>
      <c r="J10" s="261" t="s">
        <v>58</v>
      </c>
      <c r="K10" s="261" t="s">
        <v>54</v>
      </c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89">
        <f t="shared" si="16"/>
        <v>803</v>
      </c>
      <c r="AE10" s="289">
        <v>0.0016</v>
      </c>
      <c r="AF10" s="289">
        <f t="shared" si="6"/>
        <v>1.28</v>
      </c>
      <c r="AG10" s="258"/>
      <c r="AH10" s="258"/>
      <c r="AI10" s="258"/>
      <c r="AJ10" s="258"/>
      <c r="AK10" s="258"/>
      <c r="AL10" s="291"/>
      <c r="AM10" s="258"/>
      <c r="AN10" s="258"/>
      <c r="AO10" s="258"/>
      <c r="AP10" s="259"/>
      <c r="AQ10" s="297"/>
      <c r="AR10" s="258"/>
      <c r="AS10" s="298">
        <f t="shared" si="7"/>
        <v>1.28</v>
      </c>
      <c r="AT10" s="298">
        <f t="shared" si="8"/>
        <v>0</v>
      </c>
      <c r="AU10" s="298">
        <f t="shared" si="9"/>
        <v>0</v>
      </c>
      <c r="AV10" s="298">
        <f t="shared" si="10"/>
        <v>0</v>
      </c>
      <c r="AW10" s="298">
        <f t="shared" si="11"/>
        <v>1.28</v>
      </c>
      <c r="AX10" s="308">
        <f t="shared" si="12"/>
        <v>1.28</v>
      </c>
      <c r="AY10" s="308"/>
      <c r="AZ10" s="308"/>
      <c r="BA10" s="308"/>
      <c r="BB10" s="309"/>
      <c r="BC10" s="308">
        <f t="shared" si="14"/>
        <v>1.28</v>
      </c>
      <c r="BD10" s="310" t="s">
        <v>57</v>
      </c>
      <c r="BE10" s="325"/>
      <c r="BF10" s="325"/>
      <c r="BG10" s="325"/>
      <c r="BH10" s="325"/>
    </row>
    <row r="11" s="241" customFormat="1" ht="18" customHeight="1" spans="1:60">
      <c r="A11" s="258" t="s">
        <v>55</v>
      </c>
      <c r="B11" s="259" t="s">
        <v>39</v>
      </c>
      <c r="C11" s="260" t="s">
        <v>50</v>
      </c>
      <c r="D11" s="261" t="s">
        <v>41</v>
      </c>
      <c r="E11" s="259" t="s">
        <v>51</v>
      </c>
      <c r="F11" s="262" t="s">
        <v>52</v>
      </c>
      <c r="G11" s="327" t="s">
        <v>53</v>
      </c>
      <c r="H11" s="261" t="s">
        <v>45</v>
      </c>
      <c r="I11" s="261" t="s">
        <v>54</v>
      </c>
      <c r="J11" s="261" t="s">
        <v>59</v>
      </c>
      <c r="K11" s="261" t="s">
        <v>54</v>
      </c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89">
        <f t="shared" si="16"/>
        <v>803</v>
      </c>
      <c r="AE11" s="289">
        <v>0.0016</v>
      </c>
      <c r="AF11" s="289">
        <f t="shared" si="6"/>
        <v>1.28</v>
      </c>
      <c r="AG11" s="258"/>
      <c r="AH11" s="258"/>
      <c r="AI11" s="258"/>
      <c r="AJ11" s="258"/>
      <c r="AK11" s="258"/>
      <c r="AL11" s="291"/>
      <c r="AM11" s="258"/>
      <c r="AN11" s="258"/>
      <c r="AO11" s="258"/>
      <c r="AP11" s="259"/>
      <c r="AQ11" s="297"/>
      <c r="AR11" s="258"/>
      <c r="AS11" s="298">
        <f t="shared" si="7"/>
        <v>1.28</v>
      </c>
      <c r="AT11" s="298">
        <f t="shared" si="8"/>
        <v>0</v>
      </c>
      <c r="AU11" s="298">
        <f t="shared" si="9"/>
        <v>0</v>
      </c>
      <c r="AV11" s="298">
        <f t="shared" si="10"/>
        <v>0</v>
      </c>
      <c r="AW11" s="298">
        <f t="shared" si="11"/>
        <v>1.28</v>
      </c>
      <c r="AX11" s="308">
        <f t="shared" si="12"/>
        <v>1.28</v>
      </c>
      <c r="AY11" s="308"/>
      <c r="AZ11" s="308"/>
      <c r="BA11" s="308"/>
      <c r="BB11" s="309"/>
      <c r="BC11" s="308">
        <f t="shared" si="14"/>
        <v>1.28</v>
      </c>
      <c r="BD11" s="310" t="s">
        <v>57</v>
      </c>
      <c r="BE11" s="325"/>
      <c r="BF11" s="325"/>
      <c r="BG11" s="325"/>
      <c r="BH11" s="325"/>
    </row>
    <row r="12" s="240" customFormat="1" ht="18" customHeight="1" spans="1:60">
      <c r="A12" s="252">
        <v>3</v>
      </c>
      <c r="B12" s="253" t="s">
        <v>39</v>
      </c>
      <c r="C12" s="254" t="s">
        <v>60</v>
      </c>
      <c r="D12" s="255" t="s">
        <v>41</v>
      </c>
      <c r="E12" s="253" t="s">
        <v>51</v>
      </c>
      <c r="F12" s="256" t="s">
        <v>61</v>
      </c>
      <c r="G12" s="257" t="s">
        <v>62</v>
      </c>
      <c r="H12" s="255" t="s">
        <v>63</v>
      </c>
      <c r="I12" s="255" t="s">
        <v>63</v>
      </c>
      <c r="J12" s="255" t="s">
        <v>48</v>
      </c>
      <c r="K12" s="255" t="s">
        <v>48</v>
      </c>
      <c r="L12" s="252">
        <v>3053.05</v>
      </c>
      <c r="M12" s="252">
        <v>0.16</v>
      </c>
      <c r="N12" s="252">
        <f t="shared" ref="N12:N15" si="17">ROUND(L12*M12,2)</f>
        <v>488.49</v>
      </c>
      <c r="O12" s="252">
        <v>0.08</v>
      </c>
      <c r="P12" s="252">
        <f t="shared" ref="P12:P15" si="18">ROUND(L12*O12,2)</f>
        <v>244.24</v>
      </c>
      <c r="Q12" s="252">
        <v>3053.05</v>
      </c>
      <c r="R12" s="252">
        <v>0.06</v>
      </c>
      <c r="S12" s="252">
        <f t="shared" ref="S12:S15" si="19">ROUND(Q12*R12,2)</f>
        <v>183.18</v>
      </c>
      <c r="T12" s="252">
        <v>0.02</v>
      </c>
      <c r="U12" s="252">
        <f t="shared" ref="U12:U15" si="20">ROUND(Q12*T12,2)</f>
        <v>61.06</v>
      </c>
      <c r="V12" s="252">
        <v>3053.05</v>
      </c>
      <c r="W12" s="252">
        <v>0.007</v>
      </c>
      <c r="X12" s="252">
        <f t="shared" ref="X12:X15" si="21">ROUND(V12*W12,2)</f>
        <v>21.37</v>
      </c>
      <c r="Y12" s="252">
        <v>0.003</v>
      </c>
      <c r="Z12" s="252">
        <f t="shared" ref="Z12:Z15" si="22">ROUND(V12*Y12,2)</f>
        <v>9.16</v>
      </c>
      <c r="AA12" s="252">
        <v>3053.05</v>
      </c>
      <c r="AB12" s="252">
        <v>0.007</v>
      </c>
      <c r="AC12" s="252">
        <f t="shared" ref="AC12:AC15" si="23">ROUND(AA12*AB12,2)</f>
        <v>21.37</v>
      </c>
      <c r="AD12" s="252">
        <v>3053.05</v>
      </c>
      <c r="AE12" s="252">
        <v>0.002</v>
      </c>
      <c r="AF12" s="252">
        <f t="shared" si="6"/>
        <v>6.11</v>
      </c>
      <c r="AG12" s="252" t="s">
        <v>64</v>
      </c>
      <c r="AH12" s="252">
        <v>0.05</v>
      </c>
      <c r="AI12" s="252">
        <f t="shared" ref="AI12:AI15" si="24">ROUND(AG12*AH12,2)</f>
        <v>79</v>
      </c>
      <c r="AJ12" s="252">
        <v>0.05</v>
      </c>
      <c r="AK12" s="252">
        <f t="shared" ref="AK12:AK15" si="25">ROUND(AG12*AJ12,2)</f>
        <v>79</v>
      </c>
      <c r="AL12" s="290"/>
      <c r="AM12" s="252"/>
      <c r="AN12" s="252"/>
      <c r="AO12" s="252"/>
      <c r="AP12" s="253"/>
      <c r="AQ12" s="295"/>
      <c r="AR12" s="252">
        <v>96</v>
      </c>
      <c r="AS12" s="296">
        <f t="shared" si="7"/>
        <v>720.52</v>
      </c>
      <c r="AT12" s="296">
        <f t="shared" si="8"/>
        <v>314.46</v>
      </c>
      <c r="AU12" s="296">
        <f t="shared" si="9"/>
        <v>79</v>
      </c>
      <c r="AV12" s="296">
        <f t="shared" si="10"/>
        <v>79</v>
      </c>
      <c r="AW12" s="296">
        <f t="shared" si="11"/>
        <v>1192.98</v>
      </c>
      <c r="AX12" s="305">
        <f t="shared" si="12"/>
        <v>1034.98</v>
      </c>
      <c r="AY12" s="305"/>
      <c r="AZ12" s="305">
        <f t="shared" ref="AZ12:AZ15" si="26">AU12+AV12</f>
        <v>158</v>
      </c>
      <c r="BA12" s="305"/>
      <c r="BB12" s="306">
        <v>80</v>
      </c>
      <c r="BC12" s="305">
        <f t="shared" si="14"/>
        <v>1272.98</v>
      </c>
      <c r="BD12" s="307"/>
      <c r="BE12" s="324"/>
      <c r="BF12" s="324"/>
      <c r="BG12" s="324"/>
      <c r="BH12" s="324"/>
    </row>
    <row r="13" s="240" customFormat="1" ht="18" customHeight="1" spans="1:60">
      <c r="A13" s="252"/>
      <c r="B13" s="253" t="s">
        <v>39</v>
      </c>
      <c r="C13" s="254" t="s">
        <v>60</v>
      </c>
      <c r="D13" s="255" t="s">
        <v>41</v>
      </c>
      <c r="E13" s="253" t="s">
        <v>51</v>
      </c>
      <c r="F13" s="256" t="s">
        <v>61</v>
      </c>
      <c r="G13" s="257" t="s">
        <v>62</v>
      </c>
      <c r="H13" s="255" t="s">
        <v>63</v>
      </c>
      <c r="I13" s="255" t="s">
        <v>63</v>
      </c>
      <c r="J13" s="255" t="s">
        <v>49</v>
      </c>
      <c r="K13" s="255" t="s">
        <v>49</v>
      </c>
      <c r="L13" s="252">
        <v>3053.05</v>
      </c>
      <c r="M13" s="252">
        <v>0.16</v>
      </c>
      <c r="N13" s="252">
        <f t="shared" si="17"/>
        <v>488.49</v>
      </c>
      <c r="O13" s="252">
        <v>0.08</v>
      </c>
      <c r="P13" s="252">
        <f t="shared" si="18"/>
        <v>244.24</v>
      </c>
      <c r="Q13" s="252">
        <v>3053.05</v>
      </c>
      <c r="R13" s="252">
        <v>0.06</v>
      </c>
      <c r="S13" s="252">
        <f t="shared" si="19"/>
        <v>183.18</v>
      </c>
      <c r="T13" s="252">
        <v>0.02</v>
      </c>
      <c r="U13" s="252">
        <f t="shared" si="20"/>
        <v>61.06</v>
      </c>
      <c r="V13" s="252">
        <v>3053.05</v>
      </c>
      <c r="W13" s="252">
        <v>0.007</v>
      </c>
      <c r="X13" s="252">
        <f t="shared" si="21"/>
        <v>21.37</v>
      </c>
      <c r="Y13" s="252">
        <v>0.003</v>
      </c>
      <c r="Z13" s="252">
        <f t="shared" si="22"/>
        <v>9.16</v>
      </c>
      <c r="AA13" s="252">
        <v>3053.05</v>
      </c>
      <c r="AB13" s="252">
        <v>0.007</v>
      </c>
      <c r="AC13" s="252">
        <f t="shared" si="23"/>
        <v>21.37</v>
      </c>
      <c r="AD13" s="252">
        <v>3053.05</v>
      </c>
      <c r="AE13" s="252">
        <v>0.002</v>
      </c>
      <c r="AF13" s="252">
        <f t="shared" si="6"/>
        <v>6.11</v>
      </c>
      <c r="AG13" s="252" t="s">
        <v>64</v>
      </c>
      <c r="AH13" s="252">
        <v>0.05</v>
      </c>
      <c r="AI13" s="252">
        <f t="shared" si="24"/>
        <v>79</v>
      </c>
      <c r="AJ13" s="252">
        <v>0.05</v>
      </c>
      <c r="AK13" s="252">
        <f t="shared" si="25"/>
        <v>79</v>
      </c>
      <c r="AL13" s="290"/>
      <c r="AM13" s="252"/>
      <c r="AN13" s="252"/>
      <c r="AO13" s="252"/>
      <c r="AP13" s="253"/>
      <c r="AQ13" s="295"/>
      <c r="AR13" s="295"/>
      <c r="AS13" s="296">
        <f t="shared" si="7"/>
        <v>720.52</v>
      </c>
      <c r="AT13" s="296">
        <f t="shared" si="8"/>
        <v>314.46</v>
      </c>
      <c r="AU13" s="296">
        <f t="shared" si="9"/>
        <v>79</v>
      </c>
      <c r="AV13" s="296">
        <f t="shared" si="10"/>
        <v>79</v>
      </c>
      <c r="AW13" s="296">
        <f t="shared" si="11"/>
        <v>1192.98</v>
      </c>
      <c r="AX13" s="305">
        <f t="shared" si="12"/>
        <v>1034.98</v>
      </c>
      <c r="AY13" s="305"/>
      <c r="AZ13" s="305">
        <f t="shared" si="26"/>
        <v>158</v>
      </c>
      <c r="BA13" s="305"/>
      <c r="BB13" s="306">
        <v>80</v>
      </c>
      <c r="BC13" s="305">
        <f t="shared" si="14"/>
        <v>1272.98</v>
      </c>
      <c r="BD13" s="307"/>
      <c r="BE13" s="324"/>
      <c r="BF13" s="324"/>
      <c r="BG13" s="324"/>
      <c r="BH13" s="324"/>
    </row>
    <row r="14" s="240" customFormat="1" ht="18" customHeight="1" spans="1:60">
      <c r="A14" s="252"/>
      <c r="B14" s="253" t="s">
        <v>39</v>
      </c>
      <c r="C14" s="254" t="s">
        <v>60</v>
      </c>
      <c r="D14" s="255" t="s">
        <v>41</v>
      </c>
      <c r="E14" s="253" t="s">
        <v>51</v>
      </c>
      <c r="F14" s="256" t="s">
        <v>61</v>
      </c>
      <c r="G14" s="257" t="s">
        <v>62</v>
      </c>
      <c r="H14" s="255" t="s">
        <v>63</v>
      </c>
      <c r="I14" s="255" t="s">
        <v>63</v>
      </c>
      <c r="J14" s="255" t="s">
        <v>65</v>
      </c>
      <c r="K14" s="255" t="s">
        <v>65</v>
      </c>
      <c r="L14" s="252">
        <v>3053.05</v>
      </c>
      <c r="M14" s="252">
        <v>0.16</v>
      </c>
      <c r="N14" s="252">
        <f t="shared" si="17"/>
        <v>488.49</v>
      </c>
      <c r="O14" s="252">
        <v>0.08</v>
      </c>
      <c r="P14" s="252">
        <f t="shared" si="18"/>
        <v>244.24</v>
      </c>
      <c r="Q14" s="252">
        <v>3053.05</v>
      </c>
      <c r="R14" s="252">
        <v>0.06</v>
      </c>
      <c r="S14" s="252">
        <f t="shared" si="19"/>
        <v>183.18</v>
      </c>
      <c r="T14" s="252">
        <v>0.02</v>
      </c>
      <c r="U14" s="252">
        <f t="shared" si="20"/>
        <v>61.06</v>
      </c>
      <c r="V14" s="252">
        <v>3053.05</v>
      </c>
      <c r="W14" s="252">
        <v>0.007</v>
      </c>
      <c r="X14" s="252">
        <f t="shared" si="21"/>
        <v>21.37</v>
      </c>
      <c r="Y14" s="252">
        <v>0.003</v>
      </c>
      <c r="Z14" s="252">
        <f t="shared" si="22"/>
        <v>9.16</v>
      </c>
      <c r="AA14" s="252">
        <v>3053.05</v>
      </c>
      <c r="AB14" s="252">
        <v>0.007</v>
      </c>
      <c r="AC14" s="252">
        <f t="shared" si="23"/>
        <v>21.37</v>
      </c>
      <c r="AD14" s="252">
        <v>3053.05</v>
      </c>
      <c r="AE14" s="252">
        <v>0.002</v>
      </c>
      <c r="AF14" s="252">
        <f t="shared" si="6"/>
        <v>6.11</v>
      </c>
      <c r="AG14" s="252" t="s">
        <v>64</v>
      </c>
      <c r="AH14" s="252">
        <v>0.05</v>
      </c>
      <c r="AI14" s="252">
        <f t="shared" si="24"/>
        <v>79</v>
      </c>
      <c r="AJ14" s="252">
        <v>0.05</v>
      </c>
      <c r="AK14" s="252">
        <f t="shared" si="25"/>
        <v>79</v>
      </c>
      <c r="AL14" s="290"/>
      <c r="AM14" s="252"/>
      <c r="AN14" s="252"/>
      <c r="AO14" s="252"/>
      <c r="AP14" s="253"/>
      <c r="AQ14" s="295"/>
      <c r="AR14" s="295"/>
      <c r="AS14" s="296">
        <f t="shared" si="7"/>
        <v>720.52</v>
      </c>
      <c r="AT14" s="296">
        <f t="shared" si="8"/>
        <v>314.46</v>
      </c>
      <c r="AU14" s="296">
        <f t="shared" si="9"/>
        <v>79</v>
      </c>
      <c r="AV14" s="296">
        <f t="shared" si="10"/>
        <v>79</v>
      </c>
      <c r="AW14" s="296">
        <f t="shared" si="11"/>
        <v>1192.98</v>
      </c>
      <c r="AX14" s="305">
        <f t="shared" si="12"/>
        <v>1034.98</v>
      </c>
      <c r="AY14" s="305"/>
      <c r="AZ14" s="305">
        <f t="shared" si="26"/>
        <v>158</v>
      </c>
      <c r="BA14" s="305"/>
      <c r="BB14" s="306">
        <v>80</v>
      </c>
      <c r="BC14" s="305">
        <f t="shared" si="14"/>
        <v>1272.98</v>
      </c>
      <c r="BD14" s="307"/>
      <c r="BE14" s="324"/>
      <c r="BF14" s="324"/>
      <c r="BG14" s="324"/>
      <c r="BH14" s="324"/>
    </row>
    <row r="15" s="241" customFormat="1" ht="18" customHeight="1" spans="1:60">
      <c r="A15" s="258" t="s">
        <v>55</v>
      </c>
      <c r="B15" s="259" t="s">
        <v>39</v>
      </c>
      <c r="C15" s="260" t="s">
        <v>60</v>
      </c>
      <c r="D15" s="261" t="s">
        <v>41</v>
      </c>
      <c r="E15" s="259" t="s">
        <v>51</v>
      </c>
      <c r="F15" s="262" t="s">
        <v>61</v>
      </c>
      <c r="G15" s="263" t="s">
        <v>62</v>
      </c>
      <c r="H15" s="261" t="s">
        <v>63</v>
      </c>
      <c r="I15" s="261" t="s">
        <v>63</v>
      </c>
      <c r="J15" s="261" t="s">
        <v>63</v>
      </c>
      <c r="K15" s="261" t="s">
        <v>63</v>
      </c>
      <c r="L15" s="258">
        <v>3053.05</v>
      </c>
      <c r="M15" s="258">
        <v>0.16</v>
      </c>
      <c r="N15" s="258">
        <f t="shared" si="17"/>
        <v>488.49</v>
      </c>
      <c r="O15" s="258">
        <v>0.08</v>
      </c>
      <c r="P15" s="258">
        <f t="shared" si="18"/>
        <v>244.24</v>
      </c>
      <c r="Q15" s="258">
        <v>3053.05</v>
      </c>
      <c r="R15" s="258">
        <v>0.06</v>
      </c>
      <c r="S15" s="258">
        <f t="shared" si="19"/>
        <v>183.18</v>
      </c>
      <c r="T15" s="258">
        <v>0.02</v>
      </c>
      <c r="U15" s="258">
        <f t="shared" si="20"/>
        <v>61.06</v>
      </c>
      <c r="V15" s="258">
        <v>3053.05</v>
      </c>
      <c r="W15" s="258">
        <v>0.007</v>
      </c>
      <c r="X15" s="258">
        <f t="shared" si="21"/>
        <v>21.37</v>
      </c>
      <c r="Y15" s="258">
        <v>0.003</v>
      </c>
      <c r="Z15" s="258">
        <f t="shared" si="22"/>
        <v>9.16</v>
      </c>
      <c r="AA15" s="258">
        <v>3053.05</v>
      </c>
      <c r="AB15" s="258">
        <v>0.007</v>
      </c>
      <c r="AC15" s="258">
        <f t="shared" si="23"/>
        <v>21.37</v>
      </c>
      <c r="AD15" s="258">
        <v>3053.05</v>
      </c>
      <c r="AE15" s="258">
        <v>0.002</v>
      </c>
      <c r="AF15" s="258">
        <f t="shared" si="6"/>
        <v>6.11</v>
      </c>
      <c r="AG15" s="258" t="s">
        <v>64</v>
      </c>
      <c r="AH15" s="258">
        <v>0.05</v>
      </c>
      <c r="AI15" s="258">
        <f t="shared" si="24"/>
        <v>79</v>
      </c>
      <c r="AJ15" s="258">
        <v>0.05</v>
      </c>
      <c r="AK15" s="258">
        <f t="shared" si="25"/>
        <v>79</v>
      </c>
      <c r="AL15" s="291"/>
      <c r="AM15" s="258"/>
      <c r="AN15" s="258"/>
      <c r="AO15" s="258"/>
      <c r="AP15" s="259"/>
      <c r="AQ15" s="297"/>
      <c r="AR15" s="297"/>
      <c r="AS15" s="298">
        <f t="shared" si="7"/>
        <v>720.52</v>
      </c>
      <c r="AT15" s="298">
        <f t="shared" si="8"/>
        <v>314.46</v>
      </c>
      <c r="AU15" s="298">
        <f t="shared" si="9"/>
        <v>79</v>
      </c>
      <c r="AV15" s="298">
        <f t="shared" si="10"/>
        <v>79</v>
      </c>
      <c r="AW15" s="298">
        <f t="shared" si="11"/>
        <v>1192.98</v>
      </c>
      <c r="AX15" s="308">
        <f t="shared" si="12"/>
        <v>1034.98</v>
      </c>
      <c r="AY15" s="308"/>
      <c r="AZ15" s="308">
        <f t="shared" si="26"/>
        <v>158</v>
      </c>
      <c r="BA15" s="308"/>
      <c r="BB15" s="309">
        <v>80</v>
      </c>
      <c r="BC15" s="308">
        <f t="shared" si="14"/>
        <v>1272.98</v>
      </c>
      <c r="BD15" s="310"/>
      <c r="BE15" s="325"/>
      <c r="BF15" s="325"/>
      <c r="BG15" s="325"/>
      <c r="BH15" s="325"/>
    </row>
    <row r="16" s="242" customFormat="1" ht="18" customHeight="1" spans="1:60">
      <c r="A16" s="264"/>
      <c r="B16" s="265"/>
      <c r="C16" s="266"/>
      <c r="D16" s="267"/>
      <c r="E16" s="268"/>
      <c r="F16" s="269"/>
      <c r="G16" s="270"/>
      <c r="H16" s="271"/>
      <c r="I16" s="267"/>
      <c r="J16" s="271"/>
      <c r="K16" s="271"/>
      <c r="L16" s="284"/>
      <c r="M16" s="284"/>
      <c r="N16" s="285"/>
      <c r="O16" s="284"/>
      <c r="P16" s="284"/>
      <c r="Q16" s="284"/>
      <c r="R16" s="284"/>
      <c r="S16" s="284"/>
      <c r="T16" s="284"/>
      <c r="U16" s="284"/>
      <c r="V16" s="287"/>
      <c r="W16" s="287"/>
      <c r="X16" s="288"/>
      <c r="Y16" s="287"/>
      <c r="Z16" s="284"/>
      <c r="AA16" s="284"/>
      <c r="AB16" s="284"/>
      <c r="AC16" s="284"/>
      <c r="AD16" s="284"/>
      <c r="AE16" s="284"/>
      <c r="AF16" s="285"/>
      <c r="AG16" s="284"/>
      <c r="AH16" s="284"/>
      <c r="AI16" s="284"/>
      <c r="AJ16" s="284"/>
      <c r="AK16" s="284"/>
      <c r="AL16" s="292"/>
      <c r="AM16" s="284"/>
      <c r="AN16" s="284"/>
      <c r="AO16" s="284"/>
      <c r="AP16" s="299"/>
      <c r="AQ16" s="300"/>
      <c r="AR16" s="284"/>
      <c r="AS16" s="301"/>
      <c r="AT16" s="301"/>
      <c r="AU16" s="301"/>
      <c r="AV16" s="301"/>
      <c r="AW16" s="301"/>
      <c r="AX16" s="311"/>
      <c r="AY16" s="312"/>
      <c r="AZ16" s="311"/>
      <c r="BA16" s="312"/>
      <c r="BB16" s="313"/>
      <c r="BC16" s="311"/>
      <c r="BD16" s="314"/>
      <c r="BE16" s="245"/>
      <c r="BF16" s="245"/>
      <c r="BG16" s="245"/>
      <c r="BH16" s="245"/>
    </row>
    <row r="17" ht="14.25" spans="1:56">
      <c r="A17" s="272" t="s">
        <v>66</v>
      </c>
      <c r="B17" s="273"/>
      <c r="C17" s="274"/>
      <c r="D17" s="274"/>
      <c r="E17" s="275"/>
      <c r="F17" s="274"/>
      <c r="G17" s="274"/>
      <c r="H17" s="274"/>
      <c r="I17" s="274"/>
      <c r="J17" s="274"/>
      <c r="K17" s="274"/>
      <c r="L17" s="275">
        <f t="shared" ref="L17:BC17" si="27">SUM(L3:L15)</f>
        <v>33521.2</v>
      </c>
      <c r="M17" s="275">
        <f t="shared" si="27"/>
        <v>1.54</v>
      </c>
      <c r="N17" s="275">
        <f t="shared" si="27"/>
        <v>5135.22</v>
      </c>
      <c r="O17" s="275">
        <f t="shared" si="27"/>
        <v>0.8</v>
      </c>
      <c r="P17" s="275">
        <f t="shared" si="27"/>
        <v>2681.68</v>
      </c>
      <c r="Q17" s="275">
        <f t="shared" si="27"/>
        <v>40637.2</v>
      </c>
      <c r="R17" s="275">
        <f t="shared" si="27"/>
        <v>0.645</v>
      </c>
      <c r="S17" s="275">
        <f t="shared" si="27"/>
        <v>2543.61</v>
      </c>
      <c r="T17" s="275">
        <f t="shared" si="27"/>
        <v>0.2</v>
      </c>
      <c r="U17" s="275">
        <f t="shared" si="27"/>
        <v>812.74</v>
      </c>
      <c r="V17" s="275">
        <f t="shared" si="27"/>
        <v>33521.2</v>
      </c>
      <c r="W17" s="275">
        <f t="shared" si="27"/>
        <v>0.0586</v>
      </c>
      <c r="X17" s="275">
        <f t="shared" si="27"/>
        <v>191.29</v>
      </c>
      <c r="Y17" s="275">
        <f t="shared" si="27"/>
        <v>0.027</v>
      </c>
      <c r="Z17" s="275">
        <f t="shared" si="27"/>
        <v>89.17</v>
      </c>
      <c r="AA17" s="275">
        <f t="shared" si="27"/>
        <v>30737.2</v>
      </c>
      <c r="AB17" s="275">
        <f t="shared" si="27"/>
        <v>0.0535</v>
      </c>
      <c r="AC17" s="275">
        <f t="shared" si="27"/>
        <v>242.95</v>
      </c>
      <c r="AD17" s="275">
        <f t="shared" si="27"/>
        <v>35930.2</v>
      </c>
      <c r="AE17" s="275">
        <f t="shared" si="27"/>
        <v>0.0236</v>
      </c>
      <c r="AF17" s="275">
        <f t="shared" si="27"/>
        <v>66.32</v>
      </c>
      <c r="AG17" s="275">
        <f t="shared" si="27"/>
        <v>9000</v>
      </c>
      <c r="AH17" s="275">
        <f t="shared" si="27"/>
        <v>0.5</v>
      </c>
      <c r="AI17" s="275">
        <f t="shared" si="27"/>
        <v>1216</v>
      </c>
      <c r="AJ17" s="275">
        <f t="shared" si="27"/>
        <v>0.38</v>
      </c>
      <c r="AK17" s="275">
        <f t="shared" si="27"/>
        <v>856</v>
      </c>
      <c r="AL17" s="275">
        <f t="shared" si="27"/>
        <v>0</v>
      </c>
      <c r="AM17" s="275">
        <f t="shared" si="27"/>
        <v>0</v>
      </c>
      <c r="AN17" s="275">
        <f t="shared" si="27"/>
        <v>0</v>
      </c>
      <c r="AO17" s="275">
        <f t="shared" si="27"/>
        <v>0</v>
      </c>
      <c r="AP17" s="275">
        <f t="shared" si="27"/>
        <v>0</v>
      </c>
      <c r="AQ17" s="275">
        <f t="shared" si="27"/>
        <v>95.28</v>
      </c>
      <c r="AR17" s="275">
        <f t="shared" si="27"/>
        <v>96</v>
      </c>
      <c r="AS17" s="275">
        <f t="shared" si="27"/>
        <v>8274.67</v>
      </c>
      <c r="AT17" s="275">
        <f t="shared" si="27"/>
        <v>3583.59</v>
      </c>
      <c r="AU17" s="275">
        <f t="shared" si="27"/>
        <v>1216</v>
      </c>
      <c r="AV17" s="275">
        <f t="shared" si="27"/>
        <v>856</v>
      </c>
      <c r="AW17" s="275">
        <f t="shared" si="27"/>
        <v>13930.26</v>
      </c>
      <c r="AX17" s="275">
        <f t="shared" si="27"/>
        <v>11858.26</v>
      </c>
      <c r="AY17" s="275">
        <f t="shared" si="27"/>
        <v>0</v>
      </c>
      <c r="AZ17" s="275">
        <f t="shared" si="27"/>
        <v>2072</v>
      </c>
      <c r="BA17" s="275">
        <f t="shared" si="27"/>
        <v>0</v>
      </c>
      <c r="BB17" s="275">
        <f t="shared" si="27"/>
        <v>800</v>
      </c>
      <c r="BC17" s="275">
        <f t="shared" si="27"/>
        <v>14730.26</v>
      </c>
      <c r="BD17" s="315"/>
    </row>
    <row r="18" ht="15" spans="1:56">
      <c r="A18" s="276" t="s">
        <v>23</v>
      </c>
      <c r="B18" s="277"/>
      <c r="C18" s="278"/>
      <c r="D18" s="278"/>
      <c r="E18" s="279"/>
      <c r="F18" s="279"/>
      <c r="G18" s="279"/>
      <c r="H18" s="279"/>
      <c r="I18" s="279"/>
      <c r="J18" s="279"/>
      <c r="K18" s="279"/>
      <c r="L18" s="286">
        <f t="shared" ref="L18:AX18" si="28">SUM(L17:L17)</f>
        <v>33521.2</v>
      </c>
      <c r="M18" s="286">
        <f t="shared" si="28"/>
        <v>1.54</v>
      </c>
      <c r="N18" s="286">
        <f t="shared" si="28"/>
        <v>5135.22</v>
      </c>
      <c r="O18" s="286">
        <f t="shared" si="28"/>
        <v>0.8</v>
      </c>
      <c r="P18" s="286">
        <f t="shared" si="28"/>
        <v>2681.68</v>
      </c>
      <c r="Q18" s="286">
        <f t="shared" si="28"/>
        <v>40637.2</v>
      </c>
      <c r="R18" s="286">
        <f t="shared" si="28"/>
        <v>0.645</v>
      </c>
      <c r="S18" s="286">
        <f t="shared" si="28"/>
        <v>2543.61</v>
      </c>
      <c r="T18" s="286">
        <f t="shared" si="28"/>
        <v>0.2</v>
      </c>
      <c r="U18" s="286">
        <f t="shared" si="28"/>
        <v>812.74</v>
      </c>
      <c r="V18" s="286">
        <f t="shared" si="28"/>
        <v>33521.2</v>
      </c>
      <c r="W18" s="286">
        <f t="shared" si="28"/>
        <v>0.0586</v>
      </c>
      <c r="X18" s="286">
        <f t="shared" si="28"/>
        <v>191.29</v>
      </c>
      <c r="Y18" s="286">
        <f t="shared" si="28"/>
        <v>0.027</v>
      </c>
      <c r="Z18" s="286">
        <f t="shared" si="28"/>
        <v>89.17</v>
      </c>
      <c r="AA18" s="286">
        <f t="shared" si="28"/>
        <v>30737.2</v>
      </c>
      <c r="AB18" s="286">
        <f t="shared" si="28"/>
        <v>0.0535</v>
      </c>
      <c r="AC18" s="286">
        <f t="shared" si="28"/>
        <v>242.95</v>
      </c>
      <c r="AD18" s="286">
        <f t="shared" si="28"/>
        <v>35930.2</v>
      </c>
      <c r="AE18" s="286">
        <f t="shared" si="28"/>
        <v>0.0236</v>
      </c>
      <c r="AF18" s="286">
        <f t="shared" si="28"/>
        <v>66.32</v>
      </c>
      <c r="AG18" s="286">
        <f t="shared" si="28"/>
        <v>9000</v>
      </c>
      <c r="AH18" s="286">
        <f t="shared" si="28"/>
        <v>0.5</v>
      </c>
      <c r="AI18" s="286">
        <f t="shared" si="28"/>
        <v>1216</v>
      </c>
      <c r="AJ18" s="286">
        <f t="shared" si="28"/>
        <v>0.38</v>
      </c>
      <c r="AK18" s="286">
        <f t="shared" si="28"/>
        <v>856</v>
      </c>
      <c r="AL18" s="286">
        <f t="shared" si="28"/>
        <v>0</v>
      </c>
      <c r="AM18" s="286">
        <f t="shared" si="28"/>
        <v>0</v>
      </c>
      <c r="AN18" s="286">
        <f t="shared" si="28"/>
        <v>0</v>
      </c>
      <c r="AO18" s="286">
        <f t="shared" si="28"/>
        <v>0</v>
      </c>
      <c r="AP18" s="286">
        <f t="shared" si="28"/>
        <v>0</v>
      </c>
      <c r="AQ18" s="286">
        <f t="shared" si="28"/>
        <v>95.28</v>
      </c>
      <c r="AR18" s="286">
        <f t="shared" si="28"/>
        <v>96</v>
      </c>
      <c r="AS18" s="302">
        <f t="shared" si="28"/>
        <v>8274.67</v>
      </c>
      <c r="AT18" s="302">
        <f t="shared" si="28"/>
        <v>3583.59</v>
      </c>
      <c r="AU18" s="302">
        <f t="shared" si="28"/>
        <v>1216</v>
      </c>
      <c r="AV18" s="302">
        <f t="shared" si="28"/>
        <v>856</v>
      </c>
      <c r="AW18" s="302">
        <f t="shared" si="28"/>
        <v>13930.26</v>
      </c>
      <c r="AX18" s="316">
        <f t="shared" si="28"/>
        <v>11858.26</v>
      </c>
      <c r="AY18" s="316"/>
      <c r="AZ18" s="316">
        <f t="shared" ref="AZ18:BC18" si="29">SUM(AZ17:AZ17)</f>
        <v>2072</v>
      </c>
      <c r="BA18" s="316"/>
      <c r="BB18" s="286">
        <f t="shared" si="29"/>
        <v>800</v>
      </c>
      <c r="BC18" s="286">
        <f t="shared" si="29"/>
        <v>14730.26</v>
      </c>
      <c r="BD18" s="317"/>
    </row>
    <row r="19" s="243" customFormat="1" spans="1:56">
      <c r="A19" s="280"/>
      <c r="B19" s="280"/>
      <c r="C19" s="280"/>
      <c r="D19" s="280"/>
      <c r="E19" s="280"/>
      <c r="F19" s="281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303"/>
      <c r="AT19" s="303"/>
      <c r="AU19" s="303"/>
      <c r="AV19" s="303"/>
      <c r="AW19" s="303"/>
      <c r="AX19" s="280"/>
      <c r="AY19" s="280"/>
      <c r="AZ19" s="280"/>
      <c r="BA19" s="280"/>
      <c r="BB19" s="280"/>
      <c r="BC19" s="280"/>
      <c r="BD19" s="318"/>
    </row>
    <row r="20" s="244" customFormat="1" spans="1:56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45"/>
      <c r="AK20" s="245"/>
      <c r="AL20" s="245"/>
      <c r="AM20" s="245"/>
      <c r="AN20" s="245"/>
      <c r="AO20" s="245"/>
      <c r="AP20" s="245"/>
      <c r="AQ20" s="245"/>
      <c r="AR20" s="245"/>
      <c r="AS20" s="246"/>
      <c r="AT20" s="246"/>
      <c r="AU20" s="246"/>
      <c r="AV20" s="246"/>
      <c r="AW20" s="246"/>
      <c r="AX20" s="245"/>
      <c r="AY20" s="245"/>
      <c r="AZ20" s="245"/>
      <c r="BA20" s="245"/>
      <c r="BB20" s="245"/>
      <c r="BC20" s="245"/>
      <c r="BD20" s="247"/>
    </row>
    <row r="22" spans="50:55">
      <c r="AX22" s="319"/>
      <c r="AY22" s="319"/>
      <c r="BC22" s="320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N5" sqref="N5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0" width="9" style="130"/>
    <col min="11" max="11" width="13.75" style="130" customWidth="1"/>
    <col min="12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 t="s">
        <v>72</v>
      </c>
      <c r="K7" s="215" t="s">
        <v>47</v>
      </c>
      <c r="L7" s="215" t="s">
        <v>72</v>
      </c>
      <c r="M7" s="215" t="s">
        <v>72</v>
      </c>
      <c r="N7" s="216"/>
    </row>
    <row r="8" ht="17.25" spans="1:14">
      <c r="A8" s="147"/>
      <c r="B8" s="150" t="s">
        <v>73</v>
      </c>
      <c r="C8" s="151"/>
      <c r="D8" s="151"/>
      <c r="E8" s="152">
        <f>D10</f>
        <v>114581.19</v>
      </c>
      <c r="F8" s="153"/>
      <c r="G8" s="153"/>
      <c r="H8" s="154"/>
      <c r="I8" s="217" t="s">
        <v>72</v>
      </c>
      <c r="J8" s="218" t="s">
        <v>74</v>
      </c>
      <c r="K8" s="219" t="s">
        <v>75</v>
      </c>
      <c r="L8" s="219" t="s">
        <v>72</v>
      </c>
      <c r="M8" s="219" t="s">
        <v>72</v>
      </c>
      <c r="N8" s="220"/>
    </row>
    <row r="9" ht="15.75" spans="1:14">
      <c r="A9" s="147"/>
      <c r="B9" s="155" t="s">
        <v>76</v>
      </c>
      <c r="C9" s="156"/>
      <c r="D9" s="156"/>
      <c r="E9" s="157">
        <f>G24</f>
        <v>114581.19</v>
      </c>
      <c r="F9" s="158"/>
      <c r="G9" s="158"/>
      <c r="H9" s="159"/>
      <c r="I9" s="221" t="s">
        <v>72</v>
      </c>
      <c r="J9" s="222" t="s">
        <v>77</v>
      </c>
      <c r="K9" s="223" t="s">
        <v>78</v>
      </c>
      <c r="L9" s="223" t="s">
        <v>72</v>
      </c>
      <c r="M9" s="223" t="s">
        <v>72</v>
      </c>
      <c r="N9" s="224"/>
    </row>
    <row r="10" ht="30.75" spans="1:14">
      <c r="A10" s="147"/>
      <c r="B10" s="160" t="s">
        <v>79</v>
      </c>
      <c r="C10" s="161"/>
      <c r="D10" s="162">
        <f>G24</f>
        <v>114581.19</v>
      </c>
      <c r="E10" s="163" t="s">
        <v>80</v>
      </c>
      <c r="F10" s="164"/>
      <c r="G10" s="165"/>
      <c r="H10" s="166">
        <v>0</v>
      </c>
      <c r="I10" s="225" t="s">
        <v>72</v>
      </c>
      <c r="J10" s="226" t="s">
        <v>81</v>
      </c>
      <c r="K10" s="328" t="s">
        <v>82</v>
      </c>
      <c r="L10" s="227" t="s">
        <v>72</v>
      </c>
      <c r="M10" s="227" t="s">
        <v>72</v>
      </c>
      <c r="N10" s="228"/>
    </row>
    <row r="11" ht="16.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9" t="s">
        <v>72</v>
      </c>
      <c r="J11" s="230" t="s">
        <v>85</v>
      </c>
      <c r="K11" s="231" t="s">
        <v>86</v>
      </c>
      <c r="L11" s="229"/>
      <c r="M11" s="229" t="s">
        <v>72</v>
      </c>
      <c r="N11" s="232"/>
    </row>
    <row r="12" spans="1:14">
      <c r="A12" s="144"/>
      <c r="B12" s="167" t="s">
        <v>87</v>
      </c>
      <c r="C12" s="168"/>
      <c r="D12" s="169">
        <v>0</v>
      </c>
      <c r="E12" s="170" t="s">
        <v>88</v>
      </c>
      <c r="F12" s="171"/>
      <c r="G12" s="172"/>
      <c r="H12" s="173"/>
      <c r="I12" s="233"/>
      <c r="J12" s="234"/>
      <c r="K12" s="235"/>
      <c r="L12" s="235"/>
      <c r="M12" s="235"/>
      <c r="N12" s="235"/>
    </row>
    <row r="13" ht="14.25" spans="1:14">
      <c r="A13" s="134"/>
      <c r="B13" s="174" t="s">
        <v>89</v>
      </c>
      <c r="C13" s="175"/>
      <c r="D13" s="176">
        <v>0</v>
      </c>
      <c r="E13" s="177"/>
      <c r="F13" s="178"/>
      <c r="G13" s="179"/>
      <c r="H13" s="180"/>
      <c r="I13" s="147"/>
      <c r="J13" s="236"/>
      <c r="K13" s="237"/>
      <c r="L13" s="237"/>
      <c r="M13" s="237"/>
      <c r="N13" s="237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90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91</v>
      </c>
      <c r="D17" s="183" t="s">
        <v>92</v>
      </c>
      <c r="E17" s="183"/>
      <c r="F17" s="184" t="s">
        <v>93</v>
      </c>
      <c r="G17" s="185" t="s">
        <v>31</v>
      </c>
      <c r="H17" s="186" t="s">
        <v>24</v>
      </c>
      <c r="J17" s="238" t="s">
        <v>94</v>
      </c>
      <c r="K17" s="238"/>
      <c r="L17" s="238"/>
      <c r="M17" s="238"/>
    </row>
    <row r="18" ht="16.5" spans="2:13">
      <c r="B18" s="187">
        <v>1</v>
      </c>
      <c r="C18" s="188" t="s">
        <v>95</v>
      </c>
      <c r="D18" s="189" t="s">
        <v>96</v>
      </c>
      <c r="E18" s="189"/>
      <c r="F18" s="190"/>
      <c r="G18" s="191">
        <f>'（居民）工资表-3月'!E23</f>
        <v>114581.19</v>
      </c>
      <c r="H18" s="192"/>
      <c r="J18" s="238"/>
      <c r="K18" s="238"/>
      <c r="L18" s="238"/>
      <c r="M18" s="238"/>
    </row>
    <row r="19" ht="16.5" spans="2:13">
      <c r="B19" s="187">
        <v>2</v>
      </c>
      <c r="C19" s="188"/>
      <c r="D19" s="193" t="s">
        <v>97</v>
      </c>
      <c r="E19" s="194" t="s">
        <v>98</v>
      </c>
      <c r="F19" s="190"/>
      <c r="G19" s="191"/>
      <c r="H19" s="195"/>
      <c r="J19" s="238"/>
      <c r="K19" s="238"/>
      <c r="L19" s="238"/>
      <c r="M19" s="238"/>
    </row>
    <row r="20" ht="16.5" spans="2:13">
      <c r="B20" s="187">
        <v>3</v>
      </c>
      <c r="C20" s="188"/>
      <c r="D20" s="193" t="s">
        <v>99</v>
      </c>
      <c r="E20" s="194" t="s">
        <v>98</v>
      </c>
      <c r="F20" s="190"/>
      <c r="G20" s="191"/>
      <c r="H20" s="195"/>
      <c r="J20" s="238"/>
      <c r="K20" s="238"/>
      <c r="L20" s="238"/>
      <c r="M20" s="238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114581.19</v>
      </c>
      <c r="H21" s="198"/>
      <c r="J21" s="238"/>
      <c r="K21" s="238"/>
      <c r="L21" s="238"/>
      <c r="M21" s="238"/>
    </row>
    <row r="22" ht="16.5" spans="2:13">
      <c r="B22" s="187">
        <v>5</v>
      </c>
      <c r="C22" s="188" t="s">
        <v>100</v>
      </c>
      <c r="D22" s="196" t="s">
        <v>101</v>
      </c>
      <c r="E22" s="196"/>
      <c r="F22" s="190"/>
      <c r="G22" s="197"/>
      <c r="H22" s="192"/>
      <c r="J22" s="238"/>
      <c r="K22" s="238"/>
      <c r="L22" s="238"/>
      <c r="M22" s="238"/>
    </row>
    <row r="23" ht="18" customHeight="1" spans="2:13">
      <c r="B23" s="187">
        <v>6</v>
      </c>
      <c r="C23" s="199" t="s">
        <v>102</v>
      </c>
      <c r="D23" s="200">
        <v>0.056</v>
      </c>
      <c r="E23" s="200"/>
      <c r="F23" s="200"/>
      <c r="G23" s="197"/>
      <c r="H23" s="192"/>
      <c r="J23" s="238"/>
      <c r="K23" s="238"/>
      <c r="L23" s="238"/>
      <c r="M23" s="238"/>
    </row>
    <row r="24" ht="16.5" spans="2:8">
      <c r="B24" s="201" t="s">
        <v>103</v>
      </c>
      <c r="C24" s="202"/>
      <c r="D24" s="202"/>
      <c r="E24" s="202"/>
      <c r="F24" s="202"/>
      <c r="G24" s="203">
        <f>G21+G22</f>
        <v>114581.19</v>
      </c>
      <c r="H24" s="204"/>
    </row>
    <row r="25" ht="16" customHeight="1" spans="2:8">
      <c r="B25" s="205" t="s">
        <v>104</v>
      </c>
      <c r="C25" s="206"/>
      <c r="D25" s="206"/>
      <c r="E25" s="206"/>
      <c r="F25" s="206"/>
      <c r="G25" s="207">
        <f>G24</f>
        <v>114581.19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48000</v>
      </c>
      <c r="T4" s="91">
        <f>5000+IFERROR(VLOOKUP($E:$E,'（居民）工资表-6月'!$E:$T,16,0),0)</f>
        <v>30000</v>
      </c>
      <c r="U4" s="91">
        <f>Q4+IFERROR(VLOOKUP($E:$E,'（居民）工资表-6月'!$E:$U,17,0),0)</f>
        <v>3596.86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-2396.86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359.76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147</v>
      </c>
      <c r="AN4" s="12" t="s">
        <v>51</v>
      </c>
    </row>
    <row r="5" s="12" customFormat="1" ht="18" customHeight="1" spans="1:40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35920</v>
      </c>
      <c r="T5" s="91">
        <f>5000+IFERROR(VLOOKUP($E:$E,'（居民）工资表-6月'!$E:$T,16,0),0)</f>
        <v>30000</v>
      </c>
      <c r="U5" s="91">
        <f>Q5+IFERROR(VLOOKUP($E:$E,'（居民）工资表-6月'!$E:$U,17,0),0)</f>
        <v>4143.36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-5223.36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40.17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180360</v>
      </c>
      <c r="T6" s="91">
        <f>5000+IFERROR(VLOOKUP($E:$E,'（居民）工资表-6月'!$E:$T,16,0),0)</f>
        <v>30000</v>
      </c>
      <c r="U6" s="91">
        <f>Q6+IFERROR(VLOOKUP($E:$E,'（居民）工资表-6月'!$E:$U,17,0),0)</f>
        <v>5720.84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134139.16</v>
      </c>
      <c r="AE6" s="96">
        <f>ROUND(MAX((AD6)*{0.03;0.1;0.2;0.25;0.3;0.35;0.45}-{0;2520;16920;31920;52920;85920;181920},0),2)</f>
        <v>10893.92</v>
      </c>
      <c r="AF6" s="97">
        <f>IFERROR(VLOOKUP(E:E,'（居民）工资表-6月'!E:AF,28,0)+VLOOKUP(E:E,'（居民）工资表-6月'!E:AG,29,0),0)</f>
        <v>9532.77</v>
      </c>
      <c r="AG6" s="97">
        <f>IF((AE6-AF6)&lt;0,0,AE6-AF6)</f>
        <v>1361.15</v>
      </c>
      <c r="AH6" s="107">
        <f>ROUND(IF((L6-Q6-AG6)&lt;0,0,(L6-Q6-AG6)),2)</f>
        <v>27750.3</v>
      </c>
      <c r="AI6" s="108"/>
      <c r="AJ6" s="107">
        <f>AH6+AI6</f>
        <v>27750.3</v>
      </c>
      <c r="AK6" s="109"/>
      <c r="AL6" s="107">
        <f>AJ6+AG6+AK6</f>
        <v>29111.45</v>
      </c>
      <c r="AM6" s="12" t="s">
        <v>154</v>
      </c>
      <c r="AN6" s="12" t="s">
        <v>155</v>
      </c>
    </row>
    <row r="7" s="12" customFormat="1" ht="18" customHeight="1" spans="1:40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55000</v>
      </c>
      <c r="T7" s="91">
        <f>5000+IFERROR(VLOOKUP($E:$E,'（居民）工资表-6月'!$E:$T,16,0),0)</f>
        <v>30000</v>
      </c>
      <c r="U7" s="91">
        <f>Q7+IFERROR(VLOOKUP($E:$E,'（居民）工资表-6月'!$E:$U,17,0),0)</f>
        <v>3210.84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16789.16</v>
      </c>
      <c r="AE7" s="96">
        <f>ROUND(MAX((AD7)*{0.03;0.1;0.2;0.25;0.3;0.35;0.45}-{0;2520;16920;31920;52920;85920;181920},0),2)</f>
        <v>503.67</v>
      </c>
      <c r="AF7" s="97">
        <f>IFERROR(VLOOKUP(E:E,'（居民）工资表-6月'!E:AF,28,0)+VLOOKUP(E:E,'（居民）工资表-6月'!E:AG,29,0),0)</f>
        <v>489.51</v>
      </c>
      <c r="AG7" s="97">
        <f t="shared" ref="AG7:AG19" si="3">IF((AE7-AF7)&lt;0,0,AE7-AF7)</f>
        <v>14.16</v>
      </c>
      <c r="AH7" s="107">
        <f t="shared" ref="AH7:AH19" si="4">ROUND(IF((L7-Q7-AG7)&lt;0,0,(L7-Q7-AG7)),2)</f>
        <v>10458.13</v>
      </c>
      <c r="AI7" s="108"/>
      <c r="AJ7" s="107">
        <f t="shared" ref="AJ7:AJ19" si="5">AH7+AI7</f>
        <v>10458.13</v>
      </c>
      <c r="AK7" s="109"/>
      <c r="AL7" s="107">
        <f t="shared" ref="AL7:AL19" si="6">AJ7+AG7+AK7</f>
        <v>10472.29</v>
      </c>
      <c r="AM7" s="12" t="s">
        <v>159</v>
      </c>
      <c r="AN7" s="12" t="s">
        <v>51</v>
      </c>
    </row>
    <row r="8" s="12" customFormat="1" ht="18" customHeight="1" spans="1:40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65000</v>
      </c>
      <c r="T8" s="91">
        <f>5000+IFERROR(VLOOKUP($E:$E,'（居民）工资表-6月'!$E:$T,16,0),0)</f>
        <v>30000</v>
      </c>
      <c r="U8" s="91">
        <f>Q8+IFERROR(VLOOKUP($E:$E,'（居民）工资表-6月'!$E:$U,17,0),0)</f>
        <v>4675.68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30324.32</v>
      </c>
      <c r="AE8" s="96">
        <f>ROUND(MAX((AD8)*{0.03;0.1;0.2;0.25;0.3;0.35;0.45}-{0;2520;16920;31920;52920;85920;181920},0),2)</f>
        <v>909.73</v>
      </c>
      <c r="AF8" s="97">
        <f>IFERROR(VLOOKUP(E:E,'（居民）工资表-6月'!E:AF,28,0)+VLOOKUP(E:E,'（居民）工资表-6月'!E:AG,29,0),0)</f>
        <v>707.89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159</v>
      </c>
      <c r="AN8" s="12" t="s">
        <v>51</v>
      </c>
    </row>
    <row r="9" s="12" customFormat="1" ht="18" customHeight="1" spans="1:40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39000</v>
      </c>
      <c r="T9" s="91">
        <f>5000+IFERROR(VLOOKUP($E:$E,'（居民）工资表-6月'!$E:$T,16,0),0)</f>
        <v>30000</v>
      </c>
      <c r="U9" s="91">
        <f>Q9+IFERROR(VLOOKUP($E:$E,'（居民）工资表-6月'!$E:$U,17,0),0)</f>
        <v>3260.05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5739.95</v>
      </c>
      <c r="AE9" s="96">
        <f>ROUND(MAX((AD9)*{0.03;0.1;0.2;0.25;0.3;0.35;0.45}-{0;2520;16920;31920;52920;85920;181920},0),2)</f>
        <v>172.2</v>
      </c>
      <c r="AF9" s="97">
        <f>IFERROR(VLOOKUP(E:E,'（居民）工资表-6月'!E:AF,28,0)+VLOOKUP(E:E,'（居民）工资表-6月'!E:AG,29,0),0)</f>
        <v>143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164</v>
      </c>
      <c r="AN9" s="12" t="s">
        <v>51</v>
      </c>
    </row>
    <row r="10" s="12" customFormat="1" ht="18" customHeight="1" spans="1:40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26949.16</v>
      </c>
      <c r="T10" s="91">
        <f>5000+IFERROR(VLOOKUP($E:$E,'（居民）工资表-6月'!$E:$T,16,0),0)</f>
        <v>30000</v>
      </c>
      <c r="U10" s="91">
        <f>Q10+IFERROR(VLOOKUP($E:$E,'（居民）工资表-6月'!$E:$U,17,0),0)</f>
        <v>3848.18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-6899.02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168</v>
      </c>
      <c r="AN10" s="12" t="s">
        <v>169</v>
      </c>
    </row>
    <row r="11" s="12" customFormat="1" ht="18" customHeight="1" spans="1:40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53000</v>
      </c>
      <c r="T11" s="91">
        <f>5000+IFERROR(VLOOKUP($E:$E,'（居民）工资表-6月'!$E:$T,16,0),0)</f>
        <v>30000</v>
      </c>
      <c r="U11" s="91">
        <f>Q11+IFERROR(VLOOKUP($E:$E,'（居民）工资表-6月'!$E:$U,17,0),0)</f>
        <v>3397.68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19602.32</v>
      </c>
      <c r="AE11" s="96">
        <f>ROUND(MAX((AD11)*{0.03;0.1;0.2;0.25;0.3;0.35;0.45}-{0;2520;16920;31920;52920;85920;181920},0),2)</f>
        <v>588.07</v>
      </c>
      <c r="AF11" s="97">
        <f>IFERROR(VLOOKUP(E:E,'（居民）工资表-6月'!E:AF,28,0)+VLOOKUP(E:E,'（居民）工资表-6月'!E:AG,29,0),0)</f>
        <v>469.84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172</v>
      </c>
      <c r="AN11" s="12" t="s">
        <v>173</v>
      </c>
    </row>
    <row r="12" s="12" customFormat="1" ht="18" customHeight="1" spans="1:40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44000</v>
      </c>
      <c r="T12" s="91">
        <f>5000+IFERROR(VLOOKUP($E:$E,'（居民）工资表-6月'!$E:$T,16,0),0)</f>
        <v>30000</v>
      </c>
      <c r="U12" s="91">
        <f>Q12+IFERROR(VLOOKUP($E:$E,'（居民）工资表-6月'!$E:$U,17,0),0)</f>
        <v>4675.68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9324.32</v>
      </c>
      <c r="AE12" s="96">
        <f>ROUND(MAX((AD12)*{0.03;0.1;0.2;0.25;0.3;0.35;0.45}-{0;2520;16920;31920;52920;85920;181920},0),2)</f>
        <v>279.73</v>
      </c>
      <c r="AF12" s="97">
        <f>IFERROR(VLOOKUP(E:E,'（居民）工资表-6月'!E:AF,28,0)+VLOOKUP(E:E,'（居民）工资表-6月'!E:AG,29,0),0)</f>
        <v>212.89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159</v>
      </c>
      <c r="AN12" s="12" t="s">
        <v>51</v>
      </c>
    </row>
    <row r="13" s="12" customFormat="1" ht="18" customHeight="1" spans="1:40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46000</v>
      </c>
      <c r="T13" s="91">
        <f>5000+IFERROR(VLOOKUP($E:$E,'（居民）工资表-6月'!$E:$T,16,0),0)</f>
        <v>30000</v>
      </c>
      <c r="U13" s="91">
        <f>Q13+IFERROR(VLOOKUP($E:$E,'（居民）工资表-6月'!$E:$U,17,0),0)</f>
        <v>4675.68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11324.32</v>
      </c>
      <c r="AE13" s="96">
        <f>ROUND(MAX((AD13)*{0.03;0.1;0.2;0.25;0.3;0.35;0.45}-{0;2520;16920;31920;52920;85920;181920},0),2)</f>
        <v>339.73</v>
      </c>
      <c r="AF13" s="97">
        <f>IFERROR(VLOOKUP(E:E,'（居民）工资表-6月'!E:AF,28,0)+VLOOKUP(E:E,'（居民）工资表-6月'!E:AG,29,0),0)</f>
        <v>242.89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159</v>
      </c>
      <c r="AN13" s="12" t="s">
        <v>51</v>
      </c>
    </row>
    <row r="14" s="12" customFormat="1" ht="18" customHeight="1" spans="1:40">
      <c r="A14" s="36">
        <v>11</v>
      </c>
      <c r="B14" s="37" t="s">
        <v>144</v>
      </c>
      <c r="C14" s="37" t="s">
        <v>178</v>
      </c>
      <c r="D14" s="37" t="s">
        <v>145</v>
      </c>
      <c r="E14" s="329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28600</v>
      </c>
      <c r="T14" s="91">
        <f>5000+IFERROR(VLOOKUP($E:$E,'（居民）工资表-6月'!$E:$T,16,0),0)</f>
        <v>20000</v>
      </c>
      <c r="U14" s="91">
        <f>Q14+IFERROR(VLOOKUP($E:$E,'（居民）工资表-6月'!$E:$U,17,0),0)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6364</v>
      </c>
      <c r="AE14" s="96">
        <f>ROUND(MAX((AD14)*{0.03;0.1;0.2;0.25;0.3;0.35;0.45}-{0;2520;16920;31920;52920;85920;181920},0),2)</f>
        <v>190.92</v>
      </c>
      <c r="AF14" s="97">
        <f>IFERROR(VLOOKUP(E:E,'（居民）工资表-6月'!E:AF,28,0)+VLOOKUP(E:E,'（居民）工资表-6月'!E:AG,29,0),0)</f>
        <v>129.69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159</v>
      </c>
      <c r="AN14" s="12" t="s">
        <v>51</v>
      </c>
    </row>
    <row r="15" s="12" customFormat="1" ht="18" customHeight="1" spans="1:40">
      <c r="A15" s="36">
        <v>12</v>
      </c>
      <c r="B15" s="37" t="s">
        <v>144</v>
      </c>
      <c r="C15" s="37" t="s">
        <v>181</v>
      </c>
      <c r="D15" s="37" t="s">
        <v>145</v>
      </c>
      <c r="E15" s="329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25045.64</v>
      </c>
      <c r="T15" s="91">
        <f>5000+IFERROR(VLOOKUP($E:$E,'（居民）工资表-6月'!$E:$T,16,0),0)</f>
        <v>20000</v>
      </c>
      <c r="U15" s="91">
        <f>Q15+IFERROR(VLOOKUP($E:$E,'（居民）工资表-6月'!$E:$U,17,0),0)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2934.8</v>
      </c>
      <c r="AE15" s="96">
        <f>ROUND(MAX((AD15)*{0.03;0.1;0.2;0.25;0.3;0.35;0.45}-{0;2520;16920;31920;52920;85920;181920},0),2)</f>
        <v>88.04</v>
      </c>
      <c r="AF15" s="97">
        <f>IFERROR(VLOOKUP(E:E,'（居民）工资表-6月'!E:AF,28,0)+VLOOKUP(E:E,'（居民）工资表-6月'!E:AG,29,0),0)</f>
        <v>55.11</v>
      </c>
      <c r="AG15" s="97">
        <f t="shared" si="3"/>
        <v>32.93</v>
      </c>
      <c r="AH15" s="107">
        <f t="shared" si="4"/>
        <v>6065</v>
      </c>
      <c r="AI15" s="108"/>
      <c r="AJ15" s="107">
        <f t="shared" si="5"/>
        <v>6065</v>
      </c>
      <c r="AK15" s="109"/>
      <c r="AL15" s="107">
        <f t="shared" si="6"/>
        <v>6097.93</v>
      </c>
      <c r="AM15" s="12" t="s">
        <v>159</v>
      </c>
      <c r="AN15" s="12" t="s">
        <v>51</v>
      </c>
    </row>
    <row r="16" s="12" customFormat="1" ht="18" customHeight="1" spans="1:40">
      <c r="A16" s="36">
        <v>13</v>
      </c>
      <c r="B16" s="37" t="s">
        <v>144</v>
      </c>
      <c r="C16" s="37" t="s">
        <v>183</v>
      </c>
      <c r="D16" s="37" t="s">
        <v>145</v>
      </c>
      <c r="E16" s="329" t="s">
        <v>184</v>
      </c>
      <c r="F16" s="38" t="s">
        <v>150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36000</v>
      </c>
      <c r="T16" s="91">
        <f>5000+IFERROR(VLOOKUP($E:$E,'（居民）工资表-6月'!$E:$T,16,0),0)</f>
        <v>30000</v>
      </c>
      <c r="U16" s="91">
        <f>Q16+IFERROR(VLOOKUP($E:$E,'（居民）工资表-6月'!$E:$U,17,0),0)</f>
        <v>3193.68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2806.32</v>
      </c>
      <c r="AE16" s="96">
        <f>ROUND(MAX((AD16)*{0.03;0.1;0.2;0.25;0.3;0.35;0.45}-{0;2520;16920;31920;52920;85920;181920},0),2)</f>
        <v>84.19</v>
      </c>
      <c r="AF16" s="97">
        <f>IFERROR(VLOOKUP(E:E,'（居民）工资表-6月'!E:AF,28,0)+VLOOKUP(E:E,'（居民）工资表-6月'!E:AG,29,0),0)</f>
        <v>69.94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159</v>
      </c>
      <c r="AN16" s="12" t="s">
        <v>51</v>
      </c>
    </row>
    <row r="17" s="12" customFormat="1" ht="18" customHeight="1" spans="1:40">
      <c r="A17" s="36">
        <v>14</v>
      </c>
      <c r="B17" s="37" t="s">
        <v>144</v>
      </c>
      <c r="C17" s="37" t="s">
        <v>185</v>
      </c>
      <c r="D17" s="37" t="s">
        <v>145</v>
      </c>
      <c r="E17" s="329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60000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3210.84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26789.16</v>
      </c>
      <c r="AE17" s="96">
        <f>ROUND(MAX((AD17)*{0.03;0.1;0.2;0.25;0.3;0.35;0.45}-{0;2520;16920;31920;52920;85920;181920},0),2)</f>
        <v>803.67</v>
      </c>
      <c r="AF17" s="97">
        <f>IFERROR(VLOOKUP(E:E,'（居民）工资表-6月'!E:AF,28,0)+VLOOKUP(E:E,'（居民）工资表-6月'!E:AG,29,0),0)</f>
        <v>669.51</v>
      </c>
      <c r="AG17" s="97">
        <f t="shared" si="3"/>
        <v>134.16</v>
      </c>
      <c r="AH17" s="107">
        <f t="shared" si="4"/>
        <v>9338.13</v>
      </c>
      <c r="AI17" s="108"/>
      <c r="AJ17" s="107">
        <f t="shared" si="5"/>
        <v>9338.13</v>
      </c>
      <c r="AK17" s="109"/>
      <c r="AL17" s="107">
        <f t="shared" si="6"/>
        <v>9472.29</v>
      </c>
      <c r="AM17" s="12" t="s">
        <v>164</v>
      </c>
      <c r="AN17" s="12" t="s">
        <v>51</v>
      </c>
    </row>
    <row r="18" s="12" customFormat="1" ht="21" customHeight="1" spans="1:40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35950.3</v>
      </c>
      <c r="T18" s="91">
        <f>5000+IFERROR(VLOOKUP($E:$E,'（居民）工资表-6月'!$E:$T,16,0),0)</f>
        <v>30000</v>
      </c>
      <c r="U18" s="91">
        <f>Q18+IFERROR(VLOOKUP($E:$E,'（居民）工资表-6月'!$E:$U,17,0),0)</f>
        <v>3343.23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2607.07</v>
      </c>
      <c r="AE18" s="96">
        <f>ROUND(MAX((AD18)*{0.03;0.1;0.2;0.25;0.3;0.35;0.45}-{0;2520;16920;31920;52920;85920;181920},0),2)</f>
        <v>78.21</v>
      </c>
      <c r="AF18" s="97">
        <f>IFERROR(VLOOKUP(E:E,'（居民）工资表-6月'!E:AF,28,0)+VLOOKUP(E:E,'（居民）工资表-6月'!E:AG,29,0),0)</f>
        <v>138.59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159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778825.1</v>
      </c>
      <c r="T20" s="74">
        <f t="shared" si="7"/>
        <v>430000</v>
      </c>
      <c r="U20" s="74">
        <f t="shared" si="7"/>
        <v>55299.44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254225.66</v>
      </c>
      <c r="AE20" s="74">
        <f t="shared" si="7"/>
        <v>14932.08</v>
      </c>
      <c r="AF20" s="74">
        <f t="shared" si="7"/>
        <v>13261.56</v>
      </c>
      <c r="AG20" s="74">
        <f t="shared" si="7"/>
        <v>2130.83</v>
      </c>
      <c r="AH20" s="74">
        <f t="shared" si="7"/>
        <v>130393.43</v>
      </c>
      <c r="AI20" s="74">
        <f t="shared" si="7"/>
        <v>0</v>
      </c>
      <c r="AJ20" s="74">
        <f t="shared" si="7"/>
        <v>130393.43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133</v>
      </c>
      <c r="C24" s="47" t="s">
        <v>190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130393.43</v>
      </c>
      <c r="C25" s="48">
        <f>AG20</f>
        <v>2130.83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32000</v>
      </c>
      <c r="T4" s="91">
        <f>5000+IFERROR(VLOOKUP($E:$E,'（居民）工资表-4月'!$E:$T,16,0),0)</f>
        <v>20000</v>
      </c>
      <c r="U4" s="91">
        <f>Q4+IFERROR(VLOOKUP($E:$E,'（居民）工资表-4月'!$E:$U,17,0),0)</f>
        <v>2419.46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9580.54</v>
      </c>
      <c r="AE4" s="96">
        <f>ROUND(MAX((AD4)*{0.03;0.1;0.2;0.25;0.3;0.35;0.45}-{0;2520;16920;31920;52920;85920;181920},0),2)</f>
        <v>287.42</v>
      </c>
      <c r="AF4" s="97">
        <f>IFERROR(VLOOKUP(E:E,'（居民）工资表-4月'!E:AF,28,0)+VLOOKUP(E:E,'（居民）工资表-4月'!E:AG,29,0),0)</f>
        <v>215.08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147</v>
      </c>
      <c r="AV4" s="12" t="s">
        <v>51</v>
      </c>
    </row>
    <row r="5" s="12" customFormat="1" ht="18" customHeight="1" spans="1:48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23720</v>
      </c>
      <c r="T5" s="91">
        <f>5000+IFERROR(VLOOKUP($E:$E,'（居民）工资表-4月'!$E:$T,16,0),0)</f>
        <v>20000</v>
      </c>
      <c r="U5" s="91">
        <f>Q5+IFERROR(VLOOKUP($E:$E,'（居民）工资表-4月'!$E:$U,17,0),0)</f>
        <v>2818.88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901.12</v>
      </c>
      <c r="AE5" s="96">
        <f>ROUND(MAX((AD5)*{0.03;0.1;0.2;0.25;0.3;0.35;0.45}-{0;2520;16920;31920;52920;85920;181920},0),2)</f>
        <v>27.03</v>
      </c>
      <c r="AF5" s="97">
        <f>IFERROR(VLOOKUP(E:E,'（居民）工资表-4月'!E:AF,28,0)+VLOOKUP(E:E,'（居民）工资表-4月'!E:AG,29,0),0)</f>
        <v>25.9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120240</v>
      </c>
      <c r="T6" s="91">
        <f>5000+IFERROR(VLOOKUP($E:$E,'（居民）工资表-4月'!$E:$T,16,0),0)</f>
        <v>20000</v>
      </c>
      <c r="U6" s="91">
        <f>Q6+IFERROR(VLOOKUP($E:$E,'（居民）工资表-4月'!$E:$U,17,0),0)</f>
        <v>3823.74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96416.26</v>
      </c>
      <c r="AE6" s="96">
        <f>ROUND(MAX((AD6)*{0.03;0.1;0.2;0.25;0.3;0.35;0.45}-{0;2520;16920;31920;52920;85920;181920},0),2)</f>
        <v>7121.63</v>
      </c>
      <c r="AF6" s="97">
        <f>IFERROR(VLOOKUP(E:E,'（居民）工资表-4月'!E:AF,28,0)+VLOOKUP(E:E,'（居民）工资表-4月'!E:AG,29,0),0)</f>
        <v>4710.48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154</v>
      </c>
      <c r="AV6" s="12" t="s">
        <v>155</v>
      </c>
    </row>
    <row r="7" s="12" customFormat="1" ht="18" customHeight="1" spans="1:48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35000</v>
      </c>
      <c r="T7" s="91">
        <f>5000+IFERROR(VLOOKUP($E:$E,'（居民）工资表-4月'!$E:$T,16,0),0)</f>
        <v>20000</v>
      </c>
      <c r="U7" s="91">
        <f>Q7+IFERROR(VLOOKUP($E:$E,'（居民）工资表-4月'!$E:$U,17,0),0)</f>
        <v>2155.42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12844.58</v>
      </c>
      <c r="AE7" s="96">
        <f>ROUND(MAX((AD7)*{0.03;0.1;0.2;0.25;0.3;0.35;0.45}-{0;2520;16920;31920;52920;85920;181920},0),2)</f>
        <v>385.34</v>
      </c>
      <c r="AF7" s="97">
        <f>IFERROR(VLOOKUP(E:E,'（居民）工资表-4月'!E:AF,28,0)+VLOOKUP(E:E,'（居民）工资表-4月'!E:AG,29,0),0)</f>
        <v>281.17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159</v>
      </c>
      <c r="AV7" s="12" t="s">
        <v>51</v>
      </c>
    </row>
    <row r="8" s="12" customFormat="1" ht="18" customHeight="1" spans="1:48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42000</v>
      </c>
      <c r="T8" s="91">
        <f>5000+IFERROR(VLOOKUP($E:$E,'（居民）工资表-4月'!$E:$T,16,0),0)</f>
        <v>20000</v>
      </c>
      <c r="U8" s="91">
        <f>Q8+IFERROR(VLOOKUP($E:$E,'（居民）工资表-4月'!$E:$U,17,0),0)</f>
        <v>3131.68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18868.32</v>
      </c>
      <c r="AE8" s="96">
        <f>ROUND(MAX((AD8)*{0.03;0.1;0.2;0.25;0.3;0.35;0.45}-{0;2520;16920;31920;52920;85920;181920},0),2)</f>
        <v>566.05</v>
      </c>
      <c r="AF8" s="97">
        <f>IFERROR(VLOOKUP(E:E,'（居民）工资表-4月'!E:AF,28,0)+VLOOKUP(E:E,'（居民）工资表-4月'!E:AG,29,0),0)</f>
        <v>424.21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159</v>
      </c>
      <c r="AV8" s="12" t="s">
        <v>51</v>
      </c>
    </row>
    <row r="9" s="12" customFormat="1" ht="18" customHeight="1" spans="1:48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26000</v>
      </c>
      <c r="T9" s="91">
        <f>5000+IFERROR(VLOOKUP($E:$E,'（居民）工资表-4月'!$E:$T,16,0),0)</f>
        <v>20000</v>
      </c>
      <c r="U9" s="91">
        <f>Q9+IFERROR(VLOOKUP($E:$E,'（居民）工资表-4月'!$E:$U,17,0),0)</f>
        <v>2206.45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3793.55</v>
      </c>
      <c r="AE9" s="96">
        <f>ROUND(MAX((AD9)*{0.03;0.1;0.2;0.25;0.3;0.35;0.45}-{0;2520;16920;31920;52920;85920;181920},0),2)</f>
        <v>113.81</v>
      </c>
      <c r="AF9" s="97">
        <f>IFERROR(VLOOKUP(E:E,'（居民）工资表-4月'!E:AF,28,0)+VLOOKUP(E:E,'（居民）工资表-4月'!E:AG,29,0),0)</f>
        <v>84.61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164</v>
      </c>
      <c r="AV9" s="12" t="s">
        <v>51</v>
      </c>
    </row>
    <row r="10" s="12" customFormat="1" ht="18" customHeight="1" spans="1:48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17897.48</v>
      </c>
      <c r="T10" s="91">
        <f>5000+IFERROR(VLOOKUP($E:$E,'（居民）工资表-4月'!$E:$T,16,0),0)</f>
        <v>20000</v>
      </c>
      <c r="U10" s="91">
        <f>Q10+IFERROR(VLOOKUP($E:$E,'（居民）工资表-4月'!$E:$U,17,0),0)</f>
        <v>2588.46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-4690.98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168</v>
      </c>
      <c r="AV10" s="12" t="s">
        <v>169</v>
      </c>
    </row>
    <row r="11" s="12" customFormat="1" ht="18" customHeight="1" spans="1:48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35000</v>
      </c>
      <c r="T11" s="91">
        <f>5000+IFERROR(VLOOKUP($E:$E,'（居民）工资表-4月'!$E:$T,16,0),0)</f>
        <v>20000</v>
      </c>
      <c r="U11" s="91">
        <f>Q11+IFERROR(VLOOKUP($E:$E,'（居民）工资表-4月'!$E:$U,17,0),0)</f>
        <v>2279.68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12720.32</v>
      </c>
      <c r="AE11" s="96">
        <f>ROUND(MAX((AD11)*{0.03;0.1;0.2;0.25;0.3;0.35;0.45}-{0;2520;16920;31920;52920;85920;181920},0),2)</f>
        <v>381.61</v>
      </c>
      <c r="AF11" s="97">
        <f>IFERROR(VLOOKUP(E:E,'（居民）工资表-4月'!E:AF,28,0)+VLOOKUP(E:E,'（居民）工资表-4月'!E:AG,29,0),0)</f>
        <v>293.38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172</v>
      </c>
      <c r="AV11" s="12" t="s">
        <v>173</v>
      </c>
    </row>
    <row r="12" s="12" customFormat="1" ht="18" customHeight="1" spans="1:48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29000</v>
      </c>
      <c r="T12" s="91">
        <f>5000+IFERROR(VLOOKUP($E:$E,'（居民）工资表-4月'!$E:$T,16,0),0)</f>
        <v>20000</v>
      </c>
      <c r="U12" s="91">
        <f>Q12+IFERROR(VLOOKUP($E:$E,'（居民）工资表-4月'!$E:$U,17,0),0)</f>
        <v>3131.68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5868.32</v>
      </c>
      <c r="AE12" s="96">
        <f>ROUND(MAX((AD12)*{0.03;0.1;0.2;0.25;0.3;0.35;0.45}-{0;2520;16920;31920;52920;85920;181920},0),2)</f>
        <v>176.05</v>
      </c>
      <c r="AF12" s="97">
        <f>IFERROR(VLOOKUP(E:E,'（居民）工资表-4月'!E:AF,28,0)+VLOOKUP(E:E,'（居民）工资表-4月'!E:AG,29,0),0)</f>
        <v>139.21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159</v>
      </c>
      <c r="AV12" s="12" t="s">
        <v>51</v>
      </c>
    </row>
    <row r="13" s="12" customFormat="1" ht="18" customHeight="1" spans="1:48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30000</v>
      </c>
      <c r="T13" s="91">
        <f>5000+IFERROR(VLOOKUP($E:$E,'（居民）工资表-4月'!$E:$T,16,0),0)</f>
        <v>20000</v>
      </c>
      <c r="U13" s="91">
        <f>Q13+IFERROR(VLOOKUP($E:$E,'（居民）工资表-4月'!$E:$U,17,0),0)</f>
        <v>3131.68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6868.32</v>
      </c>
      <c r="AE13" s="96">
        <f>ROUND(MAX((AD13)*{0.03;0.1;0.2;0.25;0.3;0.35;0.45}-{0;2520;16920;31920;52920;85920;181920},0),2)</f>
        <v>206.05</v>
      </c>
      <c r="AF13" s="97">
        <f>IFERROR(VLOOKUP(E:E,'（居民）工资表-4月'!E:AF,28,0)+VLOOKUP(E:E,'（居民）工资表-4月'!E:AG,29,0),0)</f>
        <v>169.21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159</v>
      </c>
      <c r="AV13" s="12" t="s">
        <v>51</v>
      </c>
    </row>
    <row r="14" s="12" customFormat="1" ht="18" customHeight="1" spans="1:48">
      <c r="A14" s="36">
        <v>11</v>
      </c>
      <c r="B14" s="37" t="s">
        <v>144</v>
      </c>
      <c r="C14" s="37" t="s">
        <v>178</v>
      </c>
      <c r="D14" s="37" t="s">
        <v>145</v>
      </c>
      <c r="E14" s="329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14000</v>
      </c>
      <c r="T14" s="91">
        <f>5000+IFERROR(VLOOKUP($E:$E,'（居民）工资表-4月'!$E:$T,16,0),0)</f>
        <v>10000</v>
      </c>
      <c r="U14" s="91">
        <f>Q14+IFERROR(VLOOKUP($E:$E,'（居民）工资表-4月'!$E:$U,17,0),0)</f>
        <v>1118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IFERROR(VLOOKUP(E:E,'（居民）工资表-4月'!E:AF,28,0)+VLOOKUP(E:E,'（居民）工资表-4月'!E:AG,29,0),0)</f>
        <v>43.23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159</v>
      </c>
      <c r="AV14" s="12" t="s">
        <v>51</v>
      </c>
    </row>
    <row r="15" s="12" customFormat="1" ht="18" customHeight="1" spans="1:48">
      <c r="A15" s="36">
        <v>12</v>
      </c>
      <c r="B15" s="37" t="s">
        <v>144</v>
      </c>
      <c r="C15" s="37" t="s">
        <v>181</v>
      </c>
      <c r="D15" s="37" t="s">
        <v>145</v>
      </c>
      <c r="E15" s="329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12360</v>
      </c>
      <c r="T15" s="91">
        <f>5000+IFERROR(VLOOKUP($E:$E,'（居民）工资表-4月'!$E:$T,16,0),0)</f>
        <v>10000</v>
      </c>
      <c r="U15" s="91">
        <f>Q15+IFERROR(VLOOKUP($E:$E,'（居民）工资表-4月'!$E:$U,17,0),0)</f>
        <v>1055.42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1304.58</v>
      </c>
      <c r="AE15" s="96">
        <f>ROUND(MAX((AD15)*{0.03;0.1;0.2;0.25;0.3;0.35;0.45}-{0;2520;16920;31920;52920;85920;181920},0),2)</f>
        <v>39.14</v>
      </c>
      <c r="AF15" s="97">
        <f>IFERROR(VLOOKUP(E:E,'（居民）工资表-4月'!E:AF,28,0)+VLOOKUP(E:E,'（居民）工资表-4月'!E:AG,29,0),0)</f>
        <v>23.17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159</v>
      </c>
      <c r="AV15" s="12" t="s">
        <v>51</v>
      </c>
    </row>
    <row r="16" s="12" customFormat="1" ht="18" customHeight="1" spans="1:48">
      <c r="A16" s="36">
        <v>13</v>
      </c>
      <c r="B16" s="37" t="s">
        <v>144</v>
      </c>
      <c r="C16" s="37" t="s">
        <v>183</v>
      </c>
      <c r="D16" s="37" t="s">
        <v>145</v>
      </c>
      <c r="E16" s="329" t="s">
        <v>184</v>
      </c>
      <c r="F16" s="38" t="s">
        <v>150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24000</v>
      </c>
      <c r="T16" s="91">
        <f>5000+IFERROR(VLOOKUP($E:$E,'（居民）工资表-4月'!$E:$T,16,0),0)</f>
        <v>20000</v>
      </c>
      <c r="U16" s="91">
        <f>Q16+IFERROR(VLOOKUP($E:$E,'（居民）工资表-4月'!$E:$U,17,0),0)</f>
        <v>2143.68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1856.32</v>
      </c>
      <c r="AE16" s="96">
        <f>ROUND(MAX((AD16)*{0.03;0.1;0.2;0.25;0.3;0.35;0.45}-{0;2520;16920;31920;52920;85920;181920},0),2)</f>
        <v>55.69</v>
      </c>
      <c r="AF16" s="97">
        <f>IFERROR(VLOOKUP(E:E,'（居民）工资表-4月'!E:AF,28,0)+VLOOKUP(E:E,'（居民）工资表-4月'!E:AG,29,0),0)</f>
        <v>41.44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159</v>
      </c>
      <c r="AV16" s="12" t="s">
        <v>51</v>
      </c>
    </row>
    <row r="17" s="12" customFormat="1" ht="18" customHeight="1" spans="1:48">
      <c r="A17" s="36">
        <v>14</v>
      </c>
      <c r="B17" s="37" t="s">
        <v>144</v>
      </c>
      <c r="C17" s="37" t="s">
        <v>185</v>
      </c>
      <c r="D17" s="37" t="s">
        <v>145</v>
      </c>
      <c r="E17" s="329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40000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2155.42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17844.58</v>
      </c>
      <c r="AE17" s="96">
        <f>ROUND(MAX((AD17)*{0.03;0.1;0.2;0.25;0.3;0.35;0.45}-{0;2520;16920;31920;52920;85920;181920},0),2)</f>
        <v>535.34</v>
      </c>
      <c r="AF17" s="97">
        <f>IFERROR(VLOOKUP(E:E,'（居民）工资表-4月'!E:AF,28,0)+VLOOKUP(E:E,'（居民）工资表-4月'!E:AG,29,0),0)</f>
        <v>401.17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164</v>
      </c>
      <c r="AV17" s="12" t="s">
        <v>51</v>
      </c>
    </row>
    <row r="18" s="12" customFormat="1" ht="18" customHeight="1" spans="1:48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23306.67</v>
      </c>
      <c r="T18" s="91">
        <f>5000+IFERROR(VLOOKUP($E:$E,'（居民）工资表-4月'!$E:$T,16,0),0)</f>
        <v>20000</v>
      </c>
      <c r="U18" s="91">
        <f>Q18+IFERROR(VLOOKUP($E:$E,'（居民）工资表-4月'!$E:$U,17,0),0)</f>
        <v>2238.09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1068.58</v>
      </c>
      <c r="AE18" s="96">
        <f>ROUND(MAX((AD18)*{0.03;0.1;0.2;0.25;0.3;0.35;0.45}-{0;2520;16920;31920;52920;85920;181920},0),2)</f>
        <v>32.06</v>
      </c>
      <c r="AF18" s="97">
        <f>IFERROR(VLOOKUP(E:E,'（居民）工资表-4月'!E:AF,28,0)+VLOOKUP(E:E,'（居民）工资表-4月'!E:AG,29,0),0)</f>
        <v>138.59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159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504524.15</v>
      </c>
      <c r="T20" s="74">
        <f t="shared" si="19"/>
        <v>280000</v>
      </c>
      <c r="U20" s="74">
        <f t="shared" si="19"/>
        <v>36397.74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188126.41</v>
      </c>
      <c r="AE20" s="74">
        <f t="shared" si="19"/>
        <v>10013.68</v>
      </c>
      <c r="AF20" s="74">
        <f t="shared" si="19"/>
        <v>6990.85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133</v>
      </c>
      <c r="C24" s="47" t="s">
        <v>190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40000</v>
      </c>
      <c r="T4" s="91">
        <f>5000+IFERROR(VLOOKUP($E:$E,'（居民）工资表-5月'!$E:$T,16,0),0)</f>
        <v>25000</v>
      </c>
      <c r="U4" s="91">
        <f>Q4+IFERROR(VLOOKUP($E:$E,'（居民）工资表-5月'!$E:$U,17,0),0)</f>
        <v>3008.16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11991.84</v>
      </c>
      <c r="AE4" s="96">
        <f>ROUND(MAX((AD4)*{0.03;0.1;0.2;0.25;0.3;0.35;0.45}-{0;2520;16920;31920;52920;85920;181920},0),2)</f>
        <v>359.76</v>
      </c>
      <c r="AF4" s="97">
        <f>IFERROR(VLOOKUP(E:E,'（居民）工资表-5月'!E:AF,28,0)+VLOOKUP(E:E,'（居民）工资表-5月'!E:AG,29,0),0)</f>
        <v>287.42</v>
      </c>
      <c r="AG4" s="97">
        <f>IF((AE4-AF4)&lt;0,0,AE4-AF4)</f>
        <v>72.34</v>
      </c>
      <c r="AH4" s="107">
        <f>ROUND(IF((L4-Q4-AG4)&lt;0,0,(L4-Q4-AG4)),2)</f>
        <v>7338.96</v>
      </c>
      <c r="AI4" s="108"/>
      <c r="AJ4" s="107">
        <f>AH4+AI4</f>
        <v>7338.96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29820</v>
      </c>
      <c r="T5" s="91">
        <f>5000+IFERROR(VLOOKUP($E:$E,'（居民）工资表-5月'!$E:$T,16,0),0)</f>
        <v>25000</v>
      </c>
      <c r="U5" s="91">
        <f>Q5+IFERROR(VLOOKUP($E:$E,'（居民）工资表-5月'!$E:$U,17,0),0)</f>
        <v>3481.12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1338.88</v>
      </c>
      <c r="AE5" s="96">
        <f>ROUND(MAX((AD5)*{0.03;0.1;0.2;0.25;0.3;0.35;0.45}-{0;2520;16920;31920;52920;85920;181920},0),2)</f>
        <v>40.17</v>
      </c>
      <c r="AF5" s="97">
        <f>IFERROR(VLOOKUP(E:E,'（居民）工资表-5月'!E:AF,28,0)+VLOOKUP(E:E,'（居民）工资表-5月'!E:AG,29,0),0)</f>
        <v>27.03</v>
      </c>
      <c r="AG5" s="97">
        <f>IF((AE5-AF5)&lt;0,0,AE5-AF5)</f>
        <v>13.14</v>
      </c>
      <c r="AH5" s="107">
        <f>ROUND(IF((L5-Q5-AG5)&lt;0,0,(L5-Q5-AG5)),2)</f>
        <v>5424.62</v>
      </c>
      <c r="AI5" s="108"/>
      <c r="AJ5" s="107">
        <f>AH5+AI5</f>
        <v>5424.62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150300</v>
      </c>
      <c r="T6" s="91">
        <f>5000+IFERROR(VLOOKUP($E:$E,'（居民）工资表-5月'!$E:$T,16,0),0)</f>
        <v>25000</v>
      </c>
      <c r="U6" s="91">
        <f>Q6+IFERROR(VLOOKUP($E:$E,'（居民）工资表-5月'!$E:$U,17,0),0)</f>
        <v>4772.29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120527.71</v>
      </c>
      <c r="AE6" s="96">
        <f>ROUND(MAX((AD6)*{0.03;0.1;0.2;0.25;0.3;0.35;0.45}-{0;2520;16920;31920;52920;85920;181920},0),2)</f>
        <v>9532.77</v>
      </c>
      <c r="AF6" s="97">
        <f>IFERROR(VLOOKUP(E:E,'（居民）工资表-5月'!E:AF,28,0)+VLOOKUP(E:E,'（居民）工资表-5月'!E:AG,29,0),0)</f>
        <v>7121.63</v>
      </c>
      <c r="AG6" s="97">
        <f>IF((AE6-AF6)&lt;0,0,AE6-AF6)</f>
        <v>2411.14</v>
      </c>
      <c r="AH6" s="107">
        <f>ROUND(IF((L6-Q6-AG6)&lt;0,0,(L6-Q6-AG6)),2)</f>
        <v>26700.31</v>
      </c>
      <c r="AI6" s="108"/>
      <c r="AJ6" s="107">
        <f>AH6+AI6</f>
        <v>26700.31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44000</v>
      </c>
      <c r="T7" s="91">
        <f>5000+IFERROR(VLOOKUP($E:$E,'（居民）工资表-5月'!$E:$T,16,0),0)</f>
        <v>25000</v>
      </c>
      <c r="U7" s="91">
        <f>Q7+IFERROR(VLOOKUP($E:$E,'（居民）工资表-5月'!$E:$U,17,0),0)</f>
        <v>2683.13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16316.87</v>
      </c>
      <c r="AE7" s="96">
        <f>ROUND(MAX((AD7)*{0.03;0.1;0.2;0.25;0.3;0.35;0.45}-{0;2520;16920;31920;52920;85920;181920},0),2)</f>
        <v>489.51</v>
      </c>
      <c r="AF7" s="97">
        <f>IFERROR(VLOOKUP(E:E,'（居民）工资表-5月'!E:AF,28,0)+VLOOKUP(E:E,'（居民）工资表-5月'!E:AG,29,0),0)</f>
        <v>385.34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52500</v>
      </c>
      <c r="T8" s="91">
        <f>5000+IFERROR(VLOOKUP($E:$E,'（居民）工资表-5月'!$E:$T,16,0),0)</f>
        <v>25000</v>
      </c>
      <c r="U8" s="91">
        <f>Q8+IFERROR(VLOOKUP($E:$E,'（居民）工资表-5月'!$E:$U,17,0),0)</f>
        <v>3903.68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23596.32</v>
      </c>
      <c r="AE8" s="96">
        <f>ROUND(MAX((AD8)*{0.03;0.1;0.2;0.25;0.3;0.35;0.45}-{0;2520;16920;31920;52920;85920;181920},0),2)</f>
        <v>707.89</v>
      </c>
      <c r="AF8" s="97">
        <f>IFERROR(VLOOKUP(E:E,'（居民）工资表-5月'!E:AF,28,0)+VLOOKUP(E:E,'（居民）工资表-5月'!E:AG,29,0),0)</f>
        <v>566.05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32500</v>
      </c>
      <c r="T9" s="91">
        <f>5000+IFERROR(VLOOKUP($E:$E,'（居民）工资表-5月'!$E:$T,16,0),0)</f>
        <v>25000</v>
      </c>
      <c r="U9" s="91">
        <f>Q9+IFERROR(VLOOKUP($E:$E,'（居民）工资表-5月'!$E:$U,17,0),0)</f>
        <v>2733.25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4766.75</v>
      </c>
      <c r="AE9" s="96">
        <f>ROUND(MAX((AD9)*{0.03;0.1;0.2;0.25;0.3;0.35;0.45}-{0;2520;16920;31920;52920;85920;181920},0),2)</f>
        <v>143</v>
      </c>
      <c r="AF9" s="97">
        <f>IFERROR(VLOOKUP(E:E,'（居民）工资表-5月'!E:AF,28,0)+VLOOKUP(E:E,'（居民）工资表-5月'!E:AG,29,0),0)</f>
        <v>113.81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22423.32</v>
      </c>
      <c r="T10" s="91">
        <f>5000+IFERROR(VLOOKUP($E:$E,'（居民）工资表-5月'!$E:$T,16,0),0)</f>
        <v>25000</v>
      </c>
      <c r="U10" s="91">
        <f>Q10+IFERROR(VLOOKUP($E:$E,'（居民）工资表-5月'!$E:$U,17,0),0)</f>
        <v>3218.32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-5795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43500</v>
      </c>
      <c r="T11" s="91">
        <f>5000+IFERROR(VLOOKUP($E:$E,'（居民）工资表-5月'!$E:$T,16,0),0)</f>
        <v>25000</v>
      </c>
      <c r="U11" s="91">
        <f>Q11+IFERROR(VLOOKUP($E:$E,'（居民）工资表-5月'!$E:$U,17,0),0)</f>
        <v>2838.68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15661.32</v>
      </c>
      <c r="AE11" s="96">
        <f>ROUND(MAX((AD11)*{0.03;0.1;0.2;0.25;0.3;0.35;0.45}-{0;2520;16920;31920;52920;85920;181920},0),2)</f>
        <v>469.84</v>
      </c>
      <c r="AF11" s="97">
        <f>IFERROR(VLOOKUP(E:E,'（居民）工资表-5月'!E:AF,28,0)+VLOOKUP(E:E,'（居民）工资表-5月'!E:AG,29,0),0)</f>
        <v>381.61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36000</v>
      </c>
      <c r="T12" s="91">
        <f>5000+IFERROR(VLOOKUP($E:$E,'（居民）工资表-5月'!$E:$T,16,0),0)</f>
        <v>25000</v>
      </c>
      <c r="U12" s="91">
        <f>Q12+IFERROR(VLOOKUP($E:$E,'（居民）工资表-5月'!$E:$U,17,0),0)</f>
        <v>3903.68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7096.32</v>
      </c>
      <c r="AE12" s="96">
        <f>ROUND(MAX((AD12)*{0.03;0.1;0.2;0.25;0.3;0.35;0.45}-{0;2520;16920;31920;52920;85920;181920},0),2)</f>
        <v>212.89</v>
      </c>
      <c r="AF12" s="97">
        <f>IFERROR(VLOOKUP(E:E,'（居民）工资表-5月'!E:AF,28,0)+VLOOKUP(E:E,'（居民）工资表-5月'!E:AG,29,0),0)</f>
        <v>176.05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37000</v>
      </c>
      <c r="T13" s="91">
        <f>5000+IFERROR(VLOOKUP($E:$E,'（居民）工资表-5月'!$E:$T,16,0),0)</f>
        <v>25000</v>
      </c>
      <c r="U13" s="91">
        <f>Q13+IFERROR(VLOOKUP($E:$E,'（居民）工资表-5月'!$E:$U,17,0),0)</f>
        <v>3903.68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8096.32</v>
      </c>
      <c r="AE13" s="96">
        <f>ROUND(MAX((AD13)*{0.03;0.1;0.2;0.25;0.3;0.35;0.45}-{0;2520;16920;31920;52920;85920;181920},0),2)</f>
        <v>242.89</v>
      </c>
      <c r="AF13" s="97">
        <f>IFERROR(VLOOKUP(E:E,'（居民）工资表-5月'!E:AF,28,0)+VLOOKUP(E:E,'（居民）工资表-5月'!E:AG,29,0),0)</f>
        <v>206.05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178</v>
      </c>
      <c r="D14" s="37" t="s">
        <v>145</v>
      </c>
      <c r="E14" s="329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21000</v>
      </c>
      <c r="T14" s="91">
        <f>5000+IFERROR(VLOOKUP($E:$E,'（居民）工资表-5月'!$E:$T,16,0),0)</f>
        <v>15000</v>
      </c>
      <c r="U14" s="91">
        <f>Q14+IFERROR(VLOOKUP($E:$E,'（居民）工资表-5月'!$E:$U,17,0),0)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IFERROR(VLOOKUP(E:E,'（居民）工资表-5月'!E:AF,28,0)+VLOOKUP(E:E,'（居民）工资表-5月'!E:AG,29,0),0)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181</v>
      </c>
      <c r="D15" s="37" t="s">
        <v>145</v>
      </c>
      <c r="E15" s="329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18420</v>
      </c>
      <c r="T15" s="91">
        <f>5000+IFERROR(VLOOKUP($E:$E,'（居民）工资表-5月'!$E:$T,16,0),0)</f>
        <v>15000</v>
      </c>
      <c r="U15" s="91">
        <f>Q15+IFERROR(VLOOKUP($E:$E,'（居民）工资表-5月'!$E:$U,17,0),0)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1836.87</v>
      </c>
      <c r="AE15" s="96">
        <f>ROUND(MAX((AD15)*{0.03;0.1;0.2;0.25;0.3;0.35;0.45}-{0;2520;16920;31920;52920;85920;181920},0),2)</f>
        <v>55.11</v>
      </c>
      <c r="AF15" s="97">
        <f>IFERROR(VLOOKUP(E:E,'（居民）工资表-5月'!E:AF,28,0)+VLOOKUP(E:E,'（居民）工资表-5月'!E:AG,29,0),0)</f>
        <v>39.14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144</v>
      </c>
      <c r="C16" s="37" t="s">
        <v>183</v>
      </c>
      <c r="D16" s="37" t="s">
        <v>145</v>
      </c>
      <c r="E16" s="329" t="s">
        <v>184</v>
      </c>
      <c r="F16" s="38" t="s">
        <v>150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25000</v>
      </c>
      <c r="U16" s="91">
        <f>Q16+IFERROR(VLOOKUP($E:$E,'（居民）工资表-5月'!$E:$U,17,0),0)</f>
        <v>2668.68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2331.32</v>
      </c>
      <c r="AE16" s="96">
        <f>ROUND(MAX((AD16)*{0.03;0.1;0.2;0.25;0.3;0.35;0.45}-{0;2520;16920;31920;52920;85920;181920},0),2)</f>
        <v>69.94</v>
      </c>
      <c r="AF16" s="97">
        <f>IFERROR(VLOOKUP(E:E,'（居民）工资表-5月'!E:AF,28,0)+VLOOKUP(E:E,'（居民）工资表-5月'!E:AG,29,0),0)</f>
        <v>55.69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144</v>
      </c>
      <c r="C17" s="37" t="s">
        <v>185</v>
      </c>
      <c r="D17" s="37" t="s">
        <v>145</v>
      </c>
      <c r="E17" s="329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50000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2683.13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22316.87</v>
      </c>
      <c r="AE17" s="96">
        <f>ROUND(MAX((AD17)*{0.03;0.1;0.2;0.25;0.3;0.35;0.45}-{0;2520;16920;31920;52920;85920;181920},0),2)</f>
        <v>669.51</v>
      </c>
      <c r="AF17" s="97">
        <f>IFERROR(VLOOKUP(E:E,'（居民）工资表-5月'!E:AF,28,0)+VLOOKUP(E:E,'（居民）工资表-5月'!E:AG,29,0),0)</f>
        <v>535.34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29386.67</v>
      </c>
      <c r="T18" s="91">
        <f>5000+IFERROR(VLOOKUP($E:$E,'（居民）工资表-5月'!$E:$T,16,0),0)</f>
        <v>25000</v>
      </c>
      <c r="U18" s="91">
        <f>Q18+IFERROR(VLOOKUP($E:$E,'（居民）工资表-5月'!$E:$U,17,0),0)</f>
        <v>2790.66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1596.01</v>
      </c>
      <c r="AE18" s="96">
        <f>ROUND(MAX((AD18)*{0.03;0.1;0.2;0.25;0.3;0.35;0.45}-{0;2520;16920;31920;52920;85920;181920},0),2)</f>
        <v>47.88</v>
      </c>
      <c r="AF18" s="97">
        <f>IFERROR(VLOOKUP(E:E,'（居民）工资表-5月'!E:AF,28,0)+VLOOKUP(E:E,'（居民）工资表-5月'!E:AG,29,0),0)</f>
        <v>138.59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636849.99</v>
      </c>
      <c r="T20" s="74">
        <f t="shared" si="10"/>
        <v>355000</v>
      </c>
      <c r="U20" s="74">
        <f t="shared" si="10"/>
        <v>45848.59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236001.4</v>
      </c>
      <c r="AE20" s="74">
        <f t="shared" si="10"/>
        <v>13170.85</v>
      </c>
      <c r="AF20" s="74">
        <f t="shared" si="10"/>
        <v>10120.21</v>
      </c>
      <c r="AG20" s="74">
        <f t="shared" si="10"/>
        <v>3141.35</v>
      </c>
      <c r="AH20" s="74">
        <f t="shared" si="10"/>
        <v>119733.64</v>
      </c>
      <c r="AI20" s="126">
        <f t="shared" si="10"/>
        <v>0</v>
      </c>
      <c r="AJ20" s="74">
        <f t="shared" si="10"/>
        <v>119733.64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133</v>
      </c>
      <c r="C24" s="47" t="s">
        <v>190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119733.64</v>
      </c>
      <c r="C25" s="48">
        <f>AG20</f>
        <v>3141.35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56000</v>
      </c>
      <c r="T4" s="91">
        <f>5000+IFERROR(VLOOKUP($E:$E,'（居民）工资表-7月'!$E:$T,16,0),0)</f>
        <v>35000</v>
      </c>
      <c r="U4" s="91">
        <f>Q4+IFERROR(VLOOKUP($E:$E,'（居民）工资表-7月'!$E:$U,17,0),0)</f>
        <v>4237.35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16762.65</v>
      </c>
      <c r="AE4" s="96">
        <f>ROUND(MAX((AD4)*{0.03;0.1;0.2;0.25;0.3;0.35;0.45}-{0;2520;16920;31920;52920;85920;181920},0),2)</f>
        <v>502.88</v>
      </c>
      <c r="AF4" s="97">
        <f>IFERROR(VLOOKUP(E:E,'（居民）工资表-7月'!E:AF,28,0)+VLOOKUP(E:E,'（居民）工资表-7月'!E:AG,29,0),0)</f>
        <v>359.76</v>
      </c>
      <c r="AG4" s="97">
        <f>IF((AE4-AF4)&lt;0,0,AE4-AF4)</f>
        <v>143.12</v>
      </c>
      <c r="AH4" s="107">
        <f>ROUND(IF((L4-Q4-AG4)&lt;0,0,(L4-Q4-AG4)),2)</f>
        <v>7216.39</v>
      </c>
      <c r="AI4" s="108"/>
      <c r="AJ4" s="107">
        <f>AH4+AI4</f>
        <v>7216.39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42020</v>
      </c>
      <c r="T5" s="91">
        <f>5000+IFERROR(VLOOKUP($E:$E,'（居民）工资表-7月'!$E:$T,16,0),0)</f>
        <v>35000</v>
      </c>
      <c r="U5" s="91">
        <f>Q5+IFERROR(VLOOKUP($E:$E,'（居民）工资表-7月'!$E:$U,17,0),0)</f>
        <v>4805.6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2214.4</v>
      </c>
      <c r="AE5" s="96">
        <f>ROUND(MAX((AD5)*{0.03;0.1;0.2;0.25;0.3;0.35;0.45}-{0;2520;16920;31920;52920;85920;181920},0),2)</f>
        <v>66.43</v>
      </c>
      <c r="AF5" s="97">
        <f>IFERROR(VLOOKUP(E:E,'（居民）工资表-7月'!E:AF,28,0)+VLOOKUP(E:E,'（居民）工资表-7月'!E:AG,29,0),0)</f>
        <v>40.17</v>
      </c>
      <c r="AG5" s="97">
        <f>IF((AE5-AF5)&lt;0,0,AE5-AF5)</f>
        <v>26.26</v>
      </c>
      <c r="AH5" s="107">
        <f>ROUND(IF((L5-Q5-AG5)&lt;0,0,(L5-Q5-AG5)),2)</f>
        <v>5411.5</v>
      </c>
      <c r="AI5" s="108"/>
      <c r="AJ5" s="107">
        <f>AH5+AI5</f>
        <v>5411.5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210420</v>
      </c>
      <c r="T6" s="91">
        <f>5000+IFERROR(VLOOKUP($E:$E,'（居民）工资表-7月'!$E:$T,16,0),0)</f>
        <v>35000</v>
      </c>
      <c r="U6" s="91">
        <f>Q6+IFERROR(VLOOKUP($E:$E,'（居民）工资表-7月'!$E:$U,17,0),0)</f>
        <v>6684.93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168735.07</v>
      </c>
      <c r="AE6" s="96">
        <f>ROUND(MAX((AD6)*{0.03;0.1;0.2;0.25;0.3;0.35;0.45}-{0;2520;16920;31920;52920;85920;181920},0),2)</f>
        <v>16827.01</v>
      </c>
      <c r="AF6" s="97">
        <f>IFERROR(VLOOKUP(E:E,'（居民）工资表-7月'!E:AF,28,0)+VLOOKUP(E:E,'（居民）工资表-7月'!E:AG,29,0),0)</f>
        <v>10893.92</v>
      </c>
      <c r="AG6" s="97">
        <f t="shared" ref="AG6:AG19" si="3">IF((AE6-AF6)&lt;0,0,AE6-AF6)</f>
        <v>5933.09</v>
      </c>
      <c r="AH6" s="107">
        <f t="shared" ref="AH6:AH19" si="4">ROUND(IF((L6-Q6-AG6)&lt;0,0,(L6-Q6-AG6)),2)</f>
        <v>23162.82</v>
      </c>
      <c r="AI6" s="108"/>
      <c r="AJ6" s="107">
        <f t="shared" ref="AJ6:AJ19" si="5">AH6+AI6</f>
        <v>23162.82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65000</v>
      </c>
      <c r="T7" s="91">
        <f>5000+IFERROR(VLOOKUP($E:$E,'（居民）工资表-7月'!$E:$T,16,0),0)</f>
        <v>35000</v>
      </c>
      <c r="U7" s="91">
        <f>Q7+IFERROR(VLOOKUP($E:$E,'（居民）工资表-7月'!$E:$U,17,0),0)</f>
        <v>3738.55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26261.45</v>
      </c>
      <c r="AE7" s="96">
        <f>ROUND(MAX((AD7)*{0.03;0.1;0.2;0.25;0.3;0.35;0.45}-{0;2520;16920;31920;52920;85920;181920},0),2)</f>
        <v>787.84</v>
      </c>
      <c r="AF7" s="97">
        <f>IFERROR(VLOOKUP(E:E,'（居民）工资表-7月'!E:AF,28,0)+VLOOKUP(E:E,'（居民）工资表-7月'!E:AG,29,0),0)</f>
        <v>503.67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76500</v>
      </c>
      <c r="T8" s="91">
        <f>5000+IFERROR(VLOOKUP($E:$E,'（居民）工资表-7月'!$E:$T,16,0),0)</f>
        <v>35000</v>
      </c>
      <c r="U8" s="91">
        <f>Q8+IFERROR(VLOOKUP($E:$E,'（居民）工资表-7月'!$E:$U,17,0),0)</f>
        <v>5447.68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36052.32</v>
      </c>
      <c r="AE8" s="96">
        <f>ROUND(MAX((AD8)*{0.03;0.1;0.2;0.25;0.3;0.35;0.45}-{0;2520;16920;31920;52920;85920;181920},0),2)</f>
        <v>1085.23</v>
      </c>
      <c r="AF8" s="97">
        <f>IFERROR(VLOOKUP(E:E,'（居民）工资表-7月'!E:AF,28,0)+VLOOKUP(E:E,'（居民）工资表-7月'!E:AG,29,0),0)</f>
        <v>909.73</v>
      </c>
      <c r="AG8" s="97">
        <f t="shared" si="3"/>
        <v>175.5</v>
      </c>
      <c r="AH8" s="107">
        <f t="shared" si="4"/>
        <v>10552.5</v>
      </c>
      <c r="AI8" s="108"/>
      <c r="AJ8" s="107">
        <f t="shared" si="5"/>
        <v>10552.5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45500</v>
      </c>
      <c r="T9" s="91">
        <f>5000+IFERROR(VLOOKUP($E:$E,'（居民）工资表-7月'!$E:$T,16,0),0)</f>
        <v>35000</v>
      </c>
      <c r="U9" s="91">
        <f>Q9+IFERROR(VLOOKUP($E:$E,'（居民）工资表-7月'!$E:$U,17,0),0)</f>
        <v>3786.85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6713.15</v>
      </c>
      <c r="AE9" s="96">
        <f>ROUND(MAX((AD9)*{0.03;0.1;0.2;0.25;0.3;0.35;0.45}-{0;2520;16920;31920;52920;85920;181920},0),2)</f>
        <v>201.39</v>
      </c>
      <c r="AF9" s="97">
        <f>IFERROR(VLOOKUP(E:E,'（居民）工资表-7月'!E:AF,28,0)+VLOOKUP(E:E,'（居民）工资表-7月'!E:AG,29,0),0)</f>
        <v>172.2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31390.13</v>
      </c>
      <c r="T10" s="91">
        <f>5000+IFERROR(VLOOKUP($E:$E,'（居民）工资表-7月'!$E:$T,16,0),0)</f>
        <v>35000</v>
      </c>
      <c r="U10" s="91">
        <f>Q10+IFERROR(VLOOKUP($E:$E,'（居民）工资表-7月'!$E:$U,17,0),0)</f>
        <v>4519.55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-8129.42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62000</v>
      </c>
      <c r="T11" s="91">
        <f>5000+IFERROR(VLOOKUP($E:$E,'（居民）工资表-7月'!$E:$T,16,0),0)</f>
        <v>35000</v>
      </c>
      <c r="U11" s="91">
        <f>Q11+IFERROR(VLOOKUP($E:$E,'（居民）工资表-7月'!$E:$U,17,0),0)</f>
        <v>3956.68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23043.32</v>
      </c>
      <c r="AE11" s="96">
        <f>ROUND(MAX((AD11)*{0.03;0.1;0.2;0.25;0.3;0.35;0.45}-{0;2520;16920;31920;52920;85920;181920},0),2)</f>
        <v>691.3</v>
      </c>
      <c r="AF11" s="97">
        <f>IFERROR(VLOOKUP(E:E,'（居民）工资表-7月'!E:AF,28,0)+VLOOKUP(E:E,'（居民）工资表-7月'!E:AG,29,0),0)</f>
        <v>588.07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51500</v>
      </c>
      <c r="T12" s="91">
        <f>5000+IFERROR(VLOOKUP($E:$E,'（居民）工资表-7月'!$E:$T,16,0),0)</f>
        <v>35000</v>
      </c>
      <c r="U12" s="91">
        <f>Q12+IFERROR(VLOOKUP($E:$E,'（居民）工资表-7月'!$E:$U,17,0),0)</f>
        <v>5447.68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11052.32</v>
      </c>
      <c r="AE12" s="96">
        <f>ROUND(MAX((AD12)*{0.03;0.1;0.2;0.25;0.3;0.35;0.45}-{0;2520;16920;31920;52920;85920;181920},0),2)</f>
        <v>331.57</v>
      </c>
      <c r="AF12" s="97">
        <f>IFERROR(VLOOKUP(E:E,'（居民）工资表-7月'!E:AF,28,0)+VLOOKUP(E:E,'（居民）工资表-7月'!E:AG,29,0),0)</f>
        <v>279.73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54000</v>
      </c>
      <c r="T13" s="91">
        <f>5000+IFERROR(VLOOKUP($E:$E,'（居民）工资表-7月'!$E:$T,16,0),0)</f>
        <v>35000</v>
      </c>
      <c r="U13" s="91">
        <f>Q13+IFERROR(VLOOKUP($E:$E,'（居民）工资表-7月'!$E:$U,17,0),0)</f>
        <v>5447.68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13552.32</v>
      </c>
      <c r="AE13" s="96">
        <f>ROUND(MAX((AD13)*{0.03;0.1;0.2;0.25;0.3;0.35;0.45}-{0;2520;16920;31920;52920;85920;181920},0),2)</f>
        <v>406.57</v>
      </c>
      <c r="AF13" s="97">
        <f>IFERROR(VLOOKUP(E:E,'（居民）工资表-7月'!E:AF,28,0)+VLOOKUP(E:E,'（居民）工资表-7月'!E:AG,29,0),0)</f>
        <v>339.73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178</v>
      </c>
      <c r="D14" s="37" t="s">
        <v>145</v>
      </c>
      <c r="E14" s="329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34572.73</v>
      </c>
      <c r="T14" s="91">
        <f>5000+IFERROR(VLOOKUP($E:$E,'（居民）工资表-7月'!$E:$T,16,0),0)</f>
        <v>25000</v>
      </c>
      <c r="U14" s="91">
        <f>Q14+IFERROR(VLOOKUP($E:$E,'（居民）工资表-7月'!$E:$U,17,0),0)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7336.73</v>
      </c>
      <c r="AE14" s="96">
        <f>ROUND(MAX((AD14)*{0.03;0.1;0.2;0.25;0.3;0.35;0.45}-{0;2520;16920;31920;52920;85920;181920},0),2)</f>
        <v>220.1</v>
      </c>
      <c r="AF14" s="97">
        <f>IFERROR(VLOOKUP(E:E,'（居民）工资表-7月'!E:AF,28,0)+VLOOKUP(E:E,'（居民）工资表-7月'!E:AG,29,0),0)</f>
        <v>190.92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181</v>
      </c>
      <c r="D15" s="37" t="s">
        <v>145</v>
      </c>
      <c r="E15" s="329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29341.09</v>
      </c>
      <c r="T15" s="91">
        <f>5000+IFERROR(VLOOKUP($E:$E,'（居民）工资表-7月'!$E:$T,16,0),0)</f>
        <v>25000</v>
      </c>
      <c r="U15" s="91">
        <f>Q15+IFERROR(VLOOKUP($E:$E,'（居民）工资表-7月'!$E:$U,17,0),0)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2757.96</v>
      </c>
      <c r="AE15" s="96">
        <f>ROUND(MAX((AD15)*{0.03;0.1;0.2;0.25;0.3;0.35;0.45}-{0;2520;16920;31920;52920;85920;181920},0),2)</f>
        <v>82.74</v>
      </c>
      <c r="AF15" s="97">
        <f>IFERROR(VLOOKUP(E:E,'（居民）工资表-7月'!E:AF,28,0)+VLOOKUP(E:E,'（居民）工资表-7月'!E:AG,29,0),0)</f>
        <v>88.04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144</v>
      </c>
      <c r="C16" s="37" t="s">
        <v>183</v>
      </c>
      <c r="D16" s="37" t="s">
        <v>145</v>
      </c>
      <c r="E16" s="329" t="s">
        <v>184</v>
      </c>
      <c r="F16" s="38" t="s">
        <v>150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42000</v>
      </c>
      <c r="T16" s="91">
        <f>5000+IFERROR(VLOOKUP($E:$E,'（居民）工资表-7月'!$E:$T,16,0),0)</f>
        <v>35000</v>
      </c>
      <c r="U16" s="91">
        <f>Q16+IFERROR(VLOOKUP($E:$E,'（居民）工资表-7月'!$E:$U,17,0),0)</f>
        <v>3718.68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3281.32</v>
      </c>
      <c r="AE16" s="96">
        <f>ROUND(MAX((AD16)*{0.03;0.1;0.2;0.25;0.3;0.35;0.45}-{0;2520;16920;31920;52920;85920;181920},0),2)</f>
        <v>98.44</v>
      </c>
      <c r="AF16" s="97">
        <f>IFERROR(VLOOKUP(E:E,'（居民）工资表-7月'!E:AF,28,0)+VLOOKUP(E:E,'（居民）工资表-7月'!E:AG,29,0),0)</f>
        <v>84.19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144</v>
      </c>
      <c r="C17" s="37" t="s">
        <v>185</v>
      </c>
      <c r="D17" s="37" t="s">
        <v>145</v>
      </c>
      <c r="E17" s="329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70000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3738.55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31261.45</v>
      </c>
      <c r="AE17" s="96">
        <f>ROUND(MAX((AD17)*{0.03;0.1;0.2;0.25;0.3;0.35;0.45}-{0;2520;16920;31920;52920;85920;181920},0),2)</f>
        <v>937.84</v>
      </c>
      <c r="AF17" s="97">
        <f>IFERROR(VLOOKUP(E:E,'（居民）工资表-7月'!E:AF,28,0)+VLOOKUP(E:E,'（居民）工资表-7月'!E:AG,29,0),0)</f>
        <v>803.67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43550.3</v>
      </c>
      <c r="T18" s="91">
        <f>5000+IFERROR(VLOOKUP($E:$E,'（居民）工资表-7月'!$E:$T,16,0),0)</f>
        <v>35000</v>
      </c>
      <c r="U18" s="91">
        <f>Q18+IFERROR(VLOOKUP($E:$E,'（居民）工资表-7月'!$E:$U,17,0),0)</f>
        <v>3895.8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4654.5</v>
      </c>
      <c r="AE18" s="96">
        <f>ROUND(MAX((AD18)*{0.03;0.1;0.2;0.25;0.3;0.35;0.45}-{0;2520;16920;31920;52920;85920;181920},0),2)</f>
        <v>139.64</v>
      </c>
      <c r="AF18" s="97">
        <f>IFERROR(VLOOKUP(E:E,'（居民）工资表-7月'!E:AF,28,0)+VLOOKUP(E:E,'（居民）工资表-7月'!E:AG,29,0),0)</f>
        <v>138.59</v>
      </c>
      <c r="AG18" s="97">
        <f t="shared" si="3"/>
        <v>1.04999999999998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913794.25</v>
      </c>
      <c r="T20" s="74">
        <f t="shared" si="10"/>
        <v>505000</v>
      </c>
      <c r="U20" s="74">
        <f t="shared" si="10"/>
        <v>63244.71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345549.54</v>
      </c>
      <c r="AE20" s="74">
        <f t="shared" si="10"/>
        <v>22378.98</v>
      </c>
      <c r="AF20" s="74">
        <f t="shared" si="10"/>
        <v>15392.39</v>
      </c>
      <c r="AG20" s="74">
        <f t="shared" si="10"/>
        <v>6991.89</v>
      </c>
      <c r="AH20" s="74">
        <f t="shared" si="10"/>
        <v>120031.99</v>
      </c>
      <c r="AI20" s="74">
        <f t="shared" si="10"/>
        <v>0</v>
      </c>
      <c r="AJ20" s="74">
        <f t="shared" si="10"/>
        <v>120031.99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133</v>
      </c>
      <c r="C24" s="47" t="s">
        <v>190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120031.99</v>
      </c>
      <c r="C25" s="48">
        <f>AG20</f>
        <v>6991.89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64000</v>
      </c>
      <c r="T4" s="91">
        <f>5000+IFERROR(VLOOKUP($E:$E,'（居民）工资表-8月'!$E:$T,16,0),0)</f>
        <v>40000</v>
      </c>
      <c r="U4" s="91">
        <f>Q4+IFERROR(VLOOKUP($E:$E,'（居民）工资表-8月'!$E:$U,17,0),0)</f>
        <v>4858.38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19141.62</v>
      </c>
      <c r="AE4" s="96">
        <f>ROUND(MAX((AD4)*{0.03;0.1;0.2;0.25;0.3;0.35;0.45}-{0;2520;16920;31920;52920;85920;181920},0),2)</f>
        <v>574.25</v>
      </c>
      <c r="AF4" s="97">
        <f>IFERROR(VLOOKUP(E:E,'（居民）工资表-8月'!E:AF,28,0)+VLOOKUP(E:E,'（居民）工资表-8月'!E:AG,29,0),0)</f>
        <v>502.88</v>
      </c>
      <c r="AG4" s="97">
        <f>AE4-AF4</f>
        <v>71.37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48120</v>
      </c>
      <c r="T5" s="91">
        <f>5000+IFERROR(VLOOKUP($E:$E,'（居民）工资表-8月'!$E:$T,16,0),0)</f>
        <v>40000</v>
      </c>
      <c r="U5" s="91">
        <f>Q5+IFERROR(VLOOKUP($E:$E,'（居民）工资表-8月'!$E:$U,17,0),0)</f>
        <v>5467.84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2652.16</v>
      </c>
      <c r="AE5" s="96">
        <f>ROUND(MAX((AD5)*{0.03;0.1;0.2;0.25;0.3;0.35;0.45}-{0;2520;16920;31920;52920;85920;181920},0),2)</f>
        <v>79.56</v>
      </c>
      <c r="AF5" s="97">
        <f>IFERROR(VLOOKUP(E:E,'（居民）工资表-8月'!E:AF,28,0)+VLOOKUP(E:E,'（居民）工资表-8月'!E:AG,29,0),0)</f>
        <v>66.43</v>
      </c>
      <c r="AG5" s="97">
        <f t="shared" ref="AG5:AG19" si="3">AE5-AF5</f>
        <v>13.13</v>
      </c>
      <c r="AH5" s="107">
        <f t="shared" ref="AH5:AH19" si="4">ROUND(IF((L5-Q5-AG5)&lt;0,0,(L5-Q5-AG5)),2)</f>
        <v>5424.63</v>
      </c>
      <c r="AI5" s="108"/>
      <c r="AJ5" s="107">
        <f t="shared" ref="AJ5:AJ19" si="5">AH5+AI5</f>
        <v>5424.63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240480</v>
      </c>
      <c r="T6" s="91">
        <f>5000+IFERROR(VLOOKUP($E:$E,'（居民）工资表-8月'!$E:$T,16,0),0)</f>
        <v>40000</v>
      </c>
      <c r="U6" s="91">
        <f>Q6+IFERROR(VLOOKUP($E:$E,'（居民）工资表-8月'!$E:$U,17,0),0)</f>
        <v>7662.25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192817.75</v>
      </c>
      <c r="AE6" s="96">
        <f>ROUND(MAX((AD6)*{0.03;0.1;0.2;0.25;0.3;0.35;0.45}-{0;2520;16920;31920;52920;85920;181920},0),2)</f>
        <v>21643.55</v>
      </c>
      <c r="AF6" s="97">
        <f>IFERROR(VLOOKUP(E:E,'（居民）工资表-8月'!E:AF,28,0)+VLOOKUP(E:E,'（居民）工资表-8月'!E:AG,29,0),0)</f>
        <v>16827.01</v>
      </c>
      <c r="AG6" s="97">
        <f t="shared" si="3"/>
        <v>4816.54</v>
      </c>
      <c r="AH6" s="107">
        <f t="shared" si="4"/>
        <v>24266.14</v>
      </c>
      <c r="AI6" s="108"/>
      <c r="AJ6" s="107">
        <f t="shared" si="5"/>
        <v>24266.14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74000</v>
      </c>
      <c r="T7" s="91">
        <f>5000+IFERROR(VLOOKUP($E:$E,'（居民）工资表-8月'!$E:$T,16,0),0)</f>
        <v>40000</v>
      </c>
      <c r="U7" s="91">
        <f>Q7+IFERROR(VLOOKUP($E:$E,'（居民）工资表-8月'!$E:$U,17,0),0)</f>
        <v>4266.26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29733.74</v>
      </c>
      <c r="AE7" s="96">
        <f>ROUND(MAX((AD7)*{0.03;0.1;0.2;0.25;0.3;0.35;0.45}-{0;2520;16920;31920;52920;85920;181920},0),2)</f>
        <v>892.01</v>
      </c>
      <c r="AF7" s="97">
        <f>IFERROR(VLOOKUP(E:E,'（居民）工资表-8月'!E:AF,28,0)+VLOOKUP(E:E,'（居民）工资表-8月'!E:AG,29,0),0)</f>
        <v>787.84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87000</v>
      </c>
      <c r="T8" s="91">
        <f>5000+IFERROR(VLOOKUP($E:$E,'（居民）工资表-8月'!$E:$T,16,0),0)</f>
        <v>40000</v>
      </c>
      <c r="U8" s="91">
        <f>Q8+IFERROR(VLOOKUP($E:$E,'（居民）工资表-8月'!$E:$U,17,0),0)</f>
        <v>6219.68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40780.32</v>
      </c>
      <c r="AE8" s="96">
        <f>ROUND(MAX((AD8)*{0.03;0.1;0.2;0.25;0.3;0.35;0.45}-{0;2520;16920;31920;52920;85920;181920},0),2)</f>
        <v>1558.03</v>
      </c>
      <c r="AF8" s="97">
        <f>IFERROR(VLOOKUP(E:E,'（居民）工资表-8月'!E:AF,28,0)+VLOOKUP(E:E,'（居民）工资表-8月'!E:AG,29,0),0)</f>
        <v>1085.23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52000</v>
      </c>
      <c r="T9" s="91">
        <f>5000+IFERROR(VLOOKUP($E:$E,'（居民）工资表-8月'!$E:$T,16,0),0)</f>
        <v>40000</v>
      </c>
      <c r="U9" s="91">
        <f>Q9+IFERROR(VLOOKUP($E:$E,'（居民）工资表-8月'!$E:$U,17,0),0)</f>
        <v>4313.65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7686.35</v>
      </c>
      <c r="AE9" s="96">
        <f>ROUND(MAX((AD9)*{0.03;0.1;0.2;0.25;0.3;0.35;0.45}-{0;2520;16920;31920;52920;85920;181920},0),2)</f>
        <v>230.59</v>
      </c>
      <c r="AF9" s="97">
        <f>IFERROR(VLOOKUP(E:E,'（居民）工资表-8月'!E:AF,28,0)+VLOOKUP(E:E,'（居民）工资表-8月'!E:AG,29,0),0)</f>
        <v>201.39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35838.1</v>
      </c>
      <c r="T10" s="91">
        <f>5000+IFERROR(VLOOKUP($E:$E,'（居民）工资表-8月'!$E:$T,16,0),0)</f>
        <v>40000</v>
      </c>
      <c r="U10" s="91">
        <f>Q10+IFERROR(VLOOKUP($E:$E,'（居民）工资表-8月'!$E:$U,17,0),0)</f>
        <v>5183.92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-9345.82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71000</v>
      </c>
      <c r="T11" s="91">
        <f>5000+IFERROR(VLOOKUP($E:$E,'（居民）工资表-8月'!$E:$T,16,0),0)</f>
        <v>40000</v>
      </c>
      <c r="U11" s="91">
        <f>Q11+IFERROR(VLOOKUP($E:$E,'（居民）工资表-8月'!$E:$U,17,0),0)</f>
        <v>4515.68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26484.32</v>
      </c>
      <c r="AE11" s="96">
        <f>ROUND(MAX((AD11)*{0.03;0.1;0.2;0.25;0.3;0.35;0.45}-{0;2520;16920;31920;52920;85920;181920},0),2)</f>
        <v>794.53</v>
      </c>
      <c r="AF11" s="97">
        <f>IFERROR(VLOOKUP(E:E,'（居民）工资表-8月'!E:AF,28,0)+VLOOKUP(E:E,'（居民）工资表-8月'!E:AG,29,0),0)</f>
        <v>691.3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59000</v>
      </c>
      <c r="T12" s="91">
        <f>5000+IFERROR(VLOOKUP($E:$E,'（居民）工资表-8月'!$E:$T,16,0),0)</f>
        <v>40000</v>
      </c>
      <c r="U12" s="91">
        <f>Q12+IFERROR(VLOOKUP($E:$E,'（居民）工资表-8月'!$E:$U,17,0),0)</f>
        <v>6219.68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12780.32</v>
      </c>
      <c r="AE12" s="96">
        <f>ROUND(MAX((AD12)*{0.03;0.1;0.2;0.25;0.3;0.35;0.45}-{0;2520;16920;31920;52920;85920;181920},0),2)</f>
        <v>383.41</v>
      </c>
      <c r="AF12" s="97">
        <f>IFERROR(VLOOKUP(E:E,'（居民）工资表-8月'!E:AF,28,0)+VLOOKUP(E:E,'（居民）工资表-8月'!E:AG,29,0),0)</f>
        <v>331.57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62000</v>
      </c>
      <c r="T13" s="91">
        <f>5000+IFERROR(VLOOKUP($E:$E,'（居民）工资表-8月'!$E:$T,16,0),0)</f>
        <v>40000</v>
      </c>
      <c r="U13" s="91">
        <f>Q13+IFERROR(VLOOKUP($E:$E,'（居民）工资表-8月'!$E:$U,17,0),0)</f>
        <v>6219.68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15780.32</v>
      </c>
      <c r="AE13" s="96">
        <f>ROUND(MAX((AD13)*{0.03;0.1;0.2;0.25;0.3;0.35;0.45}-{0;2520;16920;31920;52920;85920;181920},0),2)</f>
        <v>473.41</v>
      </c>
      <c r="AF13" s="97">
        <f>IFERROR(VLOOKUP(E:E,'（居民）工资表-8月'!E:AF,28,0)+VLOOKUP(E:E,'（居民）工资表-8月'!E:AG,29,0),0)</f>
        <v>406.57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144</v>
      </c>
      <c r="C14" s="37" t="s">
        <v>183</v>
      </c>
      <c r="D14" s="37" t="s">
        <v>145</v>
      </c>
      <c r="E14" s="329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48000</v>
      </c>
      <c r="T14" s="91">
        <f>5000+IFERROR(VLOOKUP($E:$E,'（居民）工资表-8月'!$E:$T,16,0),0)</f>
        <v>40000</v>
      </c>
      <c r="U14" s="91">
        <f>Q14+IFERROR(VLOOKUP($E:$E,'（居民）工资表-8月'!$E:$U,17,0),0)</f>
        <v>4243.68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3756.32</v>
      </c>
      <c r="AE14" s="96">
        <f>ROUND(MAX((AD14)*{0.03;0.1;0.2;0.25;0.3;0.35;0.45}-{0;2520;16920;31920;52920;85920;181920},0),2)</f>
        <v>112.69</v>
      </c>
      <c r="AF14" s="97">
        <f>IFERROR(VLOOKUP(E:E,'（居民）工资表-8月'!E:AF,28,0)+VLOOKUP(E:E,'（居民）工资表-8月'!E:AG,29,0),0)</f>
        <v>98.44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144</v>
      </c>
      <c r="C15" s="37" t="s">
        <v>185</v>
      </c>
      <c r="D15" s="37" t="s">
        <v>145</v>
      </c>
      <c r="E15" s="329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80000</v>
      </c>
      <c r="T15" s="91">
        <f>5000+IFERROR(VLOOKUP($E:$E,'（居民）工资表-8月'!$E:$T,16,0),0)</f>
        <v>40000</v>
      </c>
      <c r="U15" s="91">
        <f>Q15+IFERROR(VLOOKUP($E:$E,'（居民）工资表-8月'!$E:$U,17,0),0)</f>
        <v>4266.26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35733.74</v>
      </c>
      <c r="AE15" s="96">
        <f>ROUND(MAX((AD15)*{0.03;0.1;0.2;0.25;0.3;0.35;0.45}-{0;2520;16920;31920;52920;85920;181920},0),2)</f>
        <v>1072.01</v>
      </c>
      <c r="AF15" s="97">
        <f>IFERROR(VLOOKUP(E:E,'（居民）工资表-8月'!E:AF,28,0)+VLOOKUP(E:E,'（居民）工资表-8月'!E:AG,29,0),0)</f>
        <v>937.84</v>
      </c>
      <c r="AG15" s="97">
        <f t="shared" si="3"/>
        <v>134.17</v>
      </c>
      <c r="AH15" s="107">
        <f t="shared" si="4"/>
        <v>9338.12</v>
      </c>
      <c r="AI15" s="108"/>
      <c r="AJ15" s="107">
        <f t="shared" si="5"/>
        <v>9338.12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43550.3</v>
      </c>
      <c r="T16" s="91">
        <f>5000+IFERROR(VLOOKUP($E:$E,'（居民）工资表-7月'!$E:$T,16,0),0)</f>
        <v>35000</v>
      </c>
      <c r="U16" s="91">
        <f>Q16+IFERROR(VLOOKUP($E:$E,'（居民）工资表-7月'!$E:$U,17,0),0)</f>
        <v>3895.8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4654.5</v>
      </c>
      <c r="AE16" s="96">
        <f>ROUND(MAX((AD16)*{0.03;0.1;0.2;0.25;0.3;0.35;0.45}-{0;2520;16920;31920;52920;85920;181920},0),2)</f>
        <v>139.64</v>
      </c>
      <c r="AF16" s="97">
        <f>IFERROR(VLOOKUP(E:E,'（居民）工资表-7月'!E:AF,28,0)+VLOOKUP(E:E,'（居民）工资表-7月'!E:AG,29,0),0)</f>
        <v>138.59</v>
      </c>
      <c r="AG16" s="97">
        <f>IF((AE16-AF16)&lt;0,0,AE16-AF16)</f>
        <v>1.04999999999998</v>
      </c>
      <c r="AH16" s="107">
        <f t="shared" si="4"/>
        <v>7046.38</v>
      </c>
      <c r="AI16" s="108"/>
      <c r="AJ16" s="107">
        <f t="shared" si="5"/>
        <v>7046.38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964988.4</v>
      </c>
      <c r="T18" s="74">
        <f t="shared" si="10"/>
        <v>515000</v>
      </c>
      <c r="U18" s="74">
        <f t="shared" si="10"/>
        <v>67332.76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382655.64</v>
      </c>
      <c r="AE18" s="74">
        <f t="shared" si="10"/>
        <v>27953.68</v>
      </c>
      <c r="AF18" s="74">
        <f t="shared" si="10"/>
        <v>22075.09</v>
      </c>
      <c r="AG18" s="74">
        <f t="shared" si="10"/>
        <v>5878.59</v>
      </c>
      <c r="AH18" s="74">
        <f t="shared" si="10"/>
        <v>108369.63</v>
      </c>
      <c r="AI18" s="74">
        <f t="shared" si="10"/>
        <v>0</v>
      </c>
      <c r="AJ18" s="74">
        <f t="shared" si="10"/>
        <v>108369.63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108369.63</v>
      </c>
      <c r="C23" s="48">
        <f>AG18</f>
        <v>5878.59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1" si="0">ROUND(SUM(M4:P4),2)</f>
        <v>621.03</v>
      </c>
      <c r="R4" s="70">
        <v>0</v>
      </c>
      <c r="S4" s="90">
        <f>L4+IFERROR(VLOOKUP($E:$E,'（居民）工资表-9月'!$E:$S,15,0),0)</f>
        <v>72000</v>
      </c>
      <c r="T4" s="91">
        <f>5000+IFERROR(VLOOKUP($E:$E,'（居民）工资表-9月'!$E:$T,16,0),0)</f>
        <v>45000</v>
      </c>
      <c r="U4" s="91">
        <f>Q4+IFERROR(VLOOKUP($E:$E,'（居民）工资表-9月'!$E:$U,17,0),0)</f>
        <v>5479.41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-2479.41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574.25</v>
      </c>
      <c r="AG4" s="97">
        <f t="shared" ref="AG4:AG11" si="3">IF((AE4-AF4)&lt;0,0,AE4-AF4)</f>
        <v>0</v>
      </c>
      <c r="AH4" s="107">
        <f t="shared" ref="AH4:AH11" si="4">ROUND(IF((L4-Q4-AG4)&lt;0,0,(L4-Q4-AG4)),2)</f>
        <v>7378.97</v>
      </c>
      <c r="AI4" s="108"/>
      <c r="AJ4" s="107">
        <f t="shared" ref="AJ4:AJ11" si="5">AH4+AI4</f>
        <v>7378.97</v>
      </c>
      <c r="AK4" s="109"/>
      <c r="AL4" s="107">
        <f t="shared" ref="AL4:AL11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147</v>
      </c>
      <c r="AW4" s="12" t="s">
        <v>51</v>
      </c>
    </row>
    <row r="5" s="12" customFormat="1" ht="18" customHeight="1" spans="1:49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L5+IFERROR(VLOOKUP($E:$E,'（居民）工资表-9月'!$E:$S,15,0),0)</f>
        <v>54220</v>
      </c>
      <c r="T5" s="91">
        <f>5000+IFERROR(VLOOKUP($E:$E,'（居民）工资表-9月'!$E:$T,16,0),0)</f>
        <v>45000</v>
      </c>
      <c r="U5" s="91">
        <f>Q5+IFERROR(VLOOKUP($E:$E,'（居民）工资表-9月'!$E:$U,17,0),0)</f>
        <v>6130.08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3089.92</v>
      </c>
      <c r="AE5" s="96">
        <f>ROUND(MAX((AD5)*{0.03;0.1;0.2;0.25;0.3;0.35;0.45}-{0;2520;16920;31920;52920;85920;181920},0),2)</f>
        <v>92.7</v>
      </c>
      <c r="AF5" s="97">
        <f>IFERROR(VLOOKUP(E:E,'（居民）工资表-9月'!E:AF,28,0)+VLOOKUP(E:E,'（居民）工资表-9月'!E:AG,29,0),0)</f>
        <v>79.56</v>
      </c>
      <c r="AG5" s="97">
        <f t="shared" si="3"/>
        <v>13.14</v>
      </c>
      <c r="AH5" s="107">
        <f t="shared" si="4"/>
        <v>5424.62</v>
      </c>
      <c r="AI5" s="108"/>
      <c r="AJ5" s="107">
        <f t="shared" si="5"/>
        <v>5424.62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L6+IFERROR(VLOOKUP($E:$E,'（居民）工资表-9月'!$E:$S,15,0),0)</f>
        <v>270540</v>
      </c>
      <c r="T6" s="91">
        <f>5000+IFERROR(VLOOKUP($E:$E,'（居民）工资表-9月'!$E:$T,16,0),0)</f>
        <v>45000</v>
      </c>
      <c r="U6" s="91">
        <f>Q6+IFERROR(VLOOKUP($E:$E,'（居民）工资表-9月'!$E:$U,17,0),0)</f>
        <v>8625.57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216914.43</v>
      </c>
      <c r="AE6" s="96">
        <f>ROUND(MAX((AD6)*{0.03;0.1;0.2;0.25;0.3;0.35;0.45}-{0;2520;16920;31920;52920;85920;181920},0),2)</f>
        <v>26462.89</v>
      </c>
      <c r="AF6" s="97">
        <f>IFERROR(VLOOKUP(E:E,'（居民）工资表-9月'!E:AF,28,0)+VLOOKUP(E:E,'（居民）工资表-9月'!E:AG,29,0),0)</f>
        <v>21643.55</v>
      </c>
      <c r="AG6" s="97">
        <f t="shared" si="3"/>
        <v>4819.34</v>
      </c>
      <c r="AH6" s="107">
        <f t="shared" si="4"/>
        <v>24277.34</v>
      </c>
      <c r="AI6" s="108"/>
      <c r="AJ6" s="107">
        <f t="shared" si="5"/>
        <v>24277.34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154</v>
      </c>
      <c r="AW6" s="12" t="s">
        <v>155</v>
      </c>
    </row>
    <row r="7" s="12" customFormat="1" ht="18" customHeight="1" spans="1:49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504.56</v>
      </c>
      <c r="N7" s="71">
        <v>139.8</v>
      </c>
      <c r="O7" s="71">
        <v>31.54</v>
      </c>
      <c r="P7" s="71">
        <v>97</v>
      </c>
      <c r="Q7" s="89">
        <f t="shared" si="0"/>
        <v>772.9</v>
      </c>
      <c r="R7" s="70">
        <v>0</v>
      </c>
      <c r="S7" s="90">
        <f>L7+IFERROR(VLOOKUP($E:$E,'（居民）工资表-9月'!$E:$S,15,0),0)</f>
        <v>83000</v>
      </c>
      <c r="T7" s="91">
        <f>5000+IFERROR(VLOOKUP($E:$E,'（居民）工资表-9月'!$E:$T,16,0),0)</f>
        <v>45000</v>
      </c>
      <c r="U7" s="91">
        <f>Q7+IFERROR(VLOOKUP($E:$E,'（居民）工资表-9月'!$E:$U,17,0),0)</f>
        <v>5039.16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32960.84</v>
      </c>
      <c r="AE7" s="96">
        <f>ROUND(MAX((AD7)*{0.03;0.1;0.2;0.25;0.3;0.35;0.45}-{0;2520;16920;31920;52920;85920;181920},0),2)</f>
        <v>988.83</v>
      </c>
      <c r="AF7" s="97">
        <f>IFERROR(VLOOKUP(E:E,'（居民）工资表-9月'!E:AF,28,0)+VLOOKUP(E:E,'（居民）工资表-9月'!E:AG,29,0),0)</f>
        <v>892.01</v>
      </c>
      <c r="AG7" s="97">
        <f t="shared" si="3"/>
        <v>96.82</v>
      </c>
      <c r="AH7" s="107">
        <f t="shared" si="4"/>
        <v>8130.28</v>
      </c>
      <c r="AI7" s="108"/>
      <c r="AJ7" s="107">
        <f t="shared" si="5"/>
        <v>8130.28</v>
      </c>
      <c r="AK7" s="109"/>
      <c r="AL7" s="107">
        <f t="shared" si="6"/>
        <v>8227.1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159</v>
      </c>
      <c r="AW7" s="12" t="s">
        <v>51</v>
      </c>
    </row>
    <row r="8" s="12" customFormat="1" ht="18" customHeight="1" spans="1:49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504.56</v>
      </c>
      <c r="N8" s="71">
        <v>132.14</v>
      </c>
      <c r="O8" s="71">
        <v>31.54</v>
      </c>
      <c r="P8" s="71">
        <v>344</v>
      </c>
      <c r="Q8" s="89">
        <f t="shared" si="0"/>
        <v>1012.24</v>
      </c>
      <c r="R8" s="70">
        <v>0</v>
      </c>
      <c r="S8" s="90">
        <f>L8+IFERROR(VLOOKUP($E:$E,'（居民）工资表-9月'!$E:$S,15,0),0)</f>
        <v>97500</v>
      </c>
      <c r="T8" s="91">
        <f>5000+IFERROR(VLOOKUP($E:$E,'（居民）工资表-9月'!$E:$T,16,0),0)</f>
        <v>45000</v>
      </c>
      <c r="U8" s="91">
        <f>Q8+IFERROR(VLOOKUP($E:$E,'（居民）工资表-9月'!$E:$U,17,0),0)</f>
        <v>7231.92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45268.08</v>
      </c>
      <c r="AE8" s="96">
        <f>ROUND(MAX((AD8)*{0.03;0.1;0.2;0.25;0.3;0.35;0.45}-{0;2520;16920;31920;52920;85920;181920},0),2)</f>
        <v>2006.81</v>
      </c>
      <c r="AF8" s="97">
        <f>IFERROR(VLOOKUP(E:E,'（居民）工资表-9月'!E:AF,28,0)+VLOOKUP(E:E,'（居民）工资表-9月'!E:AG,29,0),0)</f>
        <v>1558.03</v>
      </c>
      <c r="AG8" s="97">
        <f t="shared" si="3"/>
        <v>448.78</v>
      </c>
      <c r="AH8" s="107">
        <f t="shared" si="4"/>
        <v>9038.98</v>
      </c>
      <c r="AI8" s="108"/>
      <c r="AJ8" s="107">
        <f t="shared" si="5"/>
        <v>9038.98</v>
      </c>
      <c r="AK8" s="109"/>
      <c r="AL8" s="107">
        <f t="shared" si="6"/>
        <v>9487.76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159</v>
      </c>
      <c r="AW8" s="12" t="s">
        <v>51</v>
      </c>
    </row>
    <row r="9" s="12" customFormat="1" ht="18" customHeight="1" spans="1:49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105.82</v>
      </c>
      <c r="O9" s="71">
        <v>12.16</v>
      </c>
      <c r="P9" s="71">
        <v>100</v>
      </c>
      <c r="Q9" s="89">
        <f t="shared" si="0"/>
        <v>542.22</v>
      </c>
      <c r="R9" s="70">
        <v>0</v>
      </c>
      <c r="S9" s="90">
        <f>L9+IFERROR(VLOOKUP($E:$E,'（居民）工资表-9月'!$E:$S,15,0),0)</f>
        <v>58500</v>
      </c>
      <c r="T9" s="91">
        <f>5000+IFERROR(VLOOKUP($E:$E,'（居民）工资表-9月'!$E:$T,16,0),0)</f>
        <v>45000</v>
      </c>
      <c r="U9" s="91">
        <f>Q9+IFERROR(VLOOKUP($E:$E,'（居民）工资表-9月'!$E:$U,17,0),0)</f>
        <v>4855.87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8644.13</v>
      </c>
      <c r="AE9" s="96">
        <f>ROUND(MAX((AD9)*{0.03;0.1;0.2;0.25;0.3;0.35;0.45}-{0;2520;16920;31920;52920;85920;181920},0),2)</f>
        <v>259.32</v>
      </c>
      <c r="AF9" s="97">
        <f>IFERROR(VLOOKUP(E:E,'（居民）工资表-9月'!E:AF,28,0)+VLOOKUP(E:E,'（居民）工资表-9月'!E:AG,29,0),0)</f>
        <v>230.59</v>
      </c>
      <c r="AG9" s="97">
        <f t="shared" si="3"/>
        <v>28.73</v>
      </c>
      <c r="AH9" s="107">
        <f t="shared" si="4"/>
        <v>5929.05</v>
      </c>
      <c r="AI9" s="108"/>
      <c r="AJ9" s="107">
        <f t="shared" si="5"/>
        <v>5929.05</v>
      </c>
      <c r="AK9" s="109"/>
      <c r="AL9" s="107">
        <f t="shared" si="6"/>
        <v>5957.78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164</v>
      </c>
      <c r="AW9" s="12" t="s">
        <v>51</v>
      </c>
    </row>
    <row r="10" s="12" customFormat="1" ht="18" customHeight="1" spans="1:49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L10+IFERROR(VLOOKUP($E:$E,'（居民）工资表-9月'!$E:$S,15,0),0)</f>
        <v>40286.07</v>
      </c>
      <c r="T10" s="91">
        <f>5000+IFERROR(VLOOKUP($E:$E,'（居民）工资表-9月'!$E:$T,16,0),0)</f>
        <v>45000</v>
      </c>
      <c r="U10" s="91">
        <f>Q10+IFERROR(VLOOKUP($E:$E,'（居民）工资表-9月'!$E:$U,17,0),0)</f>
        <v>5848.29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-10562.22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168</v>
      </c>
      <c r="AW10" s="12" t="s">
        <v>209</v>
      </c>
    </row>
    <row r="11" s="12" customFormat="1" ht="18" customHeight="1" spans="1:49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504.56</v>
      </c>
      <c r="N11" s="71">
        <v>166.14</v>
      </c>
      <c r="O11" s="71">
        <v>31.54</v>
      </c>
      <c r="P11" s="71">
        <v>97</v>
      </c>
      <c r="Q11" s="89">
        <f t="shared" ref="Q11:Q19" si="10">ROUND(SUM(M11:P11),2)</f>
        <v>799.24</v>
      </c>
      <c r="R11" s="70">
        <v>0</v>
      </c>
      <c r="S11" s="90">
        <f>L11+IFERROR(VLOOKUP($E:$E,'（居民）工资表-9月'!$E:$S,15,0),0)</f>
        <v>80000</v>
      </c>
      <c r="T11" s="91">
        <f>5000+IFERROR(VLOOKUP($E:$E,'（居民）工资表-9月'!$E:$T,16,0),0)</f>
        <v>45000</v>
      </c>
      <c r="U11" s="91">
        <f>Q11+IFERROR(VLOOKUP($E:$E,'（居民）工资表-9月'!$E:$U,17,0),0)</f>
        <v>5314.92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29685.08</v>
      </c>
      <c r="AE11" s="96">
        <f>ROUND(MAX((AD11)*{0.03;0.1;0.2;0.25;0.3;0.35;0.45}-{0;2520;16920;31920;52920;85920;181920},0),2)</f>
        <v>890.55</v>
      </c>
      <c r="AF11" s="97">
        <f>IFERROR(VLOOKUP(E:E,'（居民）工资表-9月'!E:AF,28,0)+VLOOKUP(E:E,'（居民）工资表-9月'!E:AG,29,0),0)</f>
        <v>794.53</v>
      </c>
      <c r="AG11" s="97">
        <f t="shared" ref="AG11:AG19" si="13">IF((AE11-AF11)&lt;0,0,AE11-AF11)</f>
        <v>96.02</v>
      </c>
      <c r="AH11" s="107">
        <f t="shared" ref="AH11:AH19" si="14">ROUND(IF((L11-Q11-AG11)&lt;0,0,(L11-Q11-AG11)),2)</f>
        <v>8104.74</v>
      </c>
      <c r="AI11" s="108"/>
      <c r="AJ11" s="107">
        <f t="shared" ref="AJ11:AJ19" si="15">AH11+AI11</f>
        <v>8104.74</v>
      </c>
      <c r="AK11" s="109"/>
      <c r="AL11" s="107">
        <f t="shared" ref="AL11:AL19" si="16">AJ11+AG11+AK11</f>
        <v>8200.76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172</v>
      </c>
      <c r="AW11" s="12" t="s">
        <v>173</v>
      </c>
    </row>
    <row r="12" s="12" customFormat="1" ht="18" customHeight="1" spans="1:49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504.56</v>
      </c>
      <c r="N12" s="71">
        <v>132.14</v>
      </c>
      <c r="O12" s="71">
        <v>31.54</v>
      </c>
      <c r="P12" s="71">
        <v>344</v>
      </c>
      <c r="Q12" s="89">
        <f t="shared" si="10"/>
        <v>1012.24</v>
      </c>
      <c r="R12" s="70">
        <v>0</v>
      </c>
      <c r="S12" s="90">
        <f>L12+IFERROR(VLOOKUP($E:$E,'（居民）工资表-9月'!$E:$S,15,0),0)</f>
        <v>66500</v>
      </c>
      <c r="T12" s="91">
        <f>5000+IFERROR(VLOOKUP($E:$E,'（居民）工资表-9月'!$E:$T,16,0),0)</f>
        <v>45000</v>
      </c>
      <c r="U12" s="91">
        <f>Q12+IFERROR(VLOOKUP($E:$E,'（居民）工资表-9月'!$E:$U,17,0),0)</f>
        <v>7231.92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14268.08</v>
      </c>
      <c r="AE12" s="96">
        <f>ROUND(MAX((AD12)*{0.03;0.1;0.2;0.25;0.3;0.35;0.45}-{0;2520;16920;31920;52920;85920;181920},0),2)</f>
        <v>428.04</v>
      </c>
      <c r="AF12" s="97">
        <f>IFERROR(VLOOKUP(E:E,'（居民）工资表-9月'!E:AF,28,0)+VLOOKUP(E:E,'（居民）工资表-9月'!E:AG,29,0),0)</f>
        <v>383.41</v>
      </c>
      <c r="AG12" s="97">
        <f t="shared" si="13"/>
        <v>44.63</v>
      </c>
      <c r="AH12" s="107">
        <f t="shared" si="14"/>
        <v>6443.13</v>
      </c>
      <c r="AI12" s="108"/>
      <c r="AJ12" s="107">
        <f t="shared" si="15"/>
        <v>6443.13</v>
      </c>
      <c r="AK12" s="109"/>
      <c r="AL12" s="107">
        <f t="shared" si="16"/>
        <v>6487.76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159</v>
      </c>
      <c r="AW12" s="12" t="s">
        <v>51</v>
      </c>
    </row>
    <row r="13" s="12" customFormat="1" ht="18" customHeight="1" spans="1:49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504.56</v>
      </c>
      <c r="N13" s="71">
        <v>132.14</v>
      </c>
      <c r="O13" s="71">
        <v>41.24</v>
      </c>
      <c r="P13" s="71">
        <v>344</v>
      </c>
      <c r="Q13" s="89">
        <f t="shared" si="10"/>
        <v>1021.94</v>
      </c>
      <c r="R13" s="70">
        <v>0</v>
      </c>
      <c r="S13" s="90">
        <f>L13+IFERROR(VLOOKUP($E:$E,'（居民）工资表-9月'!$E:$S,15,0),0)</f>
        <v>70000</v>
      </c>
      <c r="T13" s="91">
        <f>5000+IFERROR(VLOOKUP($E:$E,'（居民）工资表-9月'!$E:$T,16,0),0)</f>
        <v>45000</v>
      </c>
      <c r="U13" s="91">
        <f>Q13+IFERROR(VLOOKUP($E:$E,'（居民）工资表-9月'!$E:$U,17,0),0)</f>
        <v>7241.62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17758.38</v>
      </c>
      <c r="AE13" s="96">
        <f>ROUND(MAX((AD13)*{0.03;0.1;0.2;0.25;0.3;0.35;0.45}-{0;2520;16920;31920;52920;85920;181920},0),2)</f>
        <v>532.75</v>
      </c>
      <c r="AF13" s="97">
        <f>IFERROR(VLOOKUP(E:E,'（居民）工资表-9月'!E:AF,28,0)+VLOOKUP(E:E,'（居民）工资表-9月'!E:AG,29,0),0)</f>
        <v>473.41</v>
      </c>
      <c r="AG13" s="97">
        <f t="shared" si="13"/>
        <v>59.34</v>
      </c>
      <c r="AH13" s="107">
        <f t="shared" si="14"/>
        <v>6918.72</v>
      </c>
      <c r="AI13" s="108"/>
      <c r="AJ13" s="107">
        <f t="shared" si="15"/>
        <v>6918.72</v>
      </c>
      <c r="AK13" s="109"/>
      <c r="AL13" s="107">
        <f t="shared" si="16"/>
        <v>6978.06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159</v>
      </c>
      <c r="AW13" s="12" t="s">
        <v>51</v>
      </c>
    </row>
    <row r="14" s="12" customFormat="1" ht="18" customHeight="1" spans="1:49">
      <c r="A14" s="36">
        <v>11</v>
      </c>
      <c r="B14" s="37" t="s">
        <v>144</v>
      </c>
      <c r="C14" s="37" t="s">
        <v>183</v>
      </c>
      <c r="D14" s="37" t="s">
        <v>145</v>
      </c>
      <c r="E14" s="329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504.56</v>
      </c>
      <c r="N14" s="71">
        <v>126.14</v>
      </c>
      <c r="O14" s="71">
        <v>31.54</v>
      </c>
      <c r="P14" s="71">
        <v>103</v>
      </c>
      <c r="Q14" s="89">
        <f t="shared" si="10"/>
        <v>765.24</v>
      </c>
      <c r="R14" s="70">
        <v>0</v>
      </c>
      <c r="S14" s="90">
        <f>L14+IFERROR(VLOOKUP($E:$E,'（居民）工资表-9月'!$E:$S,15,0),0)</f>
        <v>54000</v>
      </c>
      <c r="T14" s="91">
        <f>5000+IFERROR(VLOOKUP($E:$E,'（居民）工资表-9月'!$E:$T,16,0),0)</f>
        <v>45000</v>
      </c>
      <c r="U14" s="91">
        <f>Q14+IFERROR(VLOOKUP($E:$E,'（居民）工资表-9月'!$E:$U,17,0),0)</f>
        <v>5008.92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3991.08</v>
      </c>
      <c r="AE14" s="96">
        <f>ROUND(MAX((AD14)*{0.03;0.1;0.2;0.25;0.3;0.35;0.45}-{0;2520;16920;31920;52920;85920;181920},0),2)</f>
        <v>119.73</v>
      </c>
      <c r="AF14" s="97">
        <f>IFERROR(VLOOKUP(E:E,'（居民）工资表-9月'!E:AF,28,0)+VLOOKUP(E:E,'（居民）工资表-9月'!E:AG,29,0),0)</f>
        <v>112.69</v>
      </c>
      <c r="AG14" s="97">
        <f t="shared" si="13"/>
        <v>7.04000000000001</v>
      </c>
      <c r="AH14" s="107">
        <f t="shared" si="14"/>
        <v>5227.72</v>
      </c>
      <c r="AI14" s="108"/>
      <c r="AJ14" s="107">
        <f t="shared" si="15"/>
        <v>5227.72</v>
      </c>
      <c r="AK14" s="109"/>
      <c r="AL14" s="107">
        <f t="shared" si="16"/>
        <v>5234.76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159</v>
      </c>
      <c r="AW14" s="12" t="s">
        <v>51</v>
      </c>
    </row>
    <row r="15" s="12" customFormat="1" ht="18" customHeight="1" spans="1:49">
      <c r="A15" s="36">
        <v>12</v>
      </c>
      <c r="B15" s="37" t="s">
        <v>144</v>
      </c>
      <c r="C15" s="37" t="s">
        <v>185</v>
      </c>
      <c r="D15" s="37" t="s">
        <v>145</v>
      </c>
      <c r="E15" s="329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504.56</v>
      </c>
      <c r="N15" s="71">
        <v>139.8</v>
      </c>
      <c r="O15" s="71">
        <v>31.54</v>
      </c>
      <c r="P15" s="71">
        <v>97</v>
      </c>
      <c r="Q15" s="89">
        <f t="shared" si="10"/>
        <v>772.9</v>
      </c>
      <c r="R15" s="70">
        <v>0</v>
      </c>
      <c r="S15" s="90">
        <f>L15+IFERROR(VLOOKUP($E:$E,'（居民）工资表-9月'!$E:$S,15,0),0)</f>
        <v>90000</v>
      </c>
      <c r="T15" s="91">
        <f>5000+IFERROR(VLOOKUP($E:$E,'（居民）工资表-9月'!$E:$T,16,0),0)</f>
        <v>45000</v>
      </c>
      <c r="U15" s="91">
        <f>Q15+IFERROR(VLOOKUP($E:$E,'（居民）工资表-9月'!$E:$U,17,0),0)</f>
        <v>5039.16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39960.84</v>
      </c>
      <c r="AE15" s="96">
        <f>ROUND(MAX((AD15)*{0.03;0.1;0.2;0.25;0.3;0.35;0.45}-{0;2520;16920;31920;52920;85920;181920},0),2)</f>
        <v>1476.08</v>
      </c>
      <c r="AF15" s="97">
        <f>IFERROR(VLOOKUP(E:E,'（居民）工资表-9月'!E:AF,28,0)+VLOOKUP(E:E,'（居民）工资表-9月'!E:AG,29,0),0)</f>
        <v>1072.01</v>
      </c>
      <c r="AG15" s="97">
        <f t="shared" si="13"/>
        <v>404.07</v>
      </c>
      <c r="AH15" s="107">
        <f t="shared" si="14"/>
        <v>8823.03</v>
      </c>
      <c r="AI15" s="108"/>
      <c r="AJ15" s="107">
        <f t="shared" si="15"/>
        <v>8823.03</v>
      </c>
      <c r="AK15" s="109"/>
      <c r="AL15" s="107">
        <f t="shared" si="16"/>
        <v>9227.1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159</v>
      </c>
      <c r="AW15" s="12" t="s">
        <v>51</v>
      </c>
    </row>
    <row r="16" s="12" customFormat="1" ht="18" customHeight="1" spans="1:49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7560.35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10"/>
        <v>552.57</v>
      </c>
      <c r="R16" s="70">
        <v>0</v>
      </c>
      <c r="S16" s="90">
        <f>L16+IFERROR(VLOOKUP($E:$E,'（居民）工资表-9月'!$E:$S,15,0),0)</f>
        <v>51110.65</v>
      </c>
      <c r="T16" s="91">
        <f>5000+IFERROR(VLOOKUP($E:$E,'（居民）工资表-9月'!$E:$T,16,0),0)</f>
        <v>40000</v>
      </c>
      <c r="U16" s="91">
        <f>Q16+IFERROR(VLOOKUP($E:$E,'（居民）工资表-9月'!$E:$U,17,0),0)</f>
        <v>4448.37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6662.28</v>
      </c>
      <c r="AE16" s="96">
        <f>ROUND(MAX((AD16)*{0.03;0.1;0.2;0.25;0.3;0.35;0.45}-{0;2520;16920;31920;52920;85920;181920},0),2)</f>
        <v>199.87</v>
      </c>
      <c r="AF16" s="97">
        <f>IFERROR(VLOOKUP(E:E,'（居民）工资表-9月'!E:AF,28,0)+VLOOKUP(E:E,'（居民）工资表-9月'!E:AG,29,0),0)</f>
        <v>139.64</v>
      </c>
      <c r="AG16" s="97">
        <f t="shared" si="13"/>
        <v>60.23</v>
      </c>
      <c r="AH16" s="107">
        <f t="shared" si="14"/>
        <v>6947.55</v>
      </c>
      <c r="AI16" s="108"/>
      <c r="AJ16" s="107">
        <f t="shared" si="15"/>
        <v>6947.55</v>
      </c>
      <c r="AK16" s="109"/>
      <c r="AL16" s="107">
        <f t="shared" si="16"/>
        <v>7007.78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159</v>
      </c>
      <c r="AW16" s="12" t="s">
        <v>51</v>
      </c>
    </row>
    <row r="17" s="12" customFormat="1" ht="18" customHeight="1" spans="1:46">
      <c r="A17" s="36"/>
      <c r="B17" s="37"/>
      <c r="C17" s="128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122668.32</v>
      </c>
      <c r="M18" s="74">
        <f>SUM(M4:M17)</f>
        <v>5953.13</v>
      </c>
      <c r="N18" s="74">
        <f>SUM(N4:N17)</f>
        <v>1641.6</v>
      </c>
      <c r="O18" s="74">
        <f>SUM(O4:O17)</f>
        <v>334.82</v>
      </c>
      <c r="P18" s="74">
        <f>SUM(P4:P17)</f>
        <v>2232.9</v>
      </c>
      <c r="Q18" s="74">
        <f t="shared" ref="Q18:AL18" si="20">SUM(Q4:Q17)</f>
        <v>10162.45</v>
      </c>
      <c r="R18" s="74">
        <f t="shared" si="20"/>
        <v>0</v>
      </c>
      <c r="S18" s="74">
        <f t="shared" si="20"/>
        <v>1087656.72</v>
      </c>
      <c r="T18" s="74">
        <f t="shared" si="20"/>
        <v>580000</v>
      </c>
      <c r="U18" s="74">
        <f t="shared" si="20"/>
        <v>77495.21</v>
      </c>
      <c r="V18" s="74">
        <f t="shared" si="20"/>
        <v>10000</v>
      </c>
      <c r="W18" s="74">
        <f t="shared" si="20"/>
        <v>0</v>
      </c>
      <c r="X18" s="74">
        <f t="shared" si="20"/>
        <v>10000</v>
      </c>
      <c r="Y18" s="74">
        <f t="shared" si="20"/>
        <v>0</v>
      </c>
      <c r="Z18" s="74">
        <f t="shared" si="20"/>
        <v>4000</v>
      </c>
      <c r="AA18" s="74">
        <f t="shared" si="20"/>
        <v>0</v>
      </c>
      <c r="AB18" s="74">
        <f t="shared" si="20"/>
        <v>24000</v>
      </c>
      <c r="AC18" s="74">
        <f t="shared" si="20"/>
        <v>0</v>
      </c>
      <c r="AD18" s="74">
        <f t="shared" si="20"/>
        <v>406161.51</v>
      </c>
      <c r="AE18" s="74">
        <f t="shared" si="20"/>
        <v>33457.57</v>
      </c>
      <c r="AF18" s="74">
        <f t="shared" si="20"/>
        <v>27953.68</v>
      </c>
      <c r="AG18" s="74">
        <f t="shared" si="20"/>
        <v>6078.14</v>
      </c>
      <c r="AH18" s="74">
        <f t="shared" si="20"/>
        <v>106427.73</v>
      </c>
      <c r="AI18" s="74">
        <f t="shared" si="20"/>
        <v>0</v>
      </c>
      <c r="AJ18" s="74">
        <f t="shared" si="20"/>
        <v>106427.73</v>
      </c>
      <c r="AK18" s="74">
        <f t="shared" si="20"/>
        <v>0</v>
      </c>
      <c r="AL18" s="74">
        <f t="shared" si="20"/>
        <v>112505.87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106427.73</v>
      </c>
      <c r="C23" s="48">
        <f>AG18</f>
        <v>6078.14</v>
      </c>
      <c r="D23" s="48">
        <f>AK18</f>
        <v>0</v>
      </c>
      <c r="E23" s="48">
        <f>B23+C23+D23</f>
        <v>112505.87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7">
    <cfRule type="duplicateValues" dxfId="4" priority="1"/>
  </conditionalFormatting>
  <conditionalFormatting sqref="B30">
    <cfRule type="duplicateValues" dxfId="4" priority="3" stopIfTrue="1"/>
  </conditionalFormatting>
  <conditionalFormatting sqref="B25:B29">
    <cfRule type="duplicateValues" dxfId="4" priority="4" stopIfTrue="1"/>
  </conditionalFormatting>
  <conditionalFormatting sqref="B33:B34">
    <cfRule type="duplicateValues" dxfId="4" priority="2" stopIfTrue="1"/>
  </conditionalFormatting>
  <conditionalFormatting sqref="C22:C24">
    <cfRule type="duplicateValues" dxfId="4" priority="5" stopIfTrue="1"/>
    <cfRule type="expression" dxfId="5" priority="6" stopIfTrue="1">
      <formula>AND(COUNTIF($B$18:$B$65454,C22)+COUNTIF($B$1:$B$3,C22)&gt;1,NOT(ISBLANK(C22)))</formula>
    </cfRule>
    <cfRule type="expression" dxfId="5" priority="7" stopIfTrue="1">
      <formula>AND(COUNTIF($B$29:$B$65405,C22)+COUNTIF($B$1:$B$28,C22)&gt;1,NOT(ISBLANK(C22)))</formula>
    </cfRule>
    <cfRule type="expression" dxfId="5" priority="8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6" si="0">ROUND(SUM(M4:P4),2)</f>
        <v>621.03</v>
      </c>
      <c r="R4" s="70">
        <v>0</v>
      </c>
      <c r="S4" s="90">
        <f>L4+IFERROR(VLOOKUP($E:$E,'（居民）工资表-10月'!$E:$S,15,0),0)</f>
        <v>80000</v>
      </c>
      <c r="T4" s="91">
        <f>5000+IFERROR(VLOOKUP($E:$E,'（居民）工资表-10月'!$E:$T,16,0),0)</f>
        <v>50000</v>
      </c>
      <c r="U4" s="91">
        <f>Q4+IFERROR(VLOOKUP($E:$E,'（居民）工资表-10月'!$E:$U,17,0),0)</f>
        <v>6100.44</v>
      </c>
      <c r="V4" s="70"/>
      <c r="W4" s="70"/>
      <c r="X4" s="70"/>
      <c r="Y4" s="70"/>
      <c r="Z4" s="70"/>
      <c r="AA4" s="70"/>
      <c r="AB4" s="90">
        <f t="shared" ref="AB4:AB16" si="1">ROUND(SUM(V4:AA4),2)</f>
        <v>0</v>
      </c>
      <c r="AC4" s="90">
        <f>R4+IFERROR(VLOOKUP($E:$E,'（居民）工资表-10月'!$E:$AC,25,0),0)</f>
        <v>0</v>
      </c>
      <c r="AD4" s="95">
        <f t="shared" ref="AD4:AD16" si="2">ROUND(S4-T4-U4-AB4-AC4,2)</f>
        <v>23899.56</v>
      </c>
      <c r="AE4" s="96">
        <f>ROUND(MAX((AD4)*{0.03;0.1;0.2;0.25;0.3;0.35;0.45}-{0;2520;16920;31920;52920;85920;181920},0),2)</f>
        <v>716.99</v>
      </c>
      <c r="AF4" s="97">
        <f>IFERROR(VLOOKUP(E:E,'（居民）工资表-10月'!E:AF,28,0)+VLOOKUP(E:E,'（居民）工资表-10月'!E:AG,29,0),0)</f>
        <v>574.25</v>
      </c>
      <c r="AG4" s="97">
        <f>IF((AE4-AF4)&lt;0,0,AE4-AF4)</f>
        <v>142.74</v>
      </c>
      <c r="AH4" s="107">
        <f t="shared" ref="AH4:AH16" si="3">ROUND(IF((L4-Q4-AG4)&lt;0,0,(L4-Q4-AG4)),2)</f>
        <v>7236.23</v>
      </c>
      <c r="AI4" s="108"/>
      <c r="AJ4" s="107">
        <f t="shared" ref="AJ4:AJ16" si="4">AH4+AI4</f>
        <v>7236.23</v>
      </c>
      <c r="AK4" s="109"/>
      <c r="AL4" s="107">
        <f t="shared" ref="AL4:AL16" si="5">AJ4+AG4+AK4</f>
        <v>7378.97</v>
      </c>
      <c r="AM4" s="109"/>
      <c r="AN4" s="109"/>
      <c r="AO4" s="109"/>
      <c r="AP4" s="109"/>
      <c r="AQ4" s="109"/>
      <c r="AR4" s="116" t="str">
        <f t="shared" ref="AR4:AR16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L5+IFERROR(VLOOKUP($E:$E,'（居民）工资表-10月'!$E:$S,15,0),0)</f>
        <v>60320</v>
      </c>
      <c r="T5" s="91">
        <f>5000+IFERROR(VLOOKUP($E:$E,'（居民）工资表-10月'!$E:$T,16,0),0)</f>
        <v>50000</v>
      </c>
      <c r="U5" s="91">
        <f>Q5+IFERROR(VLOOKUP($E:$E,'（居民）工资表-10月'!$E:$U,17,0),0)</f>
        <v>6792.32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3527.68</v>
      </c>
      <c r="AE5" s="96">
        <f>ROUND(MAX((AD5)*{0.03;0.1;0.2;0.25;0.3;0.35;0.45}-{0;2520;16920;31920;52920;85920;181920},0),2)</f>
        <v>105.83</v>
      </c>
      <c r="AF5" s="97">
        <f>IFERROR(VLOOKUP(E:E,'（居民）工资表-10月'!E:AF,28,0)+VLOOKUP(E:E,'（居民）工资表-10月'!E:AG,29,0),0)</f>
        <v>92.7</v>
      </c>
      <c r="AG5" s="97">
        <f t="shared" ref="AG5:AG16" si="9">IF((AE5-AF5)&lt;0,0,AE5-AF5)</f>
        <v>13.13</v>
      </c>
      <c r="AH5" s="107">
        <f t="shared" si="3"/>
        <v>5424.63</v>
      </c>
      <c r="AI5" s="108"/>
      <c r="AJ5" s="107">
        <f t="shared" si="4"/>
        <v>5424.63</v>
      </c>
      <c r="AK5" s="109"/>
      <c r="AL5" s="107">
        <f t="shared" si="5"/>
        <v>5437.76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L6+IFERROR(VLOOKUP($E:$E,'（居民）工资表-10月'!$E:$S,15,0),0)</f>
        <v>300600</v>
      </c>
      <c r="T6" s="91">
        <f>5000+IFERROR(VLOOKUP($E:$E,'（居民）工资表-10月'!$E:$T,16,0),0)</f>
        <v>50000</v>
      </c>
      <c r="U6" s="91">
        <f>Q6+IFERROR(VLOOKUP($E:$E,'（居民）工资表-10月'!$E:$U,17,0),0)</f>
        <v>9588.89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241011.11</v>
      </c>
      <c r="AE6" s="96">
        <f>ROUND(MAX((AD6)*{0.03;0.1;0.2;0.25;0.3;0.35;0.45}-{0;2520;16920;31920;52920;85920;181920},0),2)</f>
        <v>31282.22</v>
      </c>
      <c r="AF6" s="97">
        <f>IFERROR(VLOOKUP(E:E,'（居民）工资表-10月'!E:AF,28,0)+VLOOKUP(E:E,'（居民）工资表-10月'!E:AG,29,0),0)</f>
        <v>26462.89</v>
      </c>
      <c r="AG6" s="97">
        <f t="shared" si="9"/>
        <v>4819.33</v>
      </c>
      <c r="AH6" s="107">
        <f t="shared" si="3"/>
        <v>24277.35</v>
      </c>
      <c r="AI6" s="108"/>
      <c r="AJ6" s="107">
        <f t="shared" si="4"/>
        <v>24277.35</v>
      </c>
      <c r="AK6" s="109"/>
      <c r="AL6" s="107">
        <f t="shared" si="5"/>
        <v>29096.68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L7+IFERROR(VLOOKUP($E:$E,'（居民）工资表-10月'!$E:$S,15,0),0)</f>
        <v>92000</v>
      </c>
      <c r="T7" s="91">
        <f>5000+IFERROR(VLOOKUP($E:$E,'（居民）工资表-10月'!$E:$T,16,0),0)</f>
        <v>50000</v>
      </c>
      <c r="U7" s="91">
        <f>Q7+IFERROR(VLOOKUP($E:$E,'（居民）工资表-10月'!$E:$U,17,0),0)</f>
        <v>5589.16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36410.84</v>
      </c>
      <c r="AE7" s="96">
        <f>ROUND(MAX((AD7)*{0.03;0.1;0.2;0.25;0.3;0.35;0.45}-{0;2520;16920;31920;52920;85920;181920},0),2)</f>
        <v>1121.08</v>
      </c>
      <c r="AF7" s="97">
        <f>IFERROR(VLOOKUP(E:E,'（居民）工资表-10月'!E:AF,28,0)+VLOOKUP(E:E,'（居民）工资表-10月'!E:AG,29,0),0)</f>
        <v>988.83</v>
      </c>
      <c r="AG7" s="97">
        <f t="shared" si="9"/>
        <v>132.25</v>
      </c>
      <c r="AH7" s="107">
        <f t="shared" si="3"/>
        <v>8317.75</v>
      </c>
      <c r="AI7" s="108"/>
      <c r="AJ7" s="107">
        <f t="shared" si="4"/>
        <v>8317.75</v>
      </c>
      <c r="AK7" s="109"/>
      <c r="AL7" s="107">
        <f t="shared" si="5"/>
        <v>8450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L8+IFERROR(VLOOKUP($E:$E,'（居民）工资表-10月'!$E:$S,15,0),0)</f>
        <v>108000</v>
      </c>
      <c r="T8" s="91">
        <f>5000+IFERROR(VLOOKUP($E:$E,'（居民）工资表-10月'!$E:$T,16,0),0)</f>
        <v>50000</v>
      </c>
      <c r="U8" s="91">
        <f>Q8+IFERROR(VLOOKUP($E:$E,'（居民）工资表-10月'!$E:$U,17,0),0)</f>
        <v>8025.76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49974.24</v>
      </c>
      <c r="AE8" s="96">
        <f>ROUND(MAX((AD8)*{0.03;0.1;0.2;0.25;0.3;0.35;0.45}-{0;2520;16920;31920;52920;85920;181920},0),2)</f>
        <v>2477.42</v>
      </c>
      <c r="AF8" s="97">
        <f>IFERROR(VLOOKUP(E:E,'（居民）工资表-10月'!E:AF,28,0)+VLOOKUP(E:E,'（居民）工资表-10月'!E:AG,29,0),0)</f>
        <v>2006.81</v>
      </c>
      <c r="AG8" s="97">
        <f t="shared" si="9"/>
        <v>470.61</v>
      </c>
      <c r="AH8" s="107">
        <f t="shared" si="3"/>
        <v>9235.55</v>
      </c>
      <c r="AI8" s="108"/>
      <c r="AJ8" s="107">
        <f t="shared" si="4"/>
        <v>9235.55</v>
      </c>
      <c r="AK8" s="109"/>
      <c r="AL8" s="107">
        <f t="shared" si="5"/>
        <v>9706.16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299.28</v>
      </c>
      <c r="N9" s="71">
        <v>95.54</v>
      </c>
      <c r="O9" s="71">
        <v>11.22</v>
      </c>
      <c r="P9" s="71">
        <v>100</v>
      </c>
      <c r="Q9" s="89">
        <f t="shared" si="0"/>
        <v>506.04</v>
      </c>
      <c r="R9" s="70">
        <v>0</v>
      </c>
      <c r="S9" s="90">
        <f>L9+IFERROR(VLOOKUP($E:$E,'（居民）工资表-10月'!$E:$S,15,0),0)</f>
        <v>65000</v>
      </c>
      <c r="T9" s="91">
        <f>5000+IFERROR(VLOOKUP($E:$E,'（居民）工资表-10月'!$E:$T,16,0),0)</f>
        <v>50000</v>
      </c>
      <c r="U9" s="91">
        <f>Q9+IFERROR(VLOOKUP($E:$E,'（居民）工资表-10月'!$E:$U,17,0),0)</f>
        <v>5361.91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9638.09</v>
      </c>
      <c r="AE9" s="96">
        <f>ROUND(MAX((AD9)*{0.03;0.1;0.2;0.25;0.3;0.35;0.45}-{0;2520;16920;31920;52920;85920;181920},0),2)</f>
        <v>289.14</v>
      </c>
      <c r="AF9" s="97">
        <f>IFERROR(VLOOKUP(E:E,'（居民）工资表-10月'!E:AF,28,0)+VLOOKUP(E:E,'（居民）工资表-10月'!E:AG,29,0),0)</f>
        <v>259.32</v>
      </c>
      <c r="AG9" s="97">
        <f t="shared" si="9"/>
        <v>29.82</v>
      </c>
      <c r="AH9" s="107">
        <f t="shared" si="3"/>
        <v>5964.14</v>
      </c>
      <c r="AI9" s="108"/>
      <c r="AJ9" s="107">
        <f t="shared" si="4"/>
        <v>5964.14</v>
      </c>
      <c r="AK9" s="109"/>
      <c r="AL9" s="107">
        <f t="shared" si="5"/>
        <v>5993.96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L10+IFERROR(VLOOKUP($E:$E,'（居民）工资表-10月'!$E:$S,15,0),0)</f>
        <v>44734.04</v>
      </c>
      <c r="T10" s="91">
        <f>5000+IFERROR(VLOOKUP($E:$E,'（居民）工资表-10月'!$E:$T,16,0),0)</f>
        <v>50000</v>
      </c>
      <c r="U10" s="91">
        <f>Q10+IFERROR(VLOOKUP($E:$E,'（居民）工资表-10月'!$E:$U,17,0),0)</f>
        <v>6512.66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-11778.62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3783.6</v>
      </c>
      <c r="AI10" s="108"/>
      <c r="AJ10" s="107">
        <f t="shared" si="4"/>
        <v>3783.6</v>
      </c>
      <c r="AK10" s="109"/>
      <c r="AL10" s="107">
        <f t="shared" si="5"/>
        <v>3783.6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L11+IFERROR(VLOOKUP($E:$E,'（居民）工资表-10月'!$E:$S,15,0),0)</f>
        <v>89000</v>
      </c>
      <c r="T11" s="91">
        <f>5000+IFERROR(VLOOKUP($E:$E,'（居民）工资表-10月'!$E:$T,16,0),0)</f>
        <v>50000</v>
      </c>
      <c r="U11" s="91">
        <f>Q11+IFERROR(VLOOKUP($E:$E,'（居民）工资表-10月'!$E:$U,17,0),0)</f>
        <v>5895.76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33104.24</v>
      </c>
      <c r="AE11" s="96">
        <f>ROUND(MAX((AD11)*{0.03;0.1;0.2;0.25;0.3;0.35;0.45}-{0;2520;16920;31920;52920;85920;181920},0),2)</f>
        <v>993.13</v>
      </c>
      <c r="AF11" s="97">
        <f>IFERROR(VLOOKUP(E:E,'（居民）工资表-10月'!E:AF,28,0)+VLOOKUP(E:E,'（居民）工资表-10月'!E:AG,29,0),0)</f>
        <v>890.55</v>
      </c>
      <c r="AG11" s="97">
        <f t="shared" si="9"/>
        <v>102.58</v>
      </c>
      <c r="AH11" s="107">
        <f t="shared" si="3"/>
        <v>8316.58</v>
      </c>
      <c r="AI11" s="108"/>
      <c r="AJ11" s="107">
        <f t="shared" si="4"/>
        <v>8316.58</v>
      </c>
      <c r="AK11" s="109"/>
      <c r="AL11" s="107">
        <f t="shared" si="5"/>
        <v>8419.16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L12+IFERROR(VLOOKUP($E:$E,'（居民）工资表-10月'!$E:$S,15,0),0)</f>
        <v>74000</v>
      </c>
      <c r="T12" s="91">
        <f>5000+IFERROR(VLOOKUP($E:$E,'（居民）工资表-10月'!$E:$T,16,0),0)</f>
        <v>50000</v>
      </c>
      <c r="U12" s="91">
        <f>Q12+IFERROR(VLOOKUP($E:$E,'（居民）工资表-10月'!$E:$U,17,0),0)</f>
        <v>8025.76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R12+IFERROR(VLOOKUP($E:$E,'（居民）工资表-10月'!$E:$AC,25,0),0)</f>
        <v>0</v>
      </c>
      <c r="AD12" s="95">
        <f t="shared" si="2"/>
        <v>15974.24</v>
      </c>
      <c r="AE12" s="96">
        <f>ROUND(MAX((AD12)*{0.03;0.1;0.2;0.25;0.3;0.35;0.45}-{0;2520;16920;31920;52920;85920;181920},0),2)</f>
        <v>479.23</v>
      </c>
      <c r="AF12" s="97">
        <f>IFERROR(VLOOKUP(E:E,'（居民）工资表-10月'!E:AF,28,0)+VLOOKUP(E:E,'（居民）工资表-10月'!E:AG,29,0),0)</f>
        <v>428.04</v>
      </c>
      <c r="AG12" s="97">
        <f t="shared" si="9"/>
        <v>51.19</v>
      </c>
      <c r="AH12" s="107">
        <f t="shared" si="3"/>
        <v>6654.97</v>
      </c>
      <c r="AI12" s="108"/>
      <c r="AJ12" s="107">
        <f t="shared" si="4"/>
        <v>6654.97</v>
      </c>
      <c r="AK12" s="109"/>
      <c r="AL12" s="107">
        <f t="shared" si="5"/>
        <v>6706.16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>IF(SUMPRODUCT(N(E$1:E$6=E12))&gt;1,"重复","不")</f>
        <v>不</v>
      </c>
      <c r="AT12" s="116" t="str">
        <f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L13+IFERROR(VLOOKUP($E:$E,'（居民）工资表-10月'!$E:$S,15,0),0)</f>
        <v>78000</v>
      </c>
      <c r="T13" s="91">
        <f>5000+IFERROR(VLOOKUP($E:$E,'（居民）工资表-10月'!$E:$T,16,0),0)</f>
        <v>50000</v>
      </c>
      <c r="U13" s="91">
        <f>Q13+IFERROR(VLOOKUP($E:$E,'（居民）工资表-10月'!$E:$U,17,0),0)</f>
        <v>8035.46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R13+IFERROR(VLOOKUP($E:$E,'（居民）工资表-10月'!$E:$AC,25,0),0)</f>
        <v>0</v>
      </c>
      <c r="AD13" s="95">
        <f t="shared" si="2"/>
        <v>19964.54</v>
      </c>
      <c r="AE13" s="96">
        <f>ROUND(MAX((AD13)*{0.03;0.1;0.2;0.25;0.3;0.35;0.45}-{0;2520;16920;31920;52920;85920;181920},0),2)</f>
        <v>598.94</v>
      </c>
      <c r="AF13" s="97">
        <f>IFERROR(VLOOKUP(E:E,'（居民）工资表-10月'!E:AF,28,0)+VLOOKUP(E:E,'（居民）工资表-10月'!E:AG,29,0),0)</f>
        <v>532.75</v>
      </c>
      <c r="AG13" s="97">
        <f t="shared" si="9"/>
        <v>66.1900000000001</v>
      </c>
      <c r="AH13" s="107">
        <f t="shared" si="3"/>
        <v>7139.97</v>
      </c>
      <c r="AI13" s="108"/>
      <c r="AJ13" s="107">
        <f t="shared" si="4"/>
        <v>7139.97</v>
      </c>
      <c r="AK13" s="109"/>
      <c r="AL13" s="107">
        <f t="shared" si="5"/>
        <v>7206.16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IF(SUMPRODUCT(N(E$1:E$6=E13))&gt;1,"重复","不")</f>
        <v>不</v>
      </c>
      <c r="AT13" s="116" t="str">
        <f>IF(SUMPRODUCT(N(AO$1:AO$6=AO13))&gt;1,"重复","不")</f>
        <v>重复</v>
      </c>
      <c r="AU13" s="11"/>
      <c r="AV13" s="11"/>
    </row>
    <row r="14" s="12" customFormat="1" ht="18" customHeight="1" spans="1:48">
      <c r="A14" s="36">
        <v>11</v>
      </c>
      <c r="B14" s="37" t="s">
        <v>144</v>
      </c>
      <c r="C14" s="37" t="s">
        <v>183</v>
      </c>
      <c r="D14" s="37" t="s">
        <v>145</v>
      </c>
      <c r="E14" s="329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L14+IFERROR(VLOOKUP($E:$E,'（居民）工资表-10月'!$E:$S,15,0),0)</f>
        <v>60000</v>
      </c>
      <c r="T14" s="91">
        <f>5000+IFERROR(VLOOKUP($E:$E,'（居民）工资表-10月'!$E:$T,16,0),0)</f>
        <v>50000</v>
      </c>
      <c r="U14" s="91">
        <f>Q14+IFERROR(VLOOKUP($E:$E,'（居民）工资表-10月'!$E:$U,17,0),0)</f>
        <v>5555.76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R14+IFERROR(VLOOKUP($E:$E,'（居民）工资表-10月'!$E:$AC,25,0),0)</f>
        <v>0</v>
      </c>
      <c r="AD14" s="95">
        <f t="shared" si="2"/>
        <v>4444.24</v>
      </c>
      <c r="AE14" s="96">
        <f>ROUND(MAX((AD14)*{0.03;0.1;0.2;0.25;0.3;0.35;0.45}-{0;2520;16920;31920;52920;85920;181920},0),2)</f>
        <v>133.33</v>
      </c>
      <c r="AF14" s="97">
        <f>IFERROR(VLOOKUP(E:E,'（居民）工资表-10月'!E:AF,28,0)+VLOOKUP(E:E,'（居民）工资表-10月'!E:AG,29,0),0)</f>
        <v>119.73</v>
      </c>
      <c r="AG14" s="97">
        <f t="shared" si="9"/>
        <v>13.6</v>
      </c>
      <c r="AH14" s="107">
        <f t="shared" si="3"/>
        <v>5439.56</v>
      </c>
      <c r="AI14" s="108"/>
      <c r="AJ14" s="107">
        <f t="shared" si="4"/>
        <v>5439.56</v>
      </c>
      <c r="AK14" s="109"/>
      <c r="AL14" s="107">
        <f t="shared" si="5"/>
        <v>5453.16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IF(SUMPRODUCT(N(E$1:E$6=E14))&gt;1,"重复","不")</f>
        <v>不</v>
      </c>
      <c r="AT14" s="116" t="str">
        <f>IF(SUMPRODUCT(N(AO$1:AO$6=AO14))&gt;1,"重复","不")</f>
        <v>重复</v>
      </c>
      <c r="AU14" s="11"/>
      <c r="AV14" s="11"/>
    </row>
    <row r="15" s="12" customFormat="1" ht="18" customHeight="1" spans="1:48">
      <c r="A15" s="36">
        <v>12</v>
      </c>
      <c r="B15" s="37" t="s">
        <v>144</v>
      </c>
      <c r="C15" s="37" t="s">
        <v>185</v>
      </c>
      <c r="D15" s="37" t="s">
        <v>145</v>
      </c>
      <c r="E15" s="329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L15+IFERROR(VLOOKUP($E:$E,'（居民）工资表-10月'!$E:$S,15,0),0)</f>
        <v>100000</v>
      </c>
      <c r="T15" s="91">
        <f>5000+IFERROR(VLOOKUP($E:$E,'（居民）工资表-10月'!$E:$T,16,0),0)</f>
        <v>50000</v>
      </c>
      <c r="U15" s="91">
        <f>Q15+IFERROR(VLOOKUP($E:$E,'（居民）工资表-10月'!$E:$U,17,0),0)</f>
        <v>5589.16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R15+IFERROR(VLOOKUP($E:$E,'（居民）工资表-10月'!$E:$AC,25,0),0)</f>
        <v>0</v>
      </c>
      <c r="AD15" s="95">
        <f t="shared" si="2"/>
        <v>44410.84</v>
      </c>
      <c r="AE15" s="96">
        <f>ROUND(MAX((AD15)*{0.03;0.1;0.2;0.25;0.3;0.35;0.45}-{0;2520;16920;31920;52920;85920;181920},0),2)</f>
        <v>1921.08</v>
      </c>
      <c r="AF15" s="97">
        <f>IFERROR(VLOOKUP(E:E,'（居民）工资表-10月'!E:AF,28,0)+VLOOKUP(E:E,'（居民）工资表-10月'!E:AG,29,0),0)</f>
        <v>1476.08</v>
      </c>
      <c r="AG15" s="97">
        <f t="shared" si="9"/>
        <v>445</v>
      </c>
      <c r="AH15" s="107">
        <f t="shared" si="3"/>
        <v>9005</v>
      </c>
      <c r="AI15" s="108"/>
      <c r="AJ15" s="107">
        <f t="shared" si="4"/>
        <v>9005</v>
      </c>
      <c r="AK15" s="109"/>
      <c r="AL15" s="107">
        <f t="shared" si="5"/>
        <v>9450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IF(SUMPRODUCT(N(E$1:E$6=E15))&gt;1,"重复","不")</f>
        <v>不</v>
      </c>
      <c r="AT15" s="116" t="str">
        <f>IF(SUMPRODUCT(N(AO$1:AO$6=AO15))&gt;1,"重复","不")</f>
        <v>重复</v>
      </c>
      <c r="AU15" s="11"/>
      <c r="AV15" s="11"/>
    </row>
    <row r="16" s="12" customFormat="1" ht="18" customHeight="1" spans="1:48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L16+IFERROR(VLOOKUP($E:$E,'（居民）工资表-10月'!$E:$S,15,0),0)</f>
        <v>58710.65</v>
      </c>
      <c r="T16" s="91">
        <f>5000+IFERROR(VLOOKUP($E:$E,'（居民）工资表-10月'!$E:$T,16,0),0)</f>
        <v>45000</v>
      </c>
      <c r="U16" s="91">
        <f>Q16+IFERROR(VLOOKUP($E:$E,'（居民）工资表-10月'!$E:$U,17,0),0)</f>
        <v>5000.94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R16+IFERROR(VLOOKUP($E:$E,'（居民）工资表-10月'!$E:$AC,25,0),0)</f>
        <v>0</v>
      </c>
      <c r="AD16" s="95">
        <f t="shared" si="2"/>
        <v>8709.71</v>
      </c>
      <c r="AE16" s="96">
        <f>ROUND(MAX((AD16)*{0.03;0.1;0.2;0.25;0.3;0.35;0.45}-{0;2520;16920;31920;52920;85920;181920},0),2)</f>
        <v>261.29</v>
      </c>
      <c r="AF16" s="97">
        <f>IFERROR(VLOOKUP(E:E,'（居民）工资表-10月'!E:AF,28,0)+VLOOKUP(E:E,'（居民）工资表-10月'!E:AG,29,0),0)</f>
        <v>199.87</v>
      </c>
      <c r="AG16" s="97">
        <f t="shared" si="9"/>
        <v>61.42</v>
      </c>
      <c r="AH16" s="107">
        <f t="shared" si="3"/>
        <v>6986.01</v>
      </c>
      <c r="AI16" s="108"/>
      <c r="AJ16" s="107">
        <f t="shared" si="4"/>
        <v>6986.01</v>
      </c>
      <c r="AK16" s="109"/>
      <c r="AL16" s="107">
        <f t="shared" si="5"/>
        <v>7047.43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IF(SUMPRODUCT(N(E$1:E$6=E16))&gt;1,"重复","不")</f>
        <v>不</v>
      </c>
      <c r="AT16" s="116" t="str">
        <f>IF(SUMPRODUCT(N(AO$1:AO$6=AO16))&gt;1,"重复","不")</f>
        <v>重复</v>
      </c>
      <c r="AU16" s="11"/>
      <c r="AV16" s="11"/>
    </row>
    <row r="17" s="12" customFormat="1" ht="18" customHeight="1" spans="1:48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  <c r="AU17" s="11"/>
      <c r="AV17" s="11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SUM(L4:L16)</f>
        <v>122707.97</v>
      </c>
      <c r="M18" s="74">
        <f>SUM(M4:M16)</f>
        <v>4763.37</v>
      </c>
      <c r="N18" s="74">
        <f>SUM(N4:N16)</f>
        <v>1331.12</v>
      </c>
      <c r="O18" s="74">
        <f t="shared" ref="O18:AL18" si="10">SUM(O4:O16)</f>
        <v>251.38</v>
      </c>
      <c r="P18" s="74">
        <f t="shared" si="10"/>
        <v>2232.9</v>
      </c>
      <c r="Q18" s="74">
        <f t="shared" si="10"/>
        <v>8578.77</v>
      </c>
      <c r="R18" s="74">
        <f t="shared" si="10"/>
        <v>0</v>
      </c>
      <c r="S18" s="74">
        <f t="shared" si="10"/>
        <v>1210364.69</v>
      </c>
      <c r="T18" s="74">
        <f t="shared" si="10"/>
        <v>645000</v>
      </c>
      <c r="U18" s="74">
        <f t="shared" si="10"/>
        <v>86073.98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479290.71</v>
      </c>
      <c r="AE18" s="74">
        <f t="shared" si="10"/>
        <v>40379.68</v>
      </c>
      <c r="AF18" s="74">
        <f t="shared" si="10"/>
        <v>34031.82</v>
      </c>
      <c r="AG18" s="74">
        <f t="shared" si="10"/>
        <v>6347.86</v>
      </c>
      <c r="AH18" s="74">
        <f t="shared" si="10"/>
        <v>107781.34</v>
      </c>
      <c r="AI18" s="74">
        <f t="shared" si="10"/>
        <v>0</v>
      </c>
      <c r="AJ18" s="74">
        <f t="shared" si="10"/>
        <v>107781.34</v>
      </c>
      <c r="AK18" s="74">
        <f t="shared" si="10"/>
        <v>0</v>
      </c>
      <c r="AL18" s="74">
        <f t="shared" si="10"/>
        <v>114129.2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107781.34</v>
      </c>
      <c r="C23" s="48">
        <f>AG18</f>
        <v>6347.86</v>
      </c>
      <c r="D23" s="48">
        <f>AK18</f>
        <v>0</v>
      </c>
      <c r="E23" s="48">
        <f>B23+C23+D23</f>
        <v>114129.2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$A4:$XFD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>ROUND(SUM(M4:P4),2)</f>
        <v>621.03</v>
      </c>
      <c r="R4" s="70">
        <v>0</v>
      </c>
      <c r="S4" s="92">
        <f>L4</f>
        <v>8000</v>
      </c>
      <c r="T4" s="93">
        <v>5000</v>
      </c>
      <c r="U4" s="93">
        <f>Q4</f>
        <v>621.03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>IF((AE4-AF4)&lt;0,0,AE4-AF4)</f>
        <v>71.37</v>
      </c>
      <c r="AH4" s="109">
        <f>ROUND(IF((L4-Q4-AG4)&lt;0,0,(L4-Q4-AG4)),2)</f>
        <v>7307.6</v>
      </c>
      <c r="AI4" s="108"/>
      <c r="AJ4" s="109">
        <f>AH4+AI4</f>
        <v>7307.6</v>
      </c>
      <c r="AK4" s="109"/>
      <c r="AL4" s="109">
        <f>AJ4+AG4+AK4</f>
        <v>7378.97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70">
        <f t="shared" ref="Q5:Q19" si="0">ROUND(SUM(M5:P5),2)</f>
        <v>662.24</v>
      </c>
      <c r="R5" s="70">
        <v>0</v>
      </c>
      <c r="S5" s="92">
        <f t="shared" ref="S5:S21" si="1">L5</f>
        <v>6100</v>
      </c>
      <c r="T5" s="93">
        <v>5000</v>
      </c>
      <c r="U5" s="93">
        <f t="shared" ref="U5:U21" si="2">Q5</f>
        <v>662.24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437.76</v>
      </c>
      <c r="AE5" s="99">
        <f>ROUND(MAX((AD5)*{0.03;0.1;0.2;0.25;0.3;0.35;0.45}-{0;2520;16920;31920;52920;85920;181920},0),2)</f>
        <v>13.13</v>
      </c>
      <c r="AF5" s="100">
        <v>0</v>
      </c>
      <c r="AG5" s="100">
        <f t="shared" ref="AG5:AG21" si="6">IF((AE5-AF5)&lt;0,0,AE5-AF5)</f>
        <v>13.13</v>
      </c>
      <c r="AH5" s="109">
        <f t="shared" ref="AH5:AH21" si="7">ROUND(IF((L5-Q5-AG5)&lt;0,0,(L5-Q5-AG5)),2)</f>
        <v>5424.63</v>
      </c>
      <c r="AI5" s="108"/>
      <c r="AJ5" s="109">
        <f t="shared" ref="AJ5:AJ21" si="8">AH5+AI5</f>
        <v>5424.63</v>
      </c>
      <c r="AK5" s="109"/>
      <c r="AL5" s="109">
        <f t="shared" ref="AL5:AL21" si="9">AJ5+AG5+AK5</f>
        <v>5437.76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4447.97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-1216.4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3783.6</v>
      </c>
      <c r="AI10" s="108"/>
      <c r="AJ10" s="109">
        <f t="shared" si="8"/>
        <v>3783.6</v>
      </c>
      <c r="AK10" s="109"/>
      <c r="AL10" s="109">
        <f t="shared" si="9"/>
        <v>3783.6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183</v>
      </c>
      <c r="D14" s="37" t="s">
        <v>145</v>
      </c>
      <c r="E14" s="329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185</v>
      </c>
      <c r="D15" s="37" t="s">
        <v>145</v>
      </c>
      <c r="E15" s="329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7392.73</v>
      </c>
      <c r="M16" s="71">
        <v>510.72</v>
      </c>
      <c r="N16" s="71">
        <v>102.28</v>
      </c>
      <c r="O16" s="71">
        <v>19.15</v>
      </c>
      <c r="P16" s="71">
        <v>110.5</v>
      </c>
      <c r="Q16" s="70">
        <f t="shared" si="0"/>
        <v>742.65</v>
      </c>
      <c r="R16" s="70">
        <v>0</v>
      </c>
      <c r="S16" s="92">
        <f t="shared" si="1"/>
        <v>7392.73</v>
      </c>
      <c r="T16" s="93">
        <v>5000</v>
      </c>
      <c r="U16" s="93">
        <f t="shared" si="2"/>
        <v>742.65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1650.08</v>
      </c>
      <c r="AE16" s="99">
        <f>ROUND(MAX((AD16)*{0.03;0.1;0.2;0.25;0.3;0.35;0.45}-{0;2520;16920;31920;52920;85920;181920},0),2)</f>
        <v>49.5</v>
      </c>
      <c r="AF16" s="100">
        <v>0</v>
      </c>
      <c r="AG16" s="100">
        <f t="shared" si="6"/>
        <v>49.5</v>
      </c>
      <c r="AH16" s="109">
        <f t="shared" si="7"/>
        <v>6600.58</v>
      </c>
      <c r="AI16" s="108"/>
      <c r="AJ16" s="109">
        <f t="shared" si="8"/>
        <v>6600.58</v>
      </c>
      <c r="AK16" s="109"/>
      <c r="AL16" s="109">
        <f t="shared" si="9"/>
        <v>6650.08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/>
      <c r="B17" s="37"/>
      <c r="C17" s="37"/>
      <c r="D17" s="37"/>
      <c r="E17" s="37"/>
      <c r="F17" s="127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70"/>
      <c r="R17" s="70"/>
      <c r="S17" s="92"/>
      <c r="T17" s="93"/>
      <c r="U17" s="93"/>
      <c r="V17" s="70"/>
      <c r="W17" s="70"/>
      <c r="X17" s="70"/>
      <c r="Y17" s="70"/>
      <c r="Z17" s="70"/>
      <c r="AA17" s="70"/>
      <c r="AB17" s="92"/>
      <c r="AC17" s="92"/>
      <c r="AD17" s="98"/>
      <c r="AE17" s="99"/>
      <c r="AF17" s="100"/>
      <c r="AG17" s="100"/>
      <c r="AH17" s="109"/>
      <c r="AI17" s="108"/>
      <c r="AJ17" s="109"/>
      <c r="AK17" s="109"/>
      <c r="AL17" s="109"/>
      <c r="AM17" s="109"/>
      <c r="AN17" s="109"/>
      <c r="AO17" s="109"/>
      <c r="AP17" s="109"/>
      <c r="AQ17" s="109"/>
      <c r="AR17" s="117"/>
      <c r="AS17" s="117"/>
      <c r="AT17" s="117"/>
    </row>
    <row r="18" s="12" customFormat="1" ht="18" customHeight="1" spans="1:46">
      <c r="A18" s="36"/>
      <c r="B18" s="37"/>
      <c r="C18" s="37"/>
      <c r="D18" s="37"/>
      <c r="E18" s="37"/>
      <c r="F18" s="127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70"/>
      <c r="R18" s="70"/>
      <c r="S18" s="92"/>
      <c r="T18" s="93"/>
      <c r="U18" s="93"/>
      <c r="V18" s="70"/>
      <c r="W18" s="70"/>
      <c r="X18" s="70"/>
      <c r="Y18" s="70"/>
      <c r="Z18" s="70"/>
      <c r="AA18" s="70"/>
      <c r="AB18" s="92"/>
      <c r="AC18" s="92"/>
      <c r="AD18" s="98"/>
      <c r="AE18" s="99"/>
      <c r="AF18" s="100"/>
      <c r="AG18" s="100"/>
      <c r="AH18" s="109"/>
      <c r="AI18" s="108"/>
      <c r="AJ18" s="109"/>
      <c r="AK18" s="109"/>
      <c r="AL18" s="109"/>
      <c r="AM18" s="109"/>
      <c r="AN18" s="109"/>
      <c r="AO18" s="109"/>
      <c r="AP18" s="109"/>
      <c r="AQ18" s="109"/>
      <c r="AR18" s="117"/>
      <c r="AS18" s="117"/>
      <c r="AT18" s="117"/>
    </row>
    <row r="19" s="13" customFormat="1" ht="18" customHeight="1" spans="1:46">
      <c r="A19" s="41"/>
      <c r="B19" s="42" t="s">
        <v>189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122500.7</v>
      </c>
      <c r="M19" s="74">
        <f t="shared" si="13"/>
        <v>4959.05</v>
      </c>
      <c r="N19" s="74">
        <f t="shared" si="13"/>
        <v>1341.92</v>
      </c>
      <c r="O19" s="74">
        <f t="shared" si="13"/>
        <v>258.72</v>
      </c>
      <c r="P19" s="74">
        <f t="shared" si="13"/>
        <v>2232.9</v>
      </c>
      <c r="Q19" s="74">
        <f t="shared" si="13"/>
        <v>8792.59</v>
      </c>
      <c r="R19" s="74">
        <f t="shared" si="13"/>
        <v>0</v>
      </c>
      <c r="S19" s="74">
        <f t="shared" si="13"/>
        <v>122500.7</v>
      </c>
      <c r="T19" s="74">
        <f t="shared" si="13"/>
        <v>65000</v>
      </c>
      <c r="U19" s="74">
        <f t="shared" si="13"/>
        <v>8792.59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48708.11</v>
      </c>
      <c r="AE19" s="74">
        <f t="shared" si="13"/>
        <v>1497.71</v>
      </c>
      <c r="AF19" s="74">
        <f t="shared" si="13"/>
        <v>0</v>
      </c>
      <c r="AG19" s="74">
        <f t="shared" si="13"/>
        <v>1497.71</v>
      </c>
      <c r="AH19" s="74">
        <f t="shared" si="13"/>
        <v>112210.4</v>
      </c>
      <c r="AI19" s="126">
        <f t="shared" si="13"/>
        <v>0</v>
      </c>
      <c r="AJ19" s="74">
        <f t="shared" si="13"/>
        <v>112210.4</v>
      </c>
      <c r="AK19" s="74">
        <f t="shared" si="13"/>
        <v>0</v>
      </c>
      <c r="AL19" s="74">
        <f t="shared" si="13"/>
        <v>113708.11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133</v>
      </c>
      <c r="C23" s="47" t="s">
        <v>190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112210.4</v>
      </c>
      <c r="C24" s="48">
        <f>AG19</f>
        <v>1497.71</v>
      </c>
      <c r="D24" s="48">
        <f>AK19</f>
        <v>0</v>
      </c>
      <c r="E24" s="48">
        <f>B24+C24+D24</f>
        <v>113708.11</v>
      </c>
    </row>
    <row r="25" spans="2:5">
      <c r="B25" s="49"/>
      <c r="C25" s="49"/>
      <c r="D25" s="49"/>
      <c r="E25" s="49"/>
    </row>
    <row r="26" s="14" customFormat="1" spans="1:35">
      <c r="A26" s="51" t="s">
        <v>191</v>
      </c>
      <c r="B26" s="52" t="s">
        <v>192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193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194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195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196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197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198</v>
      </c>
    </row>
    <row r="34" spans="2:2">
      <c r="B34" s="59" t="s">
        <v>199</v>
      </c>
    </row>
    <row r="35" spans="2:2">
      <c r="B35" s="59" t="s">
        <v>200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f>VLOOKUP(C4,[3]Sheet1!$B$2:$F$14,5,0)</f>
        <v>12.92</v>
      </c>
      <c r="P4" s="71">
        <v>177.4</v>
      </c>
      <c r="Q4" s="89">
        <f t="shared" ref="Q4:Q19" si="0">ROUND(SUM(M4:P4),2)</f>
        <v>621.03</v>
      </c>
      <c r="R4" s="70">
        <v>0</v>
      </c>
      <c r="S4" s="90">
        <f>L4+IFERROR(VLOOKUP($E:$E,'（居民）工资表-11月'!$E:$S,15,0),0)</f>
        <v>88000</v>
      </c>
      <c r="T4" s="91">
        <f>5000+IFERROR(VLOOKUP($E:$E,'（居民）工资表-11月'!$E:$T,16,0),0)</f>
        <v>55000</v>
      </c>
      <c r="U4" s="91">
        <f>Q4+IFERROR(VLOOKUP($E:$E,'（居民）工资表-11月'!$E:$U,17,0),0)</f>
        <v>6721.47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-2521.47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716.99</v>
      </c>
      <c r="AG4" s="97">
        <f t="shared" ref="AG4:AG19" si="3">IF((AE4-AF4)&lt;0,0,AE4-AF4)</f>
        <v>0</v>
      </c>
      <c r="AH4" s="107">
        <f t="shared" ref="AH4:AH19" si="4">ROUND(IF((L4-Q4-AG4)&lt;0,0,(L4-Q4-AG4)),2)</f>
        <v>7378.97</v>
      </c>
      <c r="AI4" s="108"/>
      <c r="AJ4" s="107">
        <f t="shared" ref="AJ4:AJ19" si="5">AH4+AI4</f>
        <v>7378.97</v>
      </c>
      <c r="AK4" s="109"/>
      <c r="AL4" s="107">
        <f t="shared" ref="AL4:AL19" si="6">AJ4+AG4+AK4</f>
        <v>7378.97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IF(SUMPRODUCT(N(E$1:E$17=E4))&gt;1,"重复","不")</f>
        <v>不</v>
      </c>
      <c r="AT4" s="116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f>VLOOKUP(C5,[3]Sheet1!$B$2:$F$14,5,0)</f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L5+IFERROR(VLOOKUP($E:$E,'（居民）工资表-11月'!$E:$S,15,0),0)</f>
        <v>66420</v>
      </c>
      <c r="T5" s="91">
        <f>5000+IFERROR(VLOOKUP($E:$E,'（居民）工资表-11月'!$E:$T,16,0),0)</f>
        <v>55000</v>
      </c>
      <c r="U5" s="91">
        <f>Q5+IFERROR(VLOOKUP($E:$E,'（居民）工资表-11月'!$E:$U,17,0),0)</f>
        <v>7454.56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3965.44</v>
      </c>
      <c r="AE5" s="96">
        <f>ROUND(MAX((AD5)*{0.03;0.1;0.2;0.25;0.3;0.35;0.45}-{0;2520;16920;31920;52920;85920;181920},0),2)</f>
        <v>118.96</v>
      </c>
      <c r="AF5" s="97">
        <f>IFERROR(VLOOKUP(E:E,'（居民）工资表-11月'!E:AF,28,0)+VLOOKUP(E:E,'（居民）工资表-11月'!E:AG,29,0),0)</f>
        <v>105.83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IF(SUMPRODUCT(N(E$1:E$17=E5))&gt;1,"重复","不")</f>
        <v>不</v>
      </c>
      <c r="AT5" s="116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f>VLOOKUP(C6,[3]Sheet1!$B$2:$F$14,5,0)</f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L6+IFERROR(VLOOKUP($E:$E,'（居民）工资表-11月'!$E:$S,15,0),0)</f>
        <v>330660</v>
      </c>
      <c r="T6" s="91">
        <f>5000+IFERROR(VLOOKUP($E:$E,'（居民）工资表-11月'!$E:$T,16,0),0)</f>
        <v>55000</v>
      </c>
      <c r="U6" s="91">
        <f>Q6+IFERROR(VLOOKUP($E:$E,'（居民）工资表-11月'!$E:$U,17,0),0)</f>
        <v>10552.21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265107.79</v>
      </c>
      <c r="AE6" s="96">
        <f>ROUND(MAX((AD6)*{0.03;0.1;0.2;0.25;0.3;0.35;0.45}-{0;2520;16920;31920;52920;85920;181920},0),2)</f>
        <v>36101.56</v>
      </c>
      <c r="AF6" s="97">
        <f>IFERROR(VLOOKUP(E:E,'（居民）工资表-11月'!E:AF,28,0)+VLOOKUP(E:E,'（居民）工资表-11月'!E:AG,29,0),0)</f>
        <v>31282.22</v>
      </c>
      <c r="AG6" s="97">
        <f t="shared" si="3"/>
        <v>4819.34</v>
      </c>
      <c r="AH6" s="107">
        <f t="shared" si="4"/>
        <v>24277.34</v>
      </c>
      <c r="AI6" s="108"/>
      <c r="AJ6" s="107">
        <f t="shared" si="5"/>
        <v>24277.34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IF(SUMPRODUCT(N(E$1:E$17=E6))&gt;1,"重复","不")</f>
        <v>不</v>
      </c>
      <c r="AT6" s="116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f>VLOOKUP(C7,[3]Sheet1!$B$2:$F$14,5,0)</f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L7+IFERROR(VLOOKUP($E:$E,'（居民）工资表-11月'!$E:$S,15,0),0)</f>
        <v>101000</v>
      </c>
      <c r="T7" s="91">
        <f>5000+IFERROR(VLOOKUP($E:$E,'（居民）工资表-11月'!$E:$T,16,0),0)</f>
        <v>55000</v>
      </c>
      <c r="U7" s="91">
        <f>Q7+IFERROR(VLOOKUP($E:$E,'（居民）工资表-11月'!$E:$U,17,0),0)</f>
        <v>6139.16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39860.84</v>
      </c>
      <c r="AE7" s="96">
        <f>ROUND(MAX((AD7)*{0.03;0.1;0.2;0.25;0.3;0.35;0.45}-{0;2520;16920;31920;52920;85920;181920},0),2)</f>
        <v>1466.08</v>
      </c>
      <c r="AF7" s="97">
        <f>IFERROR(VLOOKUP(E:E,'（居民）工资表-11月'!E:AF,28,0)+VLOOKUP(E:E,'（居民）工资表-11月'!E:AG,29,0),0)</f>
        <v>1121.08</v>
      </c>
      <c r="AG7" s="97">
        <f t="shared" si="3"/>
        <v>345</v>
      </c>
      <c r="AH7" s="107">
        <f t="shared" si="4"/>
        <v>8105</v>
      </c>
      <c r="AI7" s="108"/>
      <c r="AJ7" s="107">
        <f t="shared" si="5"/>
        <v>8105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IF(SUMPRODUCT(N(E$1:E$17=E7))&gt;1,"重复","不")</f>
        <v>不</v>
      </c>
      <c r="AT7" s="116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f>VLOOKUP(C8,[3]Sheet1!$B$2:$F$14,5,0)</f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L8+IFERROR(VLOOKUP($E:$E,'（居民）工资表-11月'!$E:$S,15,0),0)</f>
        <v>118500</v>
      </c>
      <c r="T8" s="91">
        <f>5000+IFERROR(VLOOKUP($E:$E,'（居民）工资表-11月'!$E:$T,16,0),0)</f>
        <v>55000</v>
      </c>
      <c r="U8" s="91">
        <f>Q8+IFERROR(VLOOKUP($E:$E,'（居民）工资表-11月'!$E:$U,17,0),0)</f>
        <v>8819.6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54680.4</v>
      </c>
      <c r="AE8" s="96">
        <f>ROUND(MAX((AD8)*{0.03;0.1;0.2;0.25;0.3;0.35;0.45}-{0;2520;16920;31920;52920;85920;181920},0),2)</f>
        <v>2948.04</v>
      </c>
      <c r="AF8" s="97">
        <f>IFERROR(VLOOKUP(E:E,'（居民）工资表-11月'!E:AF,28,0)+VLOOKUP(E:E,'（居民）工资表-11月'!E:AG,29,0),0)</f>
        <v>2477.42</v>
      </c>
      <c r="AG8" s="97">
        <f t="shared" si="3"/>
        <v>470.62</v>
      </c>
      <c r="AH8" s="107">
        <f t="shared" si="4"/>
        <v>9235.54</v>
      </c>
      <c r="AI8" s="108"/>
      <c r="AJ8" s="107">
        <f t="shared" si="5"/>
        <v>9235.54</v>
      </c>
      <c r="AK8" s="109"/>
      <c r="AL8" s="107">
        <f t="shared" si="6"/>
        <v>9706.16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IF(SUMPRODUCT(N(E$1:E$17=E8))&gt;1,"重复","不")</f>
        <v>不</v>
      </c>
      <c r="AT8" s="116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f>VLOOKUP(C9,[3]Sheet1!$B$2:$F$14,5,0)</f>
        <v>12.08</v>
      </c>
      <c r="P9" s="71">
        <v>100</v>
      </c>
      <c r="Q9" s="89">
        <f t="shared" si="0"/>
        <v>529.78</v>
      </c>
      <c r="R9" s="70">
        <v>0</v>
      </c>
      <c r="S9" s="90">
        <f>L9+IFERROR(VLOOKUP($E:$E,'（居民）工资表-11月'!$E:$S,15,0),0)</f>
        <v>71500</v>
      </c>
      <c r="T9" s="91">
        <f>5000+IFERROR(VLOOKUP($E:$E,'（居民）工资表-11月'!$E:$T,16,0),0)</f>
        <v>55000</v>
      </c>
      <c r="U9" s="91">
        <f>Q9+IFERROR(VLOOKUP($E:$E,'（居民）工资表-11月'!$E:$U,17,0),0)</f>
        <v>5891.69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10608.31</v>
      </c>
      <c r="AE9" s="96">
        <f>ROUND(MAX((AD9)*{0.03;0.1;0.2;0.25;0.3;0.35;0.45}-{0;2520;16920;31920;52920;85920;181920},0),2)</f>
        <v>318.25</v>
      </c>
      <c r="AF9" s="97">
        <f>IFERROR(VLOOKUP(E:E,'（居民）工资表-11月'!E:AF,28,0)+VLOOKUP(E:E,'（居民）工资表-11月'!E:AG,29,0),0)</f>
        <v>289.14</v>
      </c>
      <c r="AG9" s="97">
        <f t="shared" si="3"/>
        <v>29.11</v>
      </c>
      <c r="AH9" s="107">
        <f t="shared" si="4"/>
        <v>5941.11</v>
      </c>
      <c r="AI9" s="108"/>
      <c r="AJ9" s="107">
        <f t="shared" si="5"/>
        <v>5941.11</v>
      </c>
      <c r="AK9" s="109"/>
      <c r="AL9" s="107">
        <f t="shared" si="6"/>
        <v>5970.22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IF(SUMPRODUCT(N(E$1:E$17=E9))&gt;1,"重复","不")</f>
        <v>不</v>
      </c>
      <c r="AT9" s="116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f>VLOOKUP(C10,[3]Sheet1!$B$2:$F$14,5,0)</f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L10+IFERROR(VLOOKUP($E:$E,'（居民）工资表-11月'!$E:$S,15,0),0)</f>
        <v>49182.01</v>
      </c>
      <c r="T10" s="91">
        <f>5000+IFERROR(VLOOKUP($E:$E,'（居民）工资表-11月'!$E:$T,16,0),0)</f>
        <v>55000</v>
      </c>
      <c r="U10" s="91">
        <f>Q10+IFERROR(VLOOKUP($E:$E,'（居民）工资表-11月'!$E:$U,17,0),0)</f>
        <v>7177.03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-12995.02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IF(SUMPRODUCT(N(E$1:E$17=E10))&gt;1,"重复","不")</f>
        <v>不</v>
      </c>
      <c r="AT10" s="116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f>VLOOKUP(C11,[3]Sheet1!$B$2:$F$14,5,0)</f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L11+IFERROR(VLOOKUP($E:$E,'（居民）工资表-11月'!$E:$S,15,0),0)</f>
        <v>98000</v>
      </c>
      <c r="T11" s="91">
        <f>5000+IFERROR(VLOOKUP($E:$E,'（居民）工资表-11月'!$E:$T,16,0),0)</f>
        <v>55000</v>
      </c>
      <c r="U11" s="91">
        <f>Q11+IFERROR(VLOOKUP($E:$E,'（居民）工资表-11月'!$E:$U,17,0),0)</f>
        <v>6476.6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36523.4</v>
      </c>
      <c r="AE11" s="96">
        <f>ROUND(MAX((AD11)*{0.03;0.1;0.2;0.25;0.3;0.35;0.45}-{0;2520;16920;31920;52920;85920;181920},0),2)</f>
        <v>1132.34</v>
      </c>
      <c r="AF11" s="97">
        <f>IFERROR(VLOOKUP(E:E,'（居民）工资表-11月'!E:AF,28,0)+VLOOKUP(E:E,'（居民）工资表-11月'!E:AG,29,0),0)</f>
        <v>993.13</v>
      </c>
      <c r="AG11" s="97">
        <f t="shared" si="3"/>
        <v>139.21</v>
      </c>
      <c r="AH11" s="107">
        <f t="shared" si="4"/>
        <v>8279.95</v>
      </c>
      <c r="AI11" s="108"/>
      <c r="AJ11" s="107">
        <f t="shared" si="5"/>
        <v>8279.95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IF(SUMPRODUCT(N(E$1:E$17=E11))&gt;1,"重复","不")</f>
        <v>不</v>
      </c>
      <c r="AT11" s="116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f>VLOOKUP(C12,[3]Sheet1!$B$2:$F$14,5,0)</f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L12+IFERROR(VLOOKUP($E:$E,'（居民）工资表-11月'!$E:$S,15,0),0)</f>
        <v>81500</v>
      </c>
      <c r="T12" s="91">
        <f>5000+IFERROR(VLOOKUP($E:$E,'（居民）工资表-11月'!$E:$T,16,0),0)</f>
        <v>55000</v>
      </c>
      <c r="U12" s="91">
        <f>Q12+IFERROR(VLOOKUP($E:$E,'（居民）工资表-11月'!$E:$U,17,0),0)</f>
        <v>8819.6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17680.4</v>
      </c>
      <c r="AE12" s="96">
        <f>ROUND(MAX((AD12)*{0.03;0.1;0.2;0.25;0.3;0.35;0.45}-{0;2520;16920;31920;52920;85920;181920},0),2)</f>
        <v>530.41</v>
      </c>
      <c r="AF12" s="97">
        <f>IFERROR(VLOOKUP(E:E,'（居民）工资表-11月'!E:AF,28,0)+VLOOKUP(E:E,'（居民）工资表-11月'!E:AG,29,0),0)</f>
        <v>479.23</v>
      </c>
      <c r="AG12" s="97">
        <f t="shared" si="3"/>
        <v>51.1799999999999</v>
      </c>
      <c r="AH12" s="107">
        <f t="shared" si="4"/>
        <v>6654.98</v>
      </c>
      <c r="AI12" s="108"/>
      <c r="AJ12" s="107">
        <f t="shared" si="5"/>
        <v>6654.98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IF(SUMPRODUCT(N(E$1:E$17=E12))&gt;1,"重复","不")</f>
        <v>不</v>
      </c>
      <c r="AT12" s="116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f>VLOOKUP(C13,[3]Sheet1!$B$2:$F$14,5,0)</f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L13+IFERROR(VLOOKUP($E:$E,'（居民）工资表-11月'!$E:$S,15,0),0)</f>
        <v>86000</v>
      </c>
      <c r="T13" s="91">
        <f>5000+IFERROR(VLOOKUP($E:$E,'（居民）工资表-11月'!$E:$T,16,0),0)</f>
        <v>55000</v>
      </c>
      <c r="U13" s="91">
        <f>Q13+IFERROR(VLOOKUP($E:$E,'（居民）工资表-11月'!$E:$U,17,0),0)</f>
        <v>8829.3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22170.7</v>
      </c>
      <c r="AE13" s="96">
        <f>ROUND(MAX((AD13)*{0.03;0.1;0.2;0.25;0.3;0.35;0.45}-{0;2520;16920;31920;52920;85920;181920},0),2)</f>
        <v>665.12</v>
      </c>
      <c r="AF13" s="97">
        <f>IFERROR(VLOOKUP(E:E,'（居民）工资表-11月'!E:AF,28,0)+VLOOKUP(E:E,'（居民）工资表-11月'!E:AG,29,0),0)</f>
        <v>598.94</v>
      </c>
      <c r="AG13" s="97">
        <f t="shared" si="3"/>
        <v>66.1799999999999</v>
      </c>
      <c r="AH13" s="107">
        <f t="shared" si="4"/>
        <v>7139.98</v>
      </c>
      <c r="AI13" s="108"/>
      <c r="AJ13" s="107">
        <f t="shared" si="5"/>
        <v>7139.98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IF(SUMPRODUCT(N(E$1:E$17=E13))&gt;1,"重复","不")</f>
        <v>不</v>
      </c>
      <c r="AT13" s="116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183</v>
      </c>
      <c r="D14" s="37" t="s">
        <v>145</v>
      </c>
      <c r="E14" s="329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f>VLOOKUP(C14,[3]Sheet1!$B$2:$F$14,5,0)</f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L14+IFERROR(VLOOKUP($E:$E,'（居民）工资表-11月'!$E:$S,15,0),0)</f>
        <v>66000</v>
      </c>
      <c r="T14" s="91">
        <f>5000+IFERROR(VLOOKUP($E:$E,'（居民）工资表-11月'!$E:$T,16,0),0)</f>
        <v>55000</v>
      </c>
      <c r="U14" s="91">
        <f>Q14+IFERROR(VLOOKUP($E:$E,'（居民）工资表-11月'!$E:$U,17,0),0)</f>
        <v>6102.6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4897.4</v>
      </c>
      <c r="AE14" s="96">
        <f>ROUND(MAX((AD14)*{0.03;0.1;0.2;0.25;0.3;0.35;0.45}-{0;2520;16920;31920;52920;85920;181920},0),2)</f>
        <v>146.92</v>
      </c>
      <c r="AF14" s="97">
        <f>IFERROR(VLOOKUP(E:E,'（居民）工资表-11月'!E:AF,28,0)+VLOOKUP(E:E,'（居民）工资表-11月'!E:AG,29,0),0)</f>
        <v>133.33</v>
      </c>
      <c r="AG14" s="97">
        <f t="shared" si="3"/>
        <v>13.59</v>
      </c>
      <c r="AH14" s="107">
        <f t="shared" si="4"/>
        <v>5439.57</v>
      </c>
      <c r="AI14" s="108"/>
      <c r="AJ14" s="107">
        <f t="shared" si="5"/>
        <v>5439.57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IF(SUMPRODUCT(N(E$1:E$17=E14))&gt;1,"重复","不")</f>
        <v>不</v>
      </c>
      <c r="AT14" s="116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185</v>
      </c>
      <c r="D15" s="37" t="s">
        <v>145</v>
      </c>
      <c r="E15" s="329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f>VLOOKUP(C15,[3]Sheet1!$B$2:$F$14,5,0)</f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L15+IFERROR(VLOOKUP($E:$E,'（居民）工资表-11月'!$E:$S,15,0),0)</f>
        <v>110000</v>
      </c>
      <c r="T15" s="91">
        <f>5000+IFERROR(VLOOKUP($E:$E,'（居民）工资表-11月'!$E:$T,16,0),0)</f>
        <v>55000</v>
      </c>
      <c r="U15" s="91">
        <f>Q15+IFERROR(VLOOKUP($E:$E,'（居民）工资表-11月'!$E:$U,17,0),0)</f>
        <v>6139.16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48860.84</v>
      </c>
      <c r="AE15" s="96">
        <f>ROUND(MAX((AD15)*{0.03;0.1;0.2;0.25;0.3;0.35;0.45}-{0;2520;16920;31920;52920;85920;181920},0),2)</f>
        <v>2366.08</v>
      </c>
      <c r="AF15" s="97">
        <f>IFERROR(VLOOKUP(E:E,'（居民）工资表-11月'!E:AF,28,0)+VLOOKUP(E:E,'（居民）工资表-11月'!E:AG,29,0),0)</f>
        <v>1921.08</v>
      </c>
      <c r="AG15" s="97">
        <f t="shared" si="3"/>
        <v>445</v>
      </c>
      <c r="AH15" s="107">
        <f t="shared" si="4"/>
        <v>9005</v>
      </c>
      <c r="AI15" s="108"/>
      <c r="AJ15" s="107">
        <f t="shared" si="5"/>
        <v>9005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IF(SUMPRODUCT(N(E$1:E$17=E15))&gt;1,"重复","不")</f>
        <v>不</v>
      </c>
      <c r="AT15" s="116" t="str">
        <f>IF(SUMPRODUCT(N(AO$1:AO$17=AO15))&gt;1,"重复","不")</f>
        <v>重复</v>
      </c>
    </row>
    <row r="16" s="12" customFormat="1" ht="18" customHeight="1" spans="1:46">
      <c r="A16" s="36">
        <v>12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f>VLOOKUP(C16,[3]Sheet1!$B$2:$F$14,5,0)</f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L16+IFERROR(VLOOKUP($E:$E,'（居民）工资表-11月'!$E:$S,15,0),0)</f>
        <v>66310.65</v>
      </c>
      <c r="T16" s="91">
        <f>5000+IFERROR(VLOOKUP($E:$E,'（居民）工资表-11月'!$E:$T,16,0),0)</f>
        <v>50000</v>
      </c>
      <c r="U16" s="91">
        <f>Q16+IFERROR(VLOOKUP($E:$E,'（居民）工资表-11月'!$E:$U,17,0),0)</f>
        <v>5553.51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10757.14</v>
      </c>
      <c r="AE16" s="96">
        <f>ROUND(MAX((AD16)*{0.03;0.1;0.2;0.25;0.3;0.35;0.45}-{0;2520;16920;31920;52920;85920;181920},0),2)</f>
        <v>322.71</v>
      </c>
      <c r="AF16" s="97">
        <f>IFERROR(VLOOKUP(E:E,'（居民）工资表-11月'!E:AF,28,0)+VLOOKUP(E:E,'（居民）工资表-11月'!E:AG,29,0),0)</f>
        <v>261.29</v>
      </c>
      <c r="AG16" s="97">
        <f t="shared" si="3"/>
        <v>61.42</v>
      </c>
      <c r="AH16" s="107">
        <f t="shared" si="4"/>
        <v>6986.01</v>
      </c>
      <c r="AI16" s="108"/>
      <c r="AJ16" s="107">
        <f t="shared" si="5"/>
        <v>6986.01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IF(SUMPRODUCT(N(E$1:E$17=E16))&gt;1,"重复","不")</f>
        <v>不</v>
      </c>
      <c r="AT16" s="116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 t="shared" ref="L18:AL18" si="8">SUM(L4:L17)</f>
        <v>122707.97</v>
      </c>
      <c r="M18" s="74">
        <f t="shared" si="8"/>
        <v>4786.25</v>
      </c>
      <c r="N18" s="74">
        <f t="shared" si="8"/>
        <v>1331.12</v>
      </c>
      <c r="O18" s="74">
        <f t="shared" si="8"/>
        <v>252.24</v>
      </c>
      <c r="P18" s="74">
        <f t="shared" si="8"/>
        <v>2232.9</v>
      </c>
      <c r="Q18" s="74">
        <f t="shared" si="8"/>
        <v>8602.51</v>
      </c>
      <c r="R18" s="74">
        <f t="shared" si="8"/>
        <v>0</v>
      </c>
      <c r="S18" s="74">
        <f t="shared" si="8"/>
        <v>1333072.66</v>
      </c>
      <c r="T18" s="74">
        <f t="shared" si="8"/>
        <v>710000</v>
      </c>
      <c r="U18" s="74">
        <f t="shared" si="8"/>
        <v>94676.49</v>
      </c>
      <c r="V18" s="74">
        <f t="shared" si="8"/>
        <v>12000</v>
      </c>
      <c r="W18" s="74">
        <f t="shared" si="8"/>
        <v>0</v>
      </c>
      <c r="X18" s="74">
        <f t="shared" si="8"/>
        <v>12000</v>
      </c>
      <c r="Y18" s="74">
        <f t="shared" si="8"/>
        <v>0</v>
      </c>
      <c r="Z18" s="74">
        <f t="shared" si="8"/>
        <v>4800</v>
      </c>
      <c r="AA18" s="74">
        <f t="shared" si="8"/>
        <v>0</v>
      </c>
      <c r="AB18" s="74">
        <f t="shared" si="8"/>
        <v>28800</v>
      </c>
      <c r="AC18" s="74">
        <f t="shared" si="8"/>
        <v>0</v>
      </c>
      <c r="AD18" s="74">
        <f t="shared" si="8"/>
        <v>499596.17</v>
      </c>
      <c r="AE18" s="74">
        <f t="shared" si="8"/>
        <v>46116.47</v>
      </c>
      <c r="AF18" s="74">
        <f t="shared" si="8"/>
        <v>40379.68</v>
      </c>
      <c r="AG18" s="74">
        <f t="shared" si="8"/>
        <v>6453.78</v>
      </c>
      <c r="AH18" s="74">
        <f t="shared" si="8"/>
        <v>107651.68</v>
      </c>
      <c r="AI18" s="126">
        <f t="shared" si="8"/>
        <v>0</v>
      </c>
      <c r="AJ18" s="74">
        <f t="shared" si="8"/>
        <v>107651.68</v>
      </c>
      <c r="AK18" s="74">
        <f t="shared" si="8"/>
        <v>0</v>
      </c>
      <c r="AL18" s="74">
        <f t="shared" si="8"/>
        <v>114105.46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107651.68</v>
      </c>
      <c r="C23" s="48">
        <f>AG18</f>
        <v>6453.78</v>
      </c>
      <c r="D23" s="48">
        <f>AK18</f>
        <v>0</v>
      </c>
      <c r="E23" s="48">
        <f>B23+C23+D23</f>
        <v>114105.46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>
        <f>U4/2</f>
        <v>310.515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210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 t="shared" ref="Q4:Q16" si="0">ROUND(SUM(M4:P4),2)</f>
        <v>621.03</v>
      </c>
      <c r="R4" s="70">
        <v>0</v>
      </c>
      <c r="S4" s="92">
        <f t="shared" ref="S4:S16" si="1">L4</f>
        <v>8000</v>
      </c>
      <c r="T4" s="93">
        <v>5000</v>
      </c>
      <c r="U4" s="93">
        <f t="shared" ref="U4:U16" si="2">Q4</f>
        <v>621.03</v>
      </c>
      <c r="V4" s="70"/>
      <c r="W4" s="70"/>
      <c r="X4" s="70"/>
      <c r="Y4" s="70"/>
      <c r="Z4" s="70"/>
      <c r="AA4" s="70"/>
      <c r="AB4" s="92">
        <f t="shared" ref="AB4:AB16" si="3">ROUND(SUM(V4:AA4),2)</f>
        <v>0</v>
      </c>
      <c r="AC4" s="92">
        <f t="shared" ref="AC4:AC16" si="4">R4</f>
        <v>0</v>
      </c>
      <c r="AD4" s="98">
        <f t="shared" ref="AD4:AD16" si="5"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 t="shared" ref="AG4:AG16" si="6">IF((AE4-AF4)&lt;0,0,AE4-AF4)</f>
        <v>71.37</v>
      </c>
      <c r="AH4" s="109">
        <f t="shared" ref="AH4:AH16" si="7">ROUND(IF((L4-Q4-AG4)&lt;0,0,(L4-Q4-AG4)),2)</f>
        <v>7307.6</v>
      </c>
      <c r="AI4" s="108"/>
      <c r="AJ4" s="109">
        <f t="shared" ref="AJ4:AJ16" si="8">AH4+AI4</f>
        <v>7307.6</v>
      </c>
      <c r="AK4" s="109"/>
      <c r="AL4" s="109">
        <f t="shared" ref="AL4:AL16" si="9">AJ4+AG4+AK4</f>
        <v>7378.97</v>
      </c>
      <c r="AM4" s="109"/>
      <c r="AN4" s="109"/>
      <c r="AO4" s="109"/>
      <c r="AP4" s="109"/>
      <c r="AQ4" s="109"/>
      <c r="AR4" s="117" t="str">
        <f t="shared" ref="AR4:AR16" si="10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IF(SUMPRODUCT(N(E$1:E$17=E4))&gt;1,"重复","不")</f>
        <v>不</v>
      </c>
      <c r="AT4" s="117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6160</v>
      </c>
      <c r="M5" s="71">
        <v>560.96</v>
      </c>
      <c r="N5" s="71">
        <v>133.12</v>
      </c>
      <c r="O5" s="71">
        <v>4.6</v>
      </c>
      <c r="P5" s="71">
        <v>115</v>
      </c>
      <c r="Q5" s="70">
        <f t="shared" si="0"/>
        <v>813.68</v>
      </c>
      <c r="R5" s="70">
        <v>0</v>
      </c>
      <c r="S5" s="92">
        <f t="shared" si="1"/>
        <v>6160</v>
      </c>
      <c r="T5" s="93">
        <v>5000</v>
      </c>
      <c r="U5" s="93">
        <f t="shared" si="2"/>
        <v>813.68</v>
      </c>
      <c r="V5" s="70"/>
      <c r="W5" s="70"/>
      <c r="X5" s="70"/>
      <c r="Y5" s="70"/>
      <c r="Z5" s="70"/>
      <c r="AA5" s="70"/>
      <c r="AB5" s="92">
        <f t="shared" si="3"/>
        <v>0</v>
      </c>
      <c r="AC5" s="92">
        <f t="shared" si="4"/>
        <v>0</v>
      </c>
      <c r="AD5" s="98">
        <f t="shared" si="5"/>
        <v>346.32</v>
      </c>
      <c r="AE5" s="99">
        <f>ROUND(MAX((AD5)*{0.03;0.1;0.2;0.25;0.3;0.35;0.45}-{0;2520;16920;31920;52920;85920;181920},0),2)</f>
        <v>10.39</v>
      </c>
      <c r="AF5" s="100">
        <v>0</v>
      </c>
      <c r="AG5" s="100">
        <f t="shared" si="6"/>
        <v>10.39</v>
      </c>
      <c r="AH5" s="109">
        <f t="shared" si="7"/>
        <v>5335.93</v>
      </c>
      <c r="AI5" s="108"/>
      <c r="AJ5" s="109">
        <f t="shared" si="8"/>
        <v>5335.93</v>
      </c>
      <c r="AK5" s="109"/>
      <c r="AL5" s="109">
        <f t="shared" si="9"/>
        <v>5346.32</v>
      </c>
      <c r="AM5" s="109"/>
      <c r="AN5" s="109"/>
      <c r="AO5" s="109"/>
      <c r="AP5" s="109"/>
      <c r="AQ5" s="109"/>
      <c r="AR5" s="117" t="str">
        <f t="shared" si="10"/>
        <v>正确</v>
      </c>
      <c r="AS5" s="117" t="str">
        <f>IF(SUMPRODUCT(N(E$1:E$17=E5))&gt;1,"重复","不")</f>
        <v>不</v>
      </c>
      <c r="AT5" s="117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>IF(SUMPRODUCT(N(E$1:E$17=E6))&gt;1,"重复","不")</f>
        <v>不</v>
      </c>
      <c r="AT6" s="117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>IF(SUMPRODUCT(N(E$1:E$17=E7))&gt;1,"重复","不")</f>
        <v>不</v>
      </c>
      <c r="AT7" s="117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>IF(SUMPRODUCT(N(E$1:E$17=E8))&gt;1,"重复","不")</f>
        <v>不</v>
      </c>
      <c r="AT8" s="117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>IF(SUMPRODUCT(N(E$1:E$17=E9))&gt;1,"重复","不")</f>
        <v>不</v>
      </c>
      <c r="AT9" s="117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4422.9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4422.9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-1241.47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3758.53</v>
      </c>
      <c r="AI10" s="108"/>
      <c r="AJ10" s="109">
        <f t="shared" si="8"/>
        <v>3758.53</v>
      </c>
      <c r="AK10" s="109"/>
      <c r="AL10" s="109">
        <f t="shared" si="9"/>
        <v>3758.53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>IF(SUMPRODUCT(N(E$1:E$17=E10))&gt;1,"重复","不")</f>
        <v>不</v>
      </c>
      <c r="AT10" s="117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>IF(SUMPRODUCT(N(E$1:E$17=E11))&gt;1,"重复","不")</f>
        <v>不</v>
      </c>
      <c r="AT11" s="117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>IF(SUMPRODUCT(N(E$1:E$17=E12))&gt;1,"重复","不")</f>
        <v>不</v>
      </c>
      <c r="AT12" s="117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>IF(SUMPRODUCT(N(E$1:E$17=E13))&gt;1,"重复","不")</f>
        <v>不</v>
      </c>
      <c r="AT13" s="117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144</v>
      </c>
      <c r="C14" s="37" t="s">
        <v>183</v>
      </c>
      <c r="D14" s="37" t="s">
        <v>145</v>
      </c>
      <c r="E14" s="329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>IF(SUMPRODUCT(N(E$1:E$17=E14))&gt;1,"重复","不")</f>
        <v>不</v>
      </c>
      <c r="AT14" s="117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144</v>
      </c>
      <c r="C15" s="37" t="s">
        <v>185</v>
      </c>
      <c r="D15" s="37" t="s">
        <v>145</v>
      </c>
      <c r="E15" s="329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>IF(SUMPRODUCT(N(E$1:E$17=E15))&gt;1,"重复","不")</f>
        <v>不</v>
      </c>
      <c r="AT15" s="117" t="str">
        <f>IF(SUMPRODUCT(N(AO$1:AO$17=AO15))&gt;1,"重复","不")</f>
        <v>重复</v>
      </c>
    </row>
    <row r="16" s="12" customFormat="1" ht="18" customHeight="1" spans="1:46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359.52</v>
      </c>
      <c r="N16" s="71">
        <v>96.88</v>
      </c>
      <c r="O16" s="71">
        <v>13.48</v>
      </c>
      <c r="P16" s="71">
        <v>110.5</v>
      </c>
      <c r="Q16" s="70">
        <f t="shared" si="0"/>
        <v>580.38</v>
      </c>
      <c r="R16" s="70">
        <v>0</v>
      </c>
      <c r="S16" s="92">
        <f t="shared" si="1"/>
        <v>7600</v>
      </c>
      <c r="T16" s="93">
        <v>5000</v>
      </c>
      <c r="U16" s="93">
        <f t="shared" si="2"/>
        <v>580.38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2019.62</v>
      </c>
      <c r="AE16" s="99">
        <f>ROUND(MAX((AD16)*{0.03;0.1;0.2;0.25;0.3;0.35;0.45}-{0;2520;16920;31920;52920;85920;181920},0),2)</f>
        <v>60.59</v>
      </c>
      <c r="AF16" s="100">
        <v>0</v>
      </c>
      <c r="AG16" s="100">
        <f t="shared" si="6"/>
        <v>60.59</v>
      </c>
      <c r="AH16" s="109">
        <f t="shared" si="7"/>
        <v>6959.03</v>
      </c>
      <c r="AI16" s="108"/>
      <c r="AJ16" s="109">
        <f t="shared" si="8"/>
        <v>6959.03</v>
      </c>
      <c r="AK16" s="109"/>
      <c r="AL16" s="109">
        <f t="shared" si="9"/>
        <v>7019.62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>IF(SUMPRODUCT(N(E$1:E$17=E16))&gt;1,"重复","不")</f>
        <v>不</v>
      </c>
      <c r="AT16" s="117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125"/>
      <c r="W17" s="125"/>
      <c r="X17" s="125"/>
      <c r="Y17" s="125"/>
      <c r="Z17" s="125"/>
      <c r="AA17" s="125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122742.9</v>
      </c>
      <c r="M18" s="74">
        <f t="shared" ref="M18:AL18" si="11">SUM(M4:M17)</f>
        <v>4946.09</v>
      </c>
      <c r="N18" s="74">
        <f t="shared" si="11"/>
        <v>1349.72</v>
      </c>
      <c r="O18" s="74">
        <f t="shared" si="11"/>
        <v>253.05</v>
      </c>
      <c r="P18" s="74">
        <f t="shared" si="11"/>
        <v>2232.9</v>
      </c>
      <c r="Q18" s="74">
        <f t="shared" si="11"/>
        <v>8781.76</v>
      </c>
      <c r="R18" s="74">
        <f t="shared" si="11"/>
        <v>0</v>
      </c>
      <c r="S18" s="74">
        <f t="shared" si="11"/>
        <v>122742.9</v>
      </c>
      <c r="T18" s="74">
        <f t="shared" si="11"/>
        <v>65000</v>
      </c>
      <c r="U18" s="74">
        <f t="shared" si="11"/>
        <v>8781.76</v>
      </c>
      <c r="V18" s="74">
        <f t="shared" si="11"/>
        <v>0</v>
      </c>
      <c r="W18" s="74">
        <f t="shared" si="11"/>
        <v>0</v>
      </c>
      <c r="X18" s="74">
        <f t="shared" si="11"/>
        <v>0</v>
      </c>
      <c r="Y18" s="74">
        <f t="shared" si="11"/>
        <v>0</v>
      </c>
      <c r="Z18" s="74">
        <f t="shared" si="11"/>
        <v>0</v>
      </c>
      <c r="AA18" s="74">
        <f t="shared" si="11"/>
        <v>0</v>
      </c>
      <c r="AB18" s="74">
        <f t="shared" si="11"/>
        <v>0</v>
      </c>
      <c r="AC18" s="74">
        <f t="shared" si="11"/>
        <v>0</v>
      </c>
      <c r="AD18" s="74">
        <f t="shared" si="11"/>
        <v>48961.14</v>
      </c>
      <c r="AE18" s="74">
        <f t="shared" si="11"/>
        <v>1506.06</v>
      </c>
      <c r="AF18" s="74">
        <f t="shared" si="11"/>
        <v>0</v>
      </c>
      <c r="AG18" s="74">
        <f t="shared" si="11"/>
        <v>1506.06</v>
      </c>
      <c r="AH18" s="74">
        <f t="shared" si="11"/>
        <v>112455.08</v>
      </c>
      <c r="AI18" s="74">
        <f t="shared" si="11"/>
        <v>0</v>
      </c>
      <c r="AJ18" s="74">
        <f t="shared" si="11"/>
        <v>112455.08</v>
      </c>
      <c r="AK18" s="74">
        <f t="shared" si="11"/>
        <v>0</v>
      </c>
      <c r="AL18" s="74">
        <f t="shared" si="11"/>
        <v>113961.14</v>
      </c>
      <c r="AM18" s="110"/>
      <c r="AN18" s="110"/>
      <c r="AO18" s="110"/>
      <c r="AP18" s="110"/>
      <c r="AQ18" s="110"/>
      <c r="AR18" s="45"/>
      <c r="AS18" s="45"/>
      <c r="AT18" s="118"/>
    </row>
    <row r="19" spans="38:38">
      <c r="AL19" s="15">
        <v>31841.4778</v>
      </c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210</v>
      </c>
      <c r="E22" s="47" t="s">
        <v>23</v>
      </c>
      <c r="AD22" s="10"/>
    </row>
    <row r="23" ht="18.75" customHeight="1" spans="2:5">
      <c r="B23" s="48">
        <f>AJ18</f>
        <v>112455.08</v>
      </c>
      <c r="C23" s="48">
        <f>AG18</f>
        <v>1506.06</v>
      </c>
      <c r="D23" s="48">
        <f>AK18</f>
        <v>0</v>
      </c>
      <c r="E23" s="48">
        <f>B23+C23+D23</f>
        <v>113961.14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4"/>
  <sheetViews>
    <sheetView workbookViewId="0">
      <pane xSplit="6" ySplit="3" topLeftCell="G8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L4+IFERROR(VLOOKUP($E:$E,'（居民）工资表-2月'!$E:$S,15,0),0)</f>
        <v>16000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1242.06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-2442.06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71.37</v>
      </c>
      <c r="AG4" s="97">
        <f>IF((AE4-AF4)&lt;0,0,AE4-AF4)</f>
        <v>0</v>
      </c>
      <c r="AH4" s="107">
        <f>ROUND(IF((L4-Q4-AG4)&lt;0,0,(L4-Q4-AG4)),2)</f>
        <v>7378.97</v>
      </c>
      <c r="AI4" s="108"/>
      <c r="AJ4" s="107">
        <f>AH4+AI4</f>
        <v>7378.97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v>6160</v>
      </c>
      <c r="M5" s="71">
        <v>440</v>
      </c>
      <c r="N5" s="71">
        <v>121.12</v>
      </c>
      <c r="O5" s="71">
        <v>4.6</v>
      </c>
      <c r="P5" s="71">
        <v>115</v>
      </c>
      <c r="Q5" s="89">
        <f>ROUND(SUM(M5:P5),2)</f>
        <v>680.72</v>
      </c>
      <c r="R5" s="70">
        <v>0</v>
      </c>
      <c r="S5" s="90">
        <f>L5+IFERROR(VLOOKUP($E:$E,'（居民）工资表-2月'!$E:$S,15,0),0)</f>
        <v>12320</v>
      </c>
      <c r="T5" s="91">
        <f>5000+IFERROR(VLOOKUP($E:$E,'（居民）工资表-2月'!$E:$T,16,0),0)</f>
        <v>10000</v>
      </c>
      <c r="U5" s="91">
        <f>Q5+IFERROR(VLOOKUP($E:$E,'（居民）工资表-2月'!$E:$U,17,0),0)</f>
        <v>1494.4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825.6</v>
      </c>
      <c r="AE5" s="96">
        <f>ROUND(MAX((AD5)*{0.03;0.1;0.2;0.25;0.3;0.35;0.45}-{0;2520;16920;31920;52920;85920;181920},0),2)</f>
        <v>24.77</v>
      </c>
      <c r="AF5" s="97">
        <f>IFERROR(VLOOKUP(E:E,'（居民）工资表-2月'!E:AF,28,0)+VLOOKUP(E:E,'（居民）工资表-2月'!E:AG,29,0),0)</f>
        <v>10.39</v>
      </c>
      <c r="AG5" s="97">
        <f>IF((AE5-AF5)&lt;0,0,AE5-AF5)</f>
        <v>14.38</v>
      </c>
      <c r="AH5" s="107">
        <f>ROUND(IF((L5-Q5-AG5)&lt;0,0,(L5-Q5-AG5)),2)</f>
        <v>5464.9</v>
      </c>
      <c r="AI5" s="108"/>
      <c r="AJ5" s="107">
        <f>AH5+AI5</f>
        <v>5464.9</v>
      </c>
      <c r="AK5" s="109"/>
      <c r="AL5" s="107">
        <f>AJ5+AG5+AK5</f>
        <v>5479.28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147</v>
      </c>
      <c r="AV5" s="12" t="s">
        <v>51</v>
      </c>
    </row>
    <row r="6" s="12" customFormat="1" ht="18" customHeight="1" spans="1:48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ref="Q6:Q17" si="0">ROUND(SUM(M6:P6),2)</f>
        <v>963.32</v>
      </c>
      <c r="R6" s="70">
        <v>0</v>
      </c>
      <c r="S6" s="90">
        <f>L6+IFERROR(VLOOKUP($E:$E,'（居民）工资表-2月'!$E:$S,15,0),0)</f>
        <v>60120</v>
      </c>
      <c r="T6" s="91">
        <f>5000+IFERROR(VLOOKUP($E:$E,'（居民）工资表-2月'!$E:$T,16,0),0)</f>
        <v>10000</v>
      </c>
      <c r="U6" s="91">
        <f>Q6+IFERROR(VLOOKUP($E:$E,'（居民）工资表-2月'!$E:$U,17,0),0)</f>
        <v>1926.64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48193.36</v>
      </c>
      <c r="AE6" s="96">
        <f>ROUND(MAX((AD6)*{0.03;0.1;0.2;0.25;0.3;0.35;0.45}-{0;2520;16920;31920;52920;85920;181920},0),2)</f>
        <v>2299.34</v>
      </c>
      <c r="AF6" s="97">
        <f>IFERROR(VLOOKUP(E:E,'（居民）工资表-2月'!E:AF,28,0)+VLOOKUP(E:E,'（居民）工资表-2月'!E:AG,29,0),0)</f>
        <v>722.9</v>
      </c>
      <c r="AG6" s="97">
        <f t="shared" ref="AG6:AG17" si="3">IF((AE6-AF6)&lt;0,0,AE6-AF6)</f>
        <v>1576.44</v>
      </c>
      <c r="AH6" s="107">
        <f t="shared" ref="AH6:AH17" si="4">ROUND(IF((L6-Q6-AG6)&lt;0,0,(L6-Q6-AG6)),2)</f>
        <v>27520.24</v>
      </c>
      <c r="AI6" s="108"/>
      <c r="AJ6" s="107">
        <f t="shared" ref="AJ6:AJ17" si="5">AH6+AI6</f>
        <v>27520.24</v>
      </c>
      <c r="AK6" s="109"/>
      <c r="AL6" s="107">
        <f t="shared" ref="AL6:AL17" si="6">AJ6+AG6+AK6</f>
        <v>29096.68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L7+IFERROR(VLOOKUP($E:$E,'（居民）工资表-2月'!$E:$S,15,0),0)</f>
        <v>18000</v>
      </c>
      <c r="T7" s="91">
        <f>5000+IFERROR(VLOOKUP($E:$E,'（居民）工资表-2月'!$E:$T,16,0),0)</f>
        <v>10000</v>
      </c>
      <c r="U7" s="91">
        <f>Q7+IFERROR(VLOOKUP($E:$E,'（居民）工资表-2月'!$E:$U,17,0),0)</f>
        <v>1100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6900</v>
      </c>
      <c r="AE7" s="96">
        <f>ROUND(MAX((AD7)*{0.03;0.1;0.2;0.25;0.3;0.35;0.45}-{0;2520;16920;31920;52920;85920;181920},0),2)</f>
        <v>207</v>
      </c>
      <c r="AF7" s="97">
        <f>IFERROR(VLOOKUP(E:E,'（居民）工资表-2月'!E:AF,28,0)+VLOOKUP(E:E,'（居民）工资表-2月'!E:AG,29,0),0)</f>
        <v>103.5</v>
      </c>
      <c r="AG7" s="97">
        <f t="shared" si="3"/>
        <v>103.5</v>
      </c>
      <c r="AH7" s="107">
        <f t="shared" si="4"/>
        <v>8346.5</v>
      </c>
      <c r="AI7" s="108"/>
      <c r="AJ7" s="107">
        <f t="shared" si="5"/>
        <v>8346.5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L8+IFERROR(VLOOKUP($E:$E,'（居民）工资表-2月'!$E:$S,15,0),0)</f>
        <v>21000</v>
      </c>
      <c r="T8" s="91">
        <f>5000+IFERROR(VLOOKUP($E:$E,'（居民）工资表-2月'!$E:$T,16,0),0)</f>
        <v>10000</v>
      </c>
      <c r="U8" s="91">
        <f>Q8+IFERROR(VLOOKUP($E:$E,'（居民）工资表-2月'!$E:$U,17,0),0)</f>
        <v>1587.68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9412.32</v>
      </c>
      <c r="AE8" s="96">
        <f>ROUND(MAX((AD8)*{0.03;0.1;0.2;0.25;0.3;0.35;0.45}-{0;2520;16920;31920;52920;85920;181920},0),2)</f>
        <v>282.37</v>
      </c>
      <c r="AF8" s="97">
        <f>IFERROR(VLOOKUP(E:E,'（居民）工资表-2月'!E:AF,28,0)+VLOOKUP(E:E,'（居民）工资表-2月'!E:AG,29,0),0)</f>
        <v>141.18</v>
      </c>
      <c r="AG8" s="97">
        <f t="shared" si="3"/>
        <v>141.19</v>
      </c>
      <c r="AH8" s="107">
        <f t="shared" si="4"/>
        <v>9564.97</v>
      </c>
      <c r="AI8" s="108"/>
      <c r="AJ8" s="107">
        <f t="shared" si="5"/>
        <v>9564.97</v>
      </c>
      <c r="AK8" s="109"/>
      <c r="AL8" s="107">
        <f t="shared" si="6"/>
        <v>9706.16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159</v>
      </c>
      <c r="AV8" s="12" t="s">
        <v>51</v>
      </c>
    </row>
    <row r="9" s="12" customFormat="1" ht="18" customHeight="1" spans="1:48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v>6500</v>
      </c>
      <c r="M9" s="71">
        <v>412.08</v>
      </c>
      <c r="N9" s="71">
        <v>95.54</v>
      </c>
      <c r="O9" s="71">
        <v>15.45</v>
      </c>
      <c r="P9" s="71">
        <v>100</v>
      </c>
      <c r="Q9" s="89">
        <f t="shared" si="0"/>
        <v>623.07</v>
      </c>
      <c r="R9" s="70">
        <v>0</v>
      </c>
      <c r="S9" s="90">
        <f>L9+IFERROR(VLOOKUP($E:$E,'（居民）工资表-2月'!$E:$S,15,0),0)</f>
        <v>13000</v>
      </c>
      <c r="T9" s="91">
        <f>5000+IFERROR(VLOOKUP($E:$E,'（居民）工资表-2月'!$E:$T,16,0),0)</f>
        <v>10000</v>
      </c>
      <c r="U9" s="91">
        <f>Q9+IFERROR(VLOOKUP($E:$E,'（居民）工资表-2月'!$E:$U,17,0),0)</f>
        <v>1152.85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1847.15</v>
      </c>
      <c r="AE9" s="96">
        <f>ROUND(MAX((AD9)*{0.03;0.1;0.2;0.25;0.3;0.35;0.45}-{0;2520;16920;31920;52920;85920;181920},0),2)</f>
        <v>55.41</v>
      </c>
      <c r="AF9" s="97">
        <f>IFERROR(VLOOKUP(E:E,'（居民）工资表-2月'!E:AF,28,0)+VLOOKUP(E:E,'（居民）工资表-2月'!E:AG,29,0),0)</f>
        <v>29.11</v>
      </c>
      <c r="AG9" s="97">
        <f t="shared" si="3"/>
        <v>26.3</v>
      </c>
      <c r="AH9" s="107">
        <f t="shared" si="4"/>
        <v>5850.63</v>
      </c>
      <c r="AI9" s="108"/>
      <c r="AJ9" s="107">
        <f t="shared" si="5"/>
        <v>5850.63</v>
      </c>
      <c r="AK9" s="109"/>
      <c r="AL9" s="107">
        <f t="shared" si="6"/>
        <v>5876.93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159</v>
      </c>
      <c r="AV9" s="12" t="s">
        <v>51</v>
      </c>
    </row>
    <row r="10" s="12" customFormat="1" ht="18" customHeight="1" spans="1:48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v>4422.9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L10+IFERROR(VLOOKUP($E:$E,'（居民）工资表-2月'!$E:$S,15,0),0)</f>
        <v>8845.8</v>
      </c>
      <c r="T10" s="91">
        <f>5000+IFERROR(VLOOKUP($E:$E,'（居民）工资表-2月'!$E:$T,16,0),0)</f>
        <v>10000</v>
      </c>
      <c r="U10" s="91">
        <f>Q10+IFERROR(VLOOKUP($E:$E,'（居民）工资表-2月'!$E:$U,17,0),0)</f>
        <v>1328.74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-2482.94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3758.53</v>
      </c>
      <c r="AI10" s="108"/>
      <c r="AJ10" s="107">
        <f t="shared" si="5"/>
        <v>3758.53</v>
      </c>
      <c r="AK10" s="109"/>
      <c r="AL10" s="107">
        <f t="shared" si="6"/>
        <v>3758.53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164</v>
      </c>
      <c r="AV10" s="12" t="s">
        <v>51</v>
      </c>
    </row>
    <row r="11" s="12" customFormat="1" ht="18" customHeight="1" spans="1:47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L11+IFERROR(VLOOKUP($E:$E,'（居民）工资表-2月'!$E:$S,15,0),0)</f>
        <v>18000</v>
      </c>
      <c r="T11" s="91">
        <f>5000+IFERROR(VLOOKUP($E:$E,'（居民）工资表-2月'!$E:$T,16,0),0)</f>
        <v>10000</v>
      </c>
      <c r="U11" s="91">
        <f>Q11+IFERROR(VLOOKUP($E:$E,'（居民）工资表-2月'!$E:$U,17,0),0)</f>
        <v>1161.68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6838.32</v>
      </c>
      <c r="AE11" s="96">
        <f>ROUND(MAX((AD11)*{0.03;0.1;0.2;0.25;0.3;0.35;0.45}-{0;2520;16920;31920;52920;85920;181920},0),2)</f>
        <v>205.15</v>
      </c>
      <c r="AF11" s="97">
        <f>IFERROR(VLOOKUP(E:E,'（居民）工资表-2月'!E:AF,28,0)+VLOOKUP(E:E,'（居民）工资表-2月'!E:AG,29,0),0)</f>
        <v>102.57</v>
      </c>
      <c r="AG11" s="97">
        <f t="shared" si="3"/>
        <v>102.58</v>
      </c>
      <c r="AH11" s="107">
        <f t="shared" si="4"/>
        <v>8316.58</v>
      </c>
      <c r="AI11" s="108"/>
      <c r="AJ11" s="107">
        <f t="shared" si="5"/>
        <v>8316.58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L12+IFERROR(VLOOKUP($E:$E,'（居民）工资表-2月'!$E:$S,15,0),0)</f>
        <v>15000</v>
      </c>
      <c r="T12" s="91">
        <f>5000+IFERROR(VLOOKUP($E:$E,'（居民）工资表-2月'!$E:$T,16,0),0)</f>
        <v>10000</v>
      </c>
      <c r="U12" s="91">
        <f>Q12+IFERROR(VLOOKUP($E:$E,'（居民）工资表-2月'!$E:$U,17,0),0)</f>
        <v>1587.68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3412.32</v>
      </c>
      <c r="AE12" s="96">
        <f>ROUND(MAX((AD12)*{0.03;0.1;0.2;0.25;0.3;0.35;0.45}-{0;2520;16920;31920;52920;85920;181920},0),2)</f>
        <v>102.37</v>
      </c>
      <c r="AF12" s="97">
        <f>IFERROR(VLOOKUP(E:E,'（居民）工资表-2月'!E:AF,28,0)+VLOOKUP(E:E,'（居民）工资表-2月'!E:AG,29,0),0)</f>
        <v>51.18</v>
      </c>
      <c r="AG12" s="97">
        <f t="shared" si="3"/>
        <v>51.19</v>
      </c>
      <c r="AH12" s="107">
        <f t="shared" si="4"/>
        <v>6654.97</v>
      </c>
      <c r="AI12" s="108"/>
      <c r="AJ12" s="107">
        <f t="shared" si="5"/>
        <v>6654.97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L13+IFERROR(VLOOKUP($E:$E,'（居民）工资表-2月'!$E:$S,15,0),0)</f>
        <v>16000</v>
      </c>
      <c r="T13" s="91">
        <f>5000+IFERROR(VLOOKUP($E:$E,'（居民）工资表-2月'!$E:$T,16,0),0)</f>
        <v>10000</v>
      </c>
      <c r="U13" s="91">
        <f>Q13+IFERROR(VLOOKUP($E:$E,'（居民）工资表-2月'!$E:$U,17,0),0)</f>
        <v>1587.68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4412.32</v>
      </c>
      <c r="AE13" s="96">
        <f>ROUND(MAX((AD13)*{0.03;0.1;0.2;0.25;0.3;0.35;0.45}-{0;2520;16920;31920;52920;85920;181920},0),2)</f>
        <v>132.37</v>
      </c>
      <c r="AF13" s="97">
        <f>IFERROR(VLOOKUP(E:E,'（居民）工资表-2月'!E:AF,28,0)+VLOOKUP(E:E,'（居民）工资表-2月'!E:AG,29,0),0)</f>
        <v>66.18</v>
      </c>
      <c r="AG13" s="97">
        <f t="shared" si="3"/>
        <v>66.19</v>
      </c>
      <c r="AH13" s="107">
        <f t="shared" si="4"/>
        <v>7139.97</v>
      </c>
      <c r="AI13" s="108"/>
      <c r="AJ13" s="107">
        <f t="shared" si="5"/>
        <v>7139.97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159</v>
      </c>
      <c r="AV13" s="12" t="s">
        <v>51</v>
      </c>
    </row>
    <row r="14" s="12" customFormat="1" ht="18" customHeight="1" spans="1:48">
      <c r="A14" s="36">
        <v>11</v>
      </c>
      <c r="B14" s="37" t="s">
        <v>144</v>
      </c>
      <c r="C14" s="37" t="s">
        <v>183</v>
      </c>
      <c r="D14" s="37" t="s">
        <v>145</v>
      </c>
      <c r="E14" s="329" t="s">
        <v>184</v>
      </c>
      <c r="F14" s="38" t="s">
        <v>150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L14+IFERROR(VLOOKUP($E:$E,'（居民）工资表-2月'!$E:$S,15,0),0)</f>
        <v>12000</v>
      </c>
      <c r="T14" s="91">
        <f>5000+IFERROR(VLOOKUP($E:$E,'（居民）工资表-2月'!$E:$T,16,0),0)</f>
        <v>10000</v>
      </c>
      <c r="U14" s="91">
        <f>Q14+IFERROR(VLOOKUP($E:$E,'（居民）工资表-2月'!$E:$U,17,0),0)</f>
        <v>1093.68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906.32</v>
      </c>
      <c r="AE14" s="96">
        <f>ROUND(MAX((AD14)*{0.03;0.1;0.2;0.25;0.3;0.35;0.45}-{0;2520;16920;31920;52920;85920;181920},0),2)</f>
        <v>27.19</v>
      </c>
      <c r="AF14" s="97">
        <f>IFERROR(VLOOKUP(E:E,'（居民）工资表-2月'!E:AF,28,0)+VLOOKUP(E:E,'（居民）工资表-2月'!E:AG,29,0),0)</f>
        <v>13.59</v>
      </c>
      <c r="AG14" s="97">
        <f t="shared" si="3"/>
        <v>13.6</v>
      </c>
      <c r="AH14" s="107">
        <f t="shared" si="4"/>
        <v>5439.56</v>
      </c>
      <c r="AI14" s="108"/>
      <c r="AJ14" s="107">
        <f t="shared" si="5"/>
        <v>5439.56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159</v>
      </c>
      <c r="AV14" s="12" t="s">
        <v>51</v>
      </c>
    </row>
    <row r="15" s="12" customFormat="1" ht="18" customHeight="1" spans="1:48">
      <c r="A15" s="36">
        <v>12</v>
      </c>
      <c r="B15" s="37" t="s">
        <v>144</v>
      </c>
      <c r="C15" s="37" t="s">
        <v>185</v>
      </c>
      <c r="D15" s="37" t="s">
        <v>145</v>
      </c>
      <c r="E15" s="329" t="s">
        <v>186</v>
      </c>
      <c r="F15" s="38" t="s">
        <v>146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L15+IFERROR(VLOOKUP($E:$E,'（居民）工资表-2月'!$E:$S,15,0),0)</f>
        <v>20000</v>
      </c>
      <c r="T15" s="91">
        <f>5000+IFERROR(VLOOKUP($E:$E,'（居民）工资表-2月'!$E:$T,16,0),0)</f>
        <v>10000</v>
      </c>
      <c r="U15" s="91">
        <f>Q15+IFERROR(VLOOKUP($E:$E,'（居民）工资表-2月'!$E:$U,17,0),0)</f>
        <v>1100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8900</v>
      </c>
      <c r="AE15" s="96">
        <f>ROUND(MAX((AD15)*{0.03;0.1;0.2;0.25;0.3;0.35;0.45}-{0;2520;16920;31920;52920;85920;181920},0),2)</f>
        <v>267</v>
      </c>
      <c r="AF15" s="97">
        <f>IFERROR(VLOOKUP(E:E,'（居民）工资表-2月'!E:AF,28,0)+VLOOKUP(E:E,'（居民）工资表-2月'!E:AG,29,0),0)</f>
        <v>133.5</v>
      </c>
      <c r="AG15" s="97">
        <f t="shared" si="3"/>
        <v>133.5</v>
      </c>
      <c r="AH15" s="107">
        <f t="shared" si="4"/>
        <v>9316.5</v>
      </c>
      <c r="AI15" s="108"/>
      <c r="AJ15" s="107">
        <f t="shared" si="5"/>
        <v>9316.5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159</v>
      </c>
      <c r="AV15" s="12" t="s">
        <v>51</v>
      </c>
    </row>
    <row r="16" s="12" customFormat="1" ht="18" customHeight="1" spans="1:48">
      <c r="A16" s="36">
        <v>13</v>
      </c>
      <c r="B16" s="37" t="s">
        <v>144</v>
      </c>
      <c r="C16" s="37" t="s">
        <v>187</v>
      </c>
      <c r="D16" s="37" t="s">
        <v>145</v>
      </c>
      <c r="E16" s="37" t="s">
        <v>188</v>
      </c>
      <c r="F16" s="38" t="s">
        <v>146</v>
      </c>
      <c r="G16" s="39">
        <v>13711361074</v>
      </c>
      <c r="H16" s="40"/>
      <c r="I16" s="40"/>
      <c r="J16" s="69"/>
      <c r="K16" s="40"/>
      <c r="L16" s="70">
        <v>7600</v>
      </c>
      <c r="M16" s="71">
        <v>0</v>
      </c>
      <c r="N16" s="71">
        <v>0</v>
      </c>
      <c r="O16" s="71">
        <v>0</v>
      </c>
      <c r="P16" s="71">
        <v>0</v>
      </c>
      <c r="Q16" s="89">
        <f t="shared" si="0"/>
        <v>0</v>
      </c>
      <c r="R16" s="70">
        <v>0</v>
      </c>
      <c r="S16" s="90">
        <f>L16+IFERROR(VLOOKUP($E:$E,'（居民）工资表-2月'!$E:$S,15,0),0)</f>
        <v>15200</v>
      </c>
      <c r="T16" s="91">
        <f>5000+IFERROR(VLOOKUP($E:$E,'（居民）工资表-2月'!$E:$T,16,0),0)</f>
        <v>10000</v>
      </c>
      <c r="U16" s="91">
        <f>Q16+IFERROR(VLOOKUP($E:$E,'（居民）工资表-2月'!$E:$U,17,0),0)</f>
        <v>580.38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4619.62</v>
      </c>
      <c r="AE16" s="96">
        <f>ROUND(MAX((AD16)*{0.03;0.1;0.2;0.25;0.3;0.35;0.45}-{0;2520;16920;31920;52920;85920;181920},0),2)</f>
        <v>138.59</v>
      </c>
      <c r="AF16" s="97">
        <f>IFERROR(VLOOKUP(E:E,'（居民）工资表-2月'!E:AF,28,0)+VLOOKUP(E:E,'（居民）工资表-2月'!E:AG,29,0),0)</f>
        <v>60.59</v>
      </c>
      <c r="AG16" s="97">
        <f t="shared" si="3"/>
        <v>78</v>
      </c>
      <c r="AH16" s="107">
        <f t="shared" si="4"/>
        <v>7522</v>
      </c>
      <c r="AI16" s="108"/>
      <c r="AJ16" s="107">
        <f t="shared" si="5"/>
        <v>7522</v>
      </c>
      <c r="AK16" s="109"/>
      <c r="AL16" s="107">
        <f t="shared" si="6"/>
        <v>7600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159</v>
      </c>
      <c r="AV16" s="12" t="s">
        <v>51</v>
      </c>
    </row>
    <row r="17" s="12" customFormat="1" ht="18" customHeight="1" spans="1:46">
      <c r="A17" s="36"/>
      <c r="B17" s="37"/>
      <c r="C17" s="119"/>
      <c r="D17" s="37"/>
      <c r="E17" s="120"/>
      <c r="F17" s="38"/>
      <c r="G17" s="121"/>
      <c r="H17" s="122"/>
      <c r="I17" s="122"/>
      <c r="J17" s="123"/>
      <c r="K17" s="122"/>
      <c r="L17" s="124"/>
      <c r="M17" s="124"/>
      <c r="N17" s="124"/>
      <c r="O17" s="124"/>
      <c r="P17" s="124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189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122742.9</v>
      </c>
      <c r="M18" s="74">
        <f>SUM(M4:M17)</f>
        <v>4555.53</v>
      </c>
      <c r="N18" s="74">
        <f>SUM(N4:N17)</f>
        <v>1240.84</v>
      </c>
      <c r="O18" s="74">
        <f>SUM(O4:O17)</f>
        <v>242.94</v>
      </c>
      <c r="P18" s="74">
        <f t="shared" ref="P18:AL18" si="10">SUM(P4:P17)</f>
        <v>2122.4</v>
      </c>
      <c r="Q18" s="74">
        <f t="shared" si="10"/>
        <v>8161.71</v>
      </c>
      <c r="R18" s="74">
        <f t="shared" si="10"/>
        <v>0</v>
      </c>
      <c r="S18" s="74">
        <f t="shared" si="10"/>
        <v>245485.8</v>
      </c>
      <c r="T18" s="74">
        <f t="shared" si="10"/>
        <v>130000</v>
      </c>
      <c r="U18" s="74">
        <f t="shared" si="10"/>
        <v>16943.47</v>
      </c>
      <c r="V18" s="74">
        <f t="shared" si="10"/>
        <v>3000</v>
      </c>
      <c r="W18" s="74">
        <f t="shared" si="10"/>
        <v>0</v>
      </c>
      <c r="X18" s="74">
        <f t="shared" si="10"/>
        <v>3000</v>
      </c>
      <c r="Y18" s="74">
        <f t="shared" si="10"/>
        <v>0</v>
      </c>
      <c r="Z18" s="74">
        <f t="shared" si="10"/>
        <v>1200</v>
      </c>
      <c r="AA18" s="74">
        <f t="shared" si="10"/>
        <v>0</v>
      </c>
      <c r="AB18" s="74">
        <f t="shared" si="10"/>
        <v>7200</v>
      </c>
      <c r="AC18" s="74">
        <f t="shared" si="10"/>
        <v>0</v>
      </c>
      <c r="AD18" s="74">
        <f t="shared" si="10"/>
        <v>91342.33</v>
      </c>
      <c r="AE18" s="74">
        <f t="shared" si="10"/>
        <v>3741.56</v>
      </c>
      <c r="AF18" s="74">
        <f t="shared" si="10"/>
        <v>1506.06</v>
      </c>
      <c r="AG18" s="74">
        <f t="shared" si="10"/>
        <v>2306.87</v>
      </c>
      <c r="AH18" s="74">
        <f t="shared" si="10"/>
        <v>112274.32</v>
      </c>
      <c r="AI18" s="74">
        <f t="shared" si="10"/>
        <v>0</v>
      </c>
      <c r="AJ18" s="74">
        <f t="shared" si="10"/>
        <v>112274.32</v>
      </c>
      <c r="AK18" s="74">
        <f t="shared" si="10"/>
        <v>0</v>
      </c>
      <c r="AL18" s="74">
        <f t="shared" si="10"/>
        <v>114581.19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133</v>
      </c>
      <c r="C22" s="47" t="s">
        <v>190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112274.32</v>
      </c>
      <c r="C23" s="48">
        <f>AG18</f>
        <v>2306.87</v>
      </c>
      <c r="D23" s="48">
        <f>AK18</f>
        <v>0</v>
      </c>
      <c r="E23" s="48">
        <f>B23+C23+D23</f>
        <v>114581.19</v>
      </c>
    </row>
    <row r="24" spans="2:5">
      <c r="B24" s="49"/>
      <c r="C24" s="49"/>
      <c r="D24" s="49"/>
      <c r="E24" s="49"/>
    </row>
    <row r="25" s="14" customFormat="1" spans="1:35">
      <c r="A25" s="51" t="s">
        <v>191</v>
      </c>
      <c r="B25" s="52" t="s">
        <v>192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193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194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195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196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197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198</v>
      </c>
    </row>
    <row r="33" spans="2:2">
      <c r="B33" s="59" t="s">
        <v>199</v>
      </c>
    </row>
    <row r="34" spans="2:2">
      <c r="B34" s="59" t="s">
        <v>200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105</v>
      </c>
      <c r="B1" s="21"/>
      <c r="C1" s="22"/>
      <c r="D1" s="23"/>
      <c r="E1" s="24"/>
      <c r="F1" s="24"/>
      <c r="G1" s="25"/>
      <c r="J1" s="60"/>
      <c r="L1" s="61"/>
      <c r="M1" s="62" t="s">
        <v>106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107</v>
      </c>
      <c r="C2" s="28" t="s">
        <v>108</v>
      </c>
      <c r="D2" s="28" t="s">
        <v>109</v>
      </c>
      <c r="E2" s="29" t="s">
        <v>110</v>
      </c>
      <c r="F2" s="30" t="s">
        <v>111</v>
      </c>
      <c r="G2" s="29" t="s">
        <v>112</v>
      </c>
      <c r="H2" s="29" t="s">
        <v>113</v>
      </c>
      <c r="I2" s="29" t="s">
        <v>114</v>
      </c>
      <c r="J2" s="63" t="s">
        <v>115</v>
      </c>
      <c r="K2" s="29" t="s">
        <v>116</v>
      </c>
      <c r="L2" s="29" t="s">
        <v>117</v>
      </c>
      <c r="M2" s="64" t="s">
        <v>118</v>
      </c>
      <c r="N2" s="65"/>
      <c r="O2" s="65"/>
      <c r="P2" s="66"/>
      <c r="Q2" s="30" t="s">
        <v>119</v>
      </c>
      <c r="R2" s="29" t="s">
        <v>120</v>
      </c>
      <c r="S2" s="30" t="s">
        <v>121</v>
      </c>
      <c r="T2" s="84" t="s">
        <v>122</v>
      </c>
      <c r="U2" s="30" t="s">
        <v>123</v>
      </c>
      <c r="V2" s="85" t="s">
        <v>124</v>
      </c>
      <c r="W2" s="86"/>
      <c r="X2" s="86"/>
      <c r="Y2" s="86"/>
      <c r="Z2" s="86"/>
      <c r="AA2" s="94"/>
      <c r="AB2" s="30" t="s">
        <v>125</v>
      </c>
      <c r="AC2" s="30" t="s">
        <v>126</v>
      </c>
      <c r="AD2" s="84" t="s">
        <v>127</v>
      </c>
      <c r="AE2" s="84" t="s">
        <v>128</v>
      </c>
      <c r="AF2" s="84" t="s">
        <v>129</v>
      </c>
      <c r="AG2" s="84" t="s">
        <v>130</v>
      </c>
      <c r="AH2" s="103" t="s">
        <v>131</v>
      </c>
      <c r="AI2" s="104" t="s">
        <v>132</v>
      </c>
      <c r="AJ2" s="103" t="s">
        <v>133</v>
      </c>
      <c r="AK2" s="28" t="s">
        <v>22</v>
      </c>
      <c r="AL2" s="103" t="s">
        <v>134</v>
      </c>
      <c r="AM2" s="29" t="s">
        <v>201</v>
      </c>
      <c r="AN2" s="29" t="s">
        <v>202</v>
      </c>
      <c r="AO2" s="114" t="s">
        <v>203</v>
      </c>
      <c r="AP2" s="29" t="s">
        <v>204</v>
      </c>
      <c r="AQ2" s="29" t="s">
        <v>205</v>
      </c>
      <c r="AR2" s="30" t="s">
        <v>206</v>
      </c>
      <c r="AS2" s="30" t="s">
        <v>207</v>
      </c>
      <c r="AT2" s="30" t="s">
        <v>208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135</v>
      </c>
      <c r="N3" s="68" t="s">
        <v>136</v>
      </c>
      <c r="O3" s="68" t="s">
        <v>137</v>
      </c>
      <c r="P3" s="68" t="s">
        <v>37</v>
      </c>
      <c r="Q3" s="35"/>
      <c r="R3" s="34"/>
      <c r="S3" s="35"/>
      <c r="T3" s="87"/>
      <c r="U3" s="35"/>
      <c r="V3" s="88" t="s">
        <v>138</v>
      </c>
      <c r="W3" s="88" t="s">
        <v>139</v>
      </c>
      <c r="X3" s="88" t="s">
        <v>140</v>
      </c>
      <c r="Y3" s="88" t="s">
        <v>141</v>
      </c>
      <c r="Z3" s="88" t="s">
        <v>142</v>
      </c>
      <c r="AA3" s="88" t="s">
        <v>143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144</v>
      </c>
      <c r="C4" s="37" t="s">
        <v>61</v>
      </c>
      <c r="D4" s="37" t="s">
        <v>145</v>
      </c>
      <c r="E4" s="37" t="s">
        <v>62</v>
      </c>
      <c r="F4" s="38" t="s">
        <v>146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24000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1830.76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7169.24</v>
      </c>
      <c r="AE4" s="96">
        <f>ROUND(MAX((AD4)*{0.03;0.1;0.2;0.25;0.3;0.35;0.45}-{0;2520;16920;31920;52920;85920;181920},0),2)</f>
        <v>215.08</v>
      </c>
      <c r="AF4" s="97">
        <f>IFERROR(VLOOKUP(E:E,'（居民）工资表-3月'!E:AF,28,0)+VLOOKUP(E:E,'（居民）工资表-3月'!E:AG,29,0),0)</f>
        <v>71.37</v>
      </c>
      <c r="AG4" s="97">
        <f t="shared" ref="AG4:AG22" si="3">IF((AE4-AF4)&lt;0,0,AE4-AF4)</f>
        <v>143.71</v>
      </c>
      <c r="AH4" s="107">
        <f t="shared" ref="AH4:AH22" si="4">ROUND(IF((L4-Q4-AG4)&lt;0,0,(L4-Q4-AG4)),2)</f>
        <v>7267.59</v>
      </c>
      <c r="AI4" s="108"/>
      <c r="AJ4" s="107">
        <f t="shared" ref="AJ4:AJ22" si="5">AH4+AI4</f>
        <v>7267.59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144</v>
      </c>
      <c r="C5" s="37" t="s">
        <v>148</v>
      </c>
      <c r="D5" s="37" t="s">
        <v>145</v>
      </c>
      <c r="E5" s="329" t="s">
        <v>149</v>
      </c>
      <c r="F5" s="38" t="s">
        <v>150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18020</v>
      </c>
      <c r="T5" s="91">
        <f>5000+IFERROR(VLOOKUP($E:$E,'（居民）工资表-3月'!$E:$T,16,0),0)</f>
        <v>15000</v>
      </c>
      <c r="U5" s="91">
        <f>Q5+IFERROR(VLOOKUP($E:$E,'（居民）工资表-3月'!$E:$U,17,0),0)</f>
        <v>2156.64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863.36</v>
      </c>
      <c r="AE5" s="96">
        <f>ROUND(MAX((AD5)*{0.03;0.1;0.2;0.25;0.3;0.35;0.45}-{0;2520;16920;31920;52920;85920;181920},0),2)</f>
        <v>25.9</v>
      </c>
      <c r="AF5" s="97">
        <f>IFERROR(VLOOKUP(E:E,'（居民）工资表-3月'!E:AF,28,0)+VLOOKUP(E:E,'（居民）工资表-3月'!E:AG,29,0),0)</f>
        <v>24.77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144</v>
      </c>
      <c r="C6" s="37" t="s">
        <v>151</v>
      </c>
      <c r="D6" s="37" t="s">
        <v>145</v>
      </c>
      <c r="E6" s="329" t="s">
        <v>152</v>
      </c>
      <c r="F6" s="38" t="s">
        <v>146</v>
      </c>
      <c r="G6" s="39" t="s">
        <v>153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90180</v>
      </c>
      <c r="T6" s="91">
        <f>5000+IFERROR(VLOOKUP($E:$E,'（居民）工资表-3月'!$E:$T,16,0),0)</f>
        <v>15000</v>
      </c>
      <c r="U6" s="91">
        <f>Q6+IFERROR(VLOOKUP($E:$E,'（居民）工资表-3月'!$E:$U,17,0),0)</f>
        <v>2875.19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72304.81</v>
      </c>
      <c r="AE6" s="96">
        <f>ROUND(MAX((AD6)*{0.03;0.1;0.2;0.25;0.3;0.35;0.45}-{0;2520;16920;31920;52920;85920;181920},0),2)</f>
        <v>4710.48</v>
      </c>
      <c r="AF6" s="97">
        <f>IFERROR(VLOOKUP(E:E,'（居民）工资表-3月'!E:AF,28,0)+VLOOKUP(E:E,'（居民）工资表-3月'!E:AG,29,0),0)</f>
        <v>2299.34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144</v>
      </c>
      <c r="C7" s="37" t="s">
        <v>156</v>
      </c>
      <c r="D7" s="37" t="s">
        <v>145</v>
      </c>
      <c r="E7" s="329" t="s">
        <v>157</v>
      </c>
      <c r="F7" s="38" t="s">
        <v>146</v>
      </c>
      <c r="G7" s="39" t="s">
        <v>158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26000</v>
      </c>
      <c r="T7" s="91">
        <f>5000+IFERROR(VLOOKUP($E:$E,'（居民）工资表-3月'!$E:$T,16,0),0)</f>
        <v>15000</v>
      </c>
      <c r="U7" s="91">
        <f>Q7+IFERROR(VLOOKUP($E:$E,'（居民）工资表-3月'!$E:$U,17,0),0)</f>
        <v>1627.71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9372.29</v>
      </c>
      <c r="AE7" s="96">
        <f>ROUND(MAX((AD7)*{0.03;0.1;0.2;0.25;0.3;0.35;0.45}-{0;2520;16920;31920;52920;85920;181920},0),2)</f>
        <v>281.17</v>
      </c>
      <c r="AF7" s="97">
        <f>IFERROR(VLOOKUP(E:E,'（居民）工资表-3月'!E:AF,28,0)+VLOOKUP(E:E,'（居民）工资表-3月'!E:AG,29,0),0)</f>
        <v>207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144</v>
      </c>
      <c r="C8" s="37" t="s">
        <v>160</v>
      </c>
      <c r="D8" s="37" t="s">
        <v>145</v>
      </c>
      <c r="E8" s="329" t="s">
        <v>161</v>
      </c>
      <c r="F8" s="38" t="s">
        <v>146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31500</v>
      </c>
      <c r="T8" s="93">
        <f>5000+IFERROR(VLOOKUP($E:$E,'（居民）工资表-3月'!$E:$T,16,0),0)</f>
        <v>15000</v>
      </c>
      <c r="U8" s="93">
        <f>Q8+IFERROR(VLOOKUP($E:$E,'（居民）工资表-3月'!$E:$U,17,0),0)</f>
        <v>2359.68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14140.32</v>
      </c>
      <c r="AE8" s="99">
        <f>ROUND(MAX((AD8)*{0.03;0.1;0.2;0.25;0.3;0.35;0.45}-{0;2520;16920;31920;52920;85920;181920},0),2)</f>
        <v>424.21</v>
      </c>
      <c r="AF8" s="100">
        <f>IFERROR(VLOOKUP(E:E,'（居民）工资表-3月'!E:AF,28,0)+VLOOKUP(E:E,'（居民）工资表-3月'!E:AG,29,0),0)</f>
        <v>282.37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144</v>
      </c>
      <c r="C9" s="37" t="s">
        <v>162</v>
      </c>
      <c r="D9" s="37" t="s">
        <v>145</v>
      </c>
      <c r="E9" s="329" t="s">
        <v>163</v>
      </c>
      <c r="F9" s="38" t="s">
        <v>146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19500</v>
      </c>
      <c r="T9" s="91">
        <f>5000+IFERROR(VLOOKUP($E:$E,'（居民）工资表-3月'!$E:$T,16,0),0)</f>
        <v>15000</v>
      </c>
      <c r="U9" s="91">
        <f>Q9+IFERROR(VLOOKUP($E:$E,'（居民）工资表-3月'!$E:$U,17,0),0)</f>
        <v>1679.65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2820.35</v>
      </c>
      <c r="AE9" s="96">
        <f>ROUND(MAX((AD9)*{0.03;0.1;0.2;0.25;0.3;0.35;0.45}-{0;2520;16920;31920;52920;85920;181920},0),2)</f>
        <v>84.61</v>
      </c>
      <c r="AF9" s="97">
        <f>IFERROR(VLOOKUP(E:E,'（居民）工资表-3月'!E:AF,28,0)+VLOOKUP(E:E,'（居民）工资表-3月'!E:AG,29,0),0)</f>
        <v>55.41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144</v>
      </c>
      <c r="C10" s="37" t="s">
        <v>165</v>
      </c>
      <c r="D10" s="37" t="s">
        <v>145</v>
      </c>
      <c r="E10" s="329" t="s">
        <v>166</v>
      </c>
      <c r="F10" s="38" t="s">
        <v>150</v>
      </c>
      <c r="G10" s="39" t="s">
        <v>167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13371.64</v>
      </c>
      <c r="T10" s="91">
        <f>5000+IFERROR(VLOOKUP($E:$E,'（居民）工资表-3月'!$E:$T,16,0),0)</f>
        <v>15000</v>
      </c>
      <c r="U10" s="91">
        <f>Q10+IFERROR(VLOOKUP($E:$E,'（居民）工资表-3月'!$E:$U,17,0),0)</f>
        <v>1958.6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-3586.96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144</v>
      </c>
      <c r="C11" s="37" t="s">
        <v>170</v>
      </c>
      <c r="D11" s="37" t="s">
        <v>145</v>
      </c>
      <c r="E11" s="329" t="s">
        <v>171</v>
      </c>
      <c r="F11" s="38" t="s">
        <v>146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26500</v>
      </c>
      <c r="T11" s="91">
        <f>5000+IFERROR(VLOOKUP($E:$E,'（居民）工资表-3月'!$E:$T,16,0),0)</f>
        <v>15000</v>
      </c>
      <c r="U11" s="91">
        <f>Q11+IFERROR(VLOOKUP($E:$E,'（居民）工资表-3月'!$E:$U,17,0),0)</f>
        <v>1720.68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9779.32</v>
      </c>
      <c r="AE11" s="96">
        <f>ROUND(MAX((AD11)*{0.03;0.1;0.2;0.25;0.3;0.35;0.45}-{0;2520;16920;31920;52920;85920;181920},0),2)</f>
        <v>293.38</v>
      </c>
      <c r="AF11" s="97">
        <f>IFERROR(VLOOKUP(E:E,'（居民）工资表-3月'!E:AF,28,0)+VLOOKUP(E:E,'（居民）工资表-3月'!E:AG,29,0),0)</f>
        <v>205.15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144</v>
      </c>
      <c r="C12" s="37" t="s">
        <v>174</v>
      </c>
      <c r="D12" s="37" t="s">
        <v>145</v>
      </c>
      <c r="E12" s="329" t="s">
        <v>175</v>
      </c>
      <c r="F12" s="38" t="s">
        <v>146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22000</v>
      </c>
      <c r="T12" s="91">
        <f>5000+IFERROR(VLOOKUP($E:$E,'（居民）工资表-3月'!$E:$T,16,0),0)</f>
        <v>15000</v>
      </c>
      <c r="U12" s="91">
        <f>Q12+IFERROR(VLOOKUP($E:$E,'（居民）工资表-3月'!$E:$U,17,0),0)</f>
        <v>2359.68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4640.32</v>
      </c>
      <c r="AE12" s="96">
        <f>ROUND(MAX((AD12)*{0.03;0.1;0.2;0.25;0.3;0.35;0.45}-{0;2520;16920;31920;52920;85920;181920},0),2)</f>
        <v>139.21</v>
      </c>
      <c r="AF12" s="97">
        <f>IFERROR(VLOOKUP(E:E,'（居民）工资表-3月'!E:AF,28,0)+VLOOKUP(E:E,'（居民）工资表-3月'!E:AG,29,0),0)</f>
        <v>102.37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144</v>
      </c>
      <c r="C13" s="37" t="s">
        <v>176</v>
      </c>
      <c r="D13" s="37" t="s">
        <v>145</v>
      </c>
      <c r="E13" s="329" t="s">
        <v>177</v>
      </c>
      <c r="F13" s="38" t="s">
        <v>146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23000</v>
      </c>
      <c r="T13" s="91">
        <f>5000+IFERROR(VLOOKUP($E:$E,'（居民）工资表-3月'!$E:$T,16,0),0)</f>
        <v>15000</v>
      </c>
      <c r="U13" s="91">
        <f>Q13+IFERROR(VLOOKUP($E:$E,'（居民）工资表-3月'!$E:$U,17,0),0)</f>
        <v>2359.68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5640.32</v>
      </c>
      <c r="AE13" s="96">
        <f>ROUND(MAX((AD13)*{0.03;0.1;0.2;0.25;0.3;0.35;0.45}-{0;2520;16920;31920;52920;85920;181920},0),2)</f>
        <v>169.21</v>
      </c>
      <c r="AF13" s="97">
        <f>IFERROR(VLOOKUP(E:E,'（居民）工资表-3月'!E:AF,28,0)+VLOOKUP(E:E,'（居民）工资表-3月'!E:AG,29,0),0)</f>
        <v>132.37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144</v>
      </c>
      <c r="C14" s="37" t="s">
        <v>178</v>
      </c>
      <c r="D14" s="37" t="s">
        <v>145</v>
      </c>
      <c r="E14" s="329" t="s">
        <v>179</v>
      </c>
      <c r="F14" s="38" t="s">
        <v>150</v>
      </c>
      <c r="G14" s="39" t="s">
        <v>180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7000</v>
      </c>
      <c r="T14" s="91">
        <f>5000+IFERROR(VLOOKUP($E:$E,'（居民）工资表-3月'!$E:$T,16,0),0)</f>
        <v>5000</v>
      </c>
      <c r="U14" s="91">
        <f>Q14+IFERROR(VLOOKUP($E:$E,'（居民）工资表-3月'!$E:$U,17,0),0)</f>
        <v>559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1441</v>
      </c>
      <c r="AE14" s="96">
        <f>ROUND(MAX((AD14)*{0.03;0.1;0.2;0.25;0.3;0.35;0.45}-{0;2520;16920;31920;52920;85920;181920},0),2)</f>
        <v>43.23</v>
      </c>
      <c r="AF14" s="97">
        <f>IFERROR(VLOOKUP(E:E,'（居民）工资表-3月'!E:AF,28,0)+VLOOKUP(E:E,'（居民）工资表-3月'!E:AG,29,0),0)</f>
        <v>0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144</v>
      </c>
      <c r="C15" s="37" t="s">
        <v>181</v>
      </c>
      <c r="D15" s="37" t="s">
        <v>145</v>
      </c>
      <c r="E15" s="329" t="s">
        <v>182</v>
      </c>
      <c r="F15" s="38" t="s">
        <v>150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6300</v>
      </c>
      <c r="T15" s="91">
        <f>5000+IFERROR(VLOOKUP($E:$E,'（居民）工资表-3月'!$E:$T,16,0),0)</f>
        <v>5000</v>
      </c>
      <c r="U15" s="91">
        <f>Q15+IFERROR(VLOOKUP($E:$E,'（居民）工资表-3月'!$E:$U,17,0),0)</f>
        <v>527.71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772.29</v>
      </c>
      <c r="AE15" s="96">
        <f>ROUND(MAX((AD15)*{0.03;0.1;0.2;0.25;0.3;0.35;0.45}-{0;2520;16920;31920;52920;85920;181920},0),2)</f>
        <v>23.17</v>
      </c>
      <c r="AF15" s="97">
        <f>IFERROR(VLOOKUP(E:E,'（居民）工资表-3月'!E:AF,28,0)+VLOOKUP(E:E,'（居民）工资表-3月'!E:AG,29,0),0)</f>
        <v>0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144</v>
      </c>
      <c r="C16" s="37" t="s">
        <v>183</v>
      </c>
      <c r="D16" s="37" t="s">
        <v>145</v>
      </c>
      <c r="E16" s="329" t="s">
        <v>184</v>
      </c>
      <c r="F16" s="38" t="s">
        <v>150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18000</v>
      </c>
      <c r="T16" s="91">
        <f>5000+IFERROR(VLOOKUP($E:$E,'（居民）工资表-3月'!$E:$T,16,0),0)</f>
        <v>15000</v>
      </c>
      <c r="U16" s="91">
        <f>Q16+IFERROR(VLOOKUP($E:$E,'（居民）工资表-3月'!$E:$U,17,0),0)</f>
        <v>1618.68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1381.32</v>
      </c>
      <c r="AE16" s="96">
        <f>ROUND(MAX((AD16)*{0.03;0.1;0.2;0.25;0.3;0.35;0.45}-{0;2520;16920;31920;52920;85920;181920},0),2)</f>
        <v>41.44</v>
      </c>
      <c r="AF16" s="97">
        <f>IFERROR(VLOOKUP(E:E,'（居民）工资表-3月'!E:AF,28,0)+VLOOKUP(E:E,'（居民）工资表-3月'!E:AG,29,0),0)</f>
        <v>27.19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144</v>
      </c>
      <c r="C17" s="37" t="s">
        <v>185</v>
      </c>
      <c r="D17" s="37" t="s">
        <v>145</v>
      </c>
      <c r="E17" s="329" t="s">
        <v>186</v>
      </c>
      <c r="F17" s="38" t="s">
        <v>146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30000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1627.71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13372.29</v>
      </c>
      <c r="AE17" s="96">
        <f>ROUND(MAX((AD17)*{0.03;0.1;0.2;0.25;0.3;0.35;0.45}-{0;2520;16920;31920;52920;85920;181920},0),2)</f>
        <v>401.17</v>
      </c>
      <c r="AF17" s="97">
        <f>IFERROR(VLOOKUP(E:E,'（居民）工资表-3月'!E:AF,28,0)+VLOOKUP(E:E,'（居民）工资表-3月'!E:AG,29,0),0)</f>
        <v>267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144</v>
      </c>
      <c r="C18" s="37" t="s">
        <v>187</v>
      </c>
      <c r="D18" s="37" t="s">
        <v>145</v>
      </c>
      <c r="E18" s="37" t="s">
        <v>188</v>
      </c>
      <c r="F18" s="38" t="s">
        <v>146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17226.67</v>
      </c>
      <c r="T18" s="91">
        <f>5000+IFERROR(VLOOKUP($E:$E,'（居民）工资表-3月'!$E:$T,16,0),0)</f>
        <v>15000</v>
      </c>
      <c r="U18" s="91">
        <f>Q18+IFERROR(VLOOKUP($E:$E,'（居民）工资表-3月'!$E:$U,17,0),0)</f>
        <v>1685.52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541.15</v>
      </c>
      <c r="AE18" s="96">
        <f>ROUND(MAX((AD18)*{0.03;0.1;0.2;0.25;0.3;0.35;0.45}-{0;2520;16920;31920;52920;85920;181920},0),2)</f>
        <v>16.23</v>
      </c>
      <c r="AF18" s="97">
        <f>IFERROR(VLOOKUP(E:E,'（居民）工资表-3月'!E:AF,28,0)+VLOOKUP(E:E,'（居民）工资表-3月'!E:AG,29,0),0)</f>
        <v>138.59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189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372598.31</v>
      </c>
      <c r="T20" s="74">
        <f t="shared" si="10"/>
        <v>205000</v>
      </c>
      <c r="U20" s="74">
        <f t="shared" si="10"/>
        <v>26946.89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140651.42</v>
      </c>
      <c r="AE20" s="74">
        <f t="shared" si="10"/>
        <v>6868.49</v>
      </c>
      <c r="AF20" s="74">
        <f t="shared" si="10"/>
        <v>3812.93</v>
      </c>
      <c r="AG20" s="74">
        <f t="shared" si="10"/>
        <v>3177.92</v>
      </c>
      <c r="AH20" s="74">
        <f t="shared" si="10"/>
        <v>113931.17</v>
      </c>
      <c r="AI20" s="74">
        <f t="shared" si="10"/>
        <v>0</v>
      </c>
      <c r="AJ20" s="74">
        <f t="shared" si="10"/>
        <v>113931.17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133</v>
      </c>
      <c r="C24" s="47" t="s">
        <v>190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113931.17</v>
      </c>
      <c r="C25" s="48">
        <f>AG20</f>
        <v>3177.92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191</v>
      </c>
      <c r="B27" s="52" t="s">
        <v>192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193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194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196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197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198</v>
      </c>
    </row>
    <row r="35" spans="2:2">
      <c r="B35" s="59" t="s">
        <v>199</v>
      </c>
    </row>
    <row r="36" spans="2:2">
      <c r="B36" s="59" t="s">
        <v>200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211</v>
      </c>
      <c r="C1" s="1"/>
      <c r="D1" s="1"/>
      <c r="E1" s="1"/>
    </row>
    <row r="2" ht="21" spans="2:2">
      <c r="B2" s="2"/>
    </row>
    <row r="3" ht="27.75" customHeight="1" spans="2:5">
      <c r="B3" s="3" t="s">
        <v>212</v>
      </c>
      <c r="C3" s="4" t="s">
        <v>213</v>
      </c>
      <c r="D3" s="4" t="s">
        <v>214</v>
      </c>
      <c r="E3" s="4" t="s">
        <v>215</v>
      </c>
    </row>
    <row r="4" ht="29.25" customHeight="1" spans="2:5">
      <c r="B4" s="5">
        <v>1</v>
      </c>
      <c r="C4" s="6" t="s">
        <v>216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217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218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219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220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221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222</v>
      </c>
      <c r="D10" s="7">
        <v>0.45</v>
      </c>
      <c r="E10" s="8">
        <v>181920</v>
      </c>
    </row>
    <row r="13" ht="57" customHeight="1" spans="2:5">
      <c r="B13" s="1" t="s">
        <v>223</v>
      </c>
      <c r="C13" s="1"/>
      <c r="D13" s="1"/>
      <c r="E13" s="1"/>
    </row>
    <row r="14" ht="21" spans="2:2">
      <c r="B14" s="2"/>
    </row>
    <row r="15" ht="27.75" customHeight="1" spans="2:5">
      <c r="B15" s="3" t="s">
        <v>212</v>
      </c>
      <c r="C15" s="4" t="s">
        <v>224</v>
      </c>
      <c r="D15" s="4" t="s">
        <v>214</v>
      </c>
      <c r="E15" s="4" t="s">
        <v>215</v>
      </c>
    </row>
    <row r="16" ht="29.25" customHeight="1" spans="2:5">
      <c r="B16" s="5">
        <v>1</v>
      </c>
      <c r="C16" s="6" t="s">
        <v>225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226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227</v>
      </c>
      <c r="D18" s="7">
        <v>0.4</v>
      </c>
      <c r="E18" s="8">
        <v>7000</v>
      </c>
    </row>
    <row r="21" ht="47.25" customHeight="1" spans="2:5">
      <c r="B21" s="1" t="s">
        <v>228</v>
      </c>
      <c r="C21" s="1"/>
      <c r="D21" s="1"/>
      <c r="E21" s="1"/>
    </row>
    <row r="22" ht="21" spans="2:2">
      <c r="B22" s="2"/>
    </row>
    <row r="23" ht="27.75" customHeight="1" spans="2:5">
      <c r="B23" s="3" t="s">
        <v>212</v>
      </c>
      <c r="C23" s="4" t="s">
        <v>229</v>
      </c>
      <c r="D23" s="4" t="s">
        <v>214</v>
      </c>
      <c r="E23" s="4" t="s">
        <v>215</v>
      </c>
    </row>
    <row r="24" ht="29.25" customHeight="1" spans="2:5">
      <c r="B24" s="5">
        <v>1</v>
      </c>
      <c r="C24" s="6" t="s">
        <v>230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231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232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233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234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235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236</v>
      </c>
      <c r="D30" s="7">
        <v>0.45</v>
      </c>
      <c r="E30" s="8">
        <v>15160</v>
      </c>
    </row>
    <row r="35" ht="57" customHeight="1" spans="2:5">
      <c r="B35" s="9" t="s">
        <v>237</v>
      </c>
      <c r="C35" s="9"/>
      <c r="D35" s="9"/>
      <c r="E35" s="9"/>
    </row>
    <row r="36" ht="14.25"/>
    <row r="37" ht="21.75" customHeight="1" spans="2:5">
      <c r="B37" s="3" t="s">
        <v>212</v>
      </c>
      <c r="C37" s="4" t="s">
        <v>238</v>
      </c>
      <c r="D37" s="4" t="s">
        <v>239</v>
      </c>
      <c r="E37" s="4" t="s">
        <v>215</v>
      </c>
    </row>
    <row r="38" ht="21.75" customHeight="1" spans="2:5">
      <c r="B38" s="5">
        <v>1</v>
      </c>
      <c r="C38" s="6" t="s">
        <v>230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231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232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233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234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235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236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2025-03-03T08:42:04Z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2052-12.1.0.20305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