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225" tabRatio="609" firstSheet="1" activeTab="1"/>
  </bookViews>
  <sheets>
    <sheet name="社保" sheetId="27" state="hidden" r:id="rId1"/>
    <sheet name="付款通知" sheetId="26" r:id="rId2"/>
    <sheet name="（居民）工资表-7月" sheetId="20" state="hidden" r:id="rId3"/>
    <sheet name="（居民）工资表-5月" sheetId="18" state="hidden" r:id="rId4"/>
    <sheet name="（居民）工资表-6月" sheetId="19" state="hidden" r:id="rId5"/>
    <sheet name="（居民）工资表-8月" sheetId="21" state="hidden" r:id="rId6"/>
    <sheet name="（居民）工资表-9月" sheetId="22" state="hidden" r:id="rId7"/>
    <sheet name="（居民）工资表-10月" sheetId="23" state="hidden" r:id="rId8"/>
    <sheet name="（居民）工资表-11月" sheetId="24" state="hidden" r:id="rId9"/>
    <sheet name="（居民）工资表-1月" sheetId="1" state="hidden" r:id="rId10"/>
    <sheet name="（居民）工资表-12月" sheetId="25" state="hidden" r:id="rId11"/>
    <sheet name="（居民）工资表-2月" sheetId="15" state="hidden" r:id="rId12"/>
    <sheet name="（居民）工资表-3月" sheetId="16" r:id="rId13"/>
    <sheet name="（居民）工资表-4月" sheetId="17" state="hidden" r:id="rId14"/>
    <sheet name="Sheet1" sheetId="14" state="hidden" r:id="rId15"/>
  </sheets>
  <externalReferences>
    <externalReference r:id="rId17"/>
    <externalReference r:id="rId18"/>
    <externalReference r:id="rId19"/>
  </externalReferences>
  <definedNames>
    <definedName name="_xlnm._FilterDatabase" localSheetId="2" hidden="1">'（居民）工资表-7月'!$A$3:$AL$20</definedName>
    <definedName name="_xlnm._FilterDatabase" localSheetId="3" hidden="1">'（居民）工资表-5月'!$A$3:$AT$20</definedName>
    <definedName name="_xlnm._FilterDatabase" localSheetId="6" hidden="1">'（居民）工资表-9月'!$A$3:$AT$18</definedName>
    <definedName name="_xlnm._FilterDatabase" localSheetId="7" hidden="1">'（居民）工资表-10月'!$A$3:$AT$18</definedName>
    <definedName name="_xlnm._FilterDatabase" localSheetId="8" hidden="1">'（居民）工资表-11月'!$A$3:$AT$18</definedName>
    <definedName name="_xlnm._FilterDatabase" localSheetId="10" hidden="1">'（居民）工资表-12月'!$A$3:$AT$18</definedName>
    <definedName name="_xlnm._FilterDatabase" localSheetId="11" hidden="1">'（居民）工资表-2月'!$A$3:$AT$19</definedName>
    <definedName name="_xlnm._FilterDatabase" localSheetId="12" hidden="1">'（居民）工资表-3月'!$A$3:$AT$18</definedName>
    <definedName name="_xlnm._FilterDatabase" localSheetId="13" hidden="1">'（居民）工资表-4月'!$A$3:$AT$20</definedName>
    <definedName name="_xlnm._FilterDatabase" localSheetId="5" hidden="1">'（居民）工资表-8月'!$A$3:$AT$20</definedName>
    <definedName name="_xlnm._FilterDatabase" localSheetId="4" hidden="1">'（居民）工资表-6月'!$A$3:$AV$18</definedName>
    <definedName name="_xlnm._FilterDatabase" localSheetId="9" hidden="1">'（居民）工资表-1月'!$A$3:$AV$19</definedName>
    <definedName name="_xlnm.Print_Area" localSheetId="7">'（居民）工资表-10月'!$A$1:$AT$24</definedName>
    <definedName name="_xlnm.Print_Area" localSheetId="8">'（居民）工资表-11月'!$A$1:$AT$24</definedName>
    <definedName name="_xlnm.Print_Area" localSheetId="10">'（居民）工资表-12月'!$A$1:$AT$24</definedName>
    <definedName name="_xlnm.Print_Area" localSheetId="9">'（居民）工资表-1月'!$A$1:$AT$25</definedName>
    <definedName name="_xlnm.Print_Area" localSheetId="11">'（居民）工资表-2月'!$A$1:$AT$24</definedName>
    <definedName name="_xlnm.Print_Area" localSheetId="12">'（居民）工资表-3月'!$A$1:$AT$24</definedName>
    <definedName name="_xlnm.Print_Area" localSheetId="13">'（居民）工资表-4月'!$A$1:$AT$26</definedName>
    <definedName name="_xlnm.Print_Area" localSheetId="3">'（居民）工资表-5月'!$A$1:$AT$26</definedName>
    <definedName name="_xlnm.Print_Area" localSheetId="4">'（居民）工资表-6月'!$A$1:$AT$26</definedName>
    <definedName name="_xlnm.Print_Area" localSheetId="2">'（居民）工资表-7月'!$A$1:$AL$26</definedName>
    <definedName name="_xlnm.Print_Area" localSheetId="5">'（居民）工资表-8月'!$A$1:$AT$26</definedName>
    <definedName name="_xlnm.Print_Area" localSheetId="6">'（居民）工资表-9月'!$A$1:$AT$24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kk</author>
  </authors>
  <commentList>
    <comment ref="B1" authorId="0">
      <text>
        <r>
          <rPr>
            <sz val="9"/>
            <rFont val="宋体"/>
            <charset val="134"/>
          </rPr>
          <t>kk:
请填写客户全称</t>
        </r>
      </text>
    </comment>
    <comment ref="D1" authorId="0">
      <text>
        <r>
          <rPr>
            <sz val="9"/>
            <rFont val="宋体"/>
            <charset val="134"/>
          </rPr>
          <t>kk:
参照系统分类，以签署合同为准</t>
        </r>
      </text>
    </comment>
    <comment ref="F1" authorId="0">
      <text>
        <r>
          <rPr>
            <sz val="9"/>
            <rFont val="宋体"/>
            <charset val="134"/>
          </rPr>
          <t>kk:
以身份证为准，不要空格</t>
        </r>
      </text>
    </comment>
    <comment ref="G1" authorId="0">
      <text>
        <r>
          <rPr>
            <sz val="9"/>
            <rFont val="宋体"/>
            <charset val="134"/>
          </rPr>
          <t>kk:
18位身份证号码，不要空格</t>
        </r>
      </text>
    </comment>
    <comment ref="AS2" authorId="0">
      <text>
        <r>
          <rPr>
            <sz val="9"/>
            <rFont val="宋体"/>
            <charset val="134"/>
          </rPr>
          <t>kk:
养老保险公司汇缴+医疗保险公司汇缴+失业保险公司汇缴+生育保险公司汇缴+工伤保险公司汇缴+补充养老公司汇缴</t>
        </r>
      </text>
    </comment>
    <comment ref="AT2" authorId="0">
      <text>
        <r>
          <rPr>
            <sz val="9"/>
            <rFont val="宋体"/>
            <charset val="134"/>
          </rPr>
          <t xml:space="preserve">kk:
养老保险个人汇缴+医疗保险个人汇缴+失业保险个人汇缴+补充养老个人汇缴
</t>
        </r>
      </text>
    </comment>
    <comment ref="AW2" authorId="0">
      <text>
        <r>
          <rPr>
            <sz val="9"/>
            <rFont val="宋体"/>
            <charset val="134"/>
          </rPr>
          <t xml:space="preserve">kk:
社保公司+社保个人+公积金公司+公积金个人
</t>
        </r>
      </text>
    </comment>
  </commentList>
</comments>
</file>

<file path=xl/comments10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1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2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3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4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2.xml><?xml version="1.0" encoding="utf-8"?>
<comments xmlns="http://schemas.openxmlformats.org/spreadsheetml/2006/main">
  <authors>
    <author>作者</author>
  </authors>
  <commentList>
    <comment ref="F17" authorId="0">
      <text>
        <r>
          <rPr>
            <sz val="9"/>
            <rFont val="宋体"/>
            <charset val="134"/>
          </rPr>
          <t>作者:
含补缴人数</t>
        </r>
      </text>
    </comment>
  </commentList>
</comments>
</file>

<file path=xl/comments3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4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5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6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7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8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9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sharedStrings.xml><?xml version="1.0" encoding="utf-8"?>
<sst xmlns="http://schemas.openxmlformats.org/spreadsheetml/2006/main" count="2060" uniqueCount="240">
  <si>
    <t>序号</t>
  </si>
  <si>
    <t>客户名称</t>
  </si>
  <si>
    <t>缴费城市</t>
  </si>
  <si>
    <t>产品类型</t>
  </si>
  <si>
    <t>成本中心</t>
  </si>
  <si>
    <t>员工姓名</t>
  </si>
  <si>
    <t>身份证号码</t>
  </si>
  <si>
    <t>社保缴纳起始月</t>
  </si>
  <si>
    <t>公积金缴纳起始月</t>
  </si>
  <si>
    <t>社保缴纳所属月</t>
  </si>
  <si>
    <t>公积金缴纳所属月</t>
  </si>
  <si>
    <t>养老保险</t>
  </si>
  <si>
    <t>医疗保险</t>
  </si>
  <si>
    <t>失业保险</t>
  </si>
  <si>
    <t>生育保险</t>
  </si>
  <si>
    <t>工伤保险</t>
  </si>
  <si>
    <t>住房公积金</t>
  </si>
  <si>
    <t>补充医疗保险</t>
  </si>
  <si>
    <t>大病</t>
  </si>
  <si>
    <t>缴纳小计</t>
  </si>
  <si>
    <t>社保合计</t>
  </si>
  <si>
    <t>公积金合计</t>
  </si>
  <si>
    <t>服务费</t>
  </si>
  <si>
    <t>总计</t>
  </si>
  <si>
    <t>备注</t>
  </si>
  <si>
    <t>缴纳基数</t>
  </si>
  <si>
    <t>公司比例</t>
  </si>
  <si>
    <t>公司金额</t>
  </si>
  <si>
    <t>个人比例</t>
  </si>
  <si>
    <t>个人金额</t>
  </si>
  <si>
    <t>比例</t>
  </si>
  <si>
    <t>金额</t>
  </si>
  <si>
    <t>公司</t>
  </si>
  <si>
    <t>个人</t>
  </si>
  <si>
    <t>社保公司</t>
  </si>
  <si>
    <t>社保个人</t>
  </si>
  <si>
    <t>公积金公司</t>
  </si>
  <si>
    <t>公积金个人</t>
  </si>
  <si>
    <t>小计</t>
  </si>
  <si>
    <t>北京创联致信科技有限公司</t>
  </si>
  <si>
    <t>太原</t>
  </si>
  <si>
    <t>代理</t>
  </si>
  <si>
    <t>山西鼎诺</t>
  </si>
  <si>
    <t>赵强</t>
  </si>
  <si>
    <t>142732199004126819</t>
  </si>
  <si>
    <t>202010</t>
  </si>
  <si>
    <t>202004</t>
  </si>
  <si>
    <t xml:space="preserve"> </t>
  </si>
  <si>
    <t>202005</t>
  </si>
  <si>
    <t>202006</t>
  </si>
  <si>
    <t>广州</t>
  </si>
  <si>
    <t>易才</t>
  </si>
  <si>
    <t>冯月燕</t>
  </si>
  <si>
    <t>440602197506030928</t>
  </si>
  <si>
    <t>无</t>
  </si>
  <si>
    <t>补收</t>
  </si>
  <si>
    <t>202001</t>
  </si>
  <si>
    <t>补收1-3工伤基数差</t>
  </si>
  <si>
    <t>202002</t>
  </si>
  <si>
    <t>202003</t>
  </si>
  <si>
    <t>四平</t>
  </si>
  <si>
    <t>赵亮</t>
  </si>
  <si>
    <t>220303198203102617</t>
  </si>
  <si>
    <t>202104</t>
  </si>
  <si>
    <t>1580</t>
  </si>
  <si>
    <t>202007</t>
  </si>
  <si>
    <t>分项合计</t>
  </si>
  <si>
    <t>付款通知书</t>
  </si>
  <si>
    <t>尊敬的客户：北京创联致信科技有限公司</t>
  </si>
  <si>
    <t>根据贵公司与我公司所签订的服务协议，请贵公司在2025年3月8日之前按照下列表格内容支付相关款项.</t>
  </si>
  <si>
    <t>本 期 应 付 款 汇 总 结 算 明 细</t>
  </si>
  <si>
    <t>汇款信息：</t>
  </si>
  <si>
    <t/>
  </si>
  <si>
    <t>本期应付款合计（小写）：</t>
  </si>
  <si>
    <t>账户全称：</t>
  </si>
  <si>
    <t>北京易才博普奥管理顾问有限公司</t>
  </si>
  <si>
    <t>本期应付款合计（大写）：</t>
  </si>
  <si>
    <t>开户银行：</t>
  </si>
  <si>
    <t>招商银行北京自贸试验区商务中心区支行</t>
  </si>
  <si>
    <t>本期款项合计：</t>
  </si>
  <si>
    <t>尾数调整：</t>
  </si>
  <si>
    <t>银行账号：</t>
  </si>
  <si>
    <t>110909478010001</t>
  </si>
  <si>
    <t>预收款(+)：</t>
  </si>
  <si>
    <r>
      <rPr>
        <sz val="10"/>
        <color indexed="8"/>
        <rFont val="宋体"/>
        <charset val="134"/>
      </rPr>
      <t>工资保证金</t>
    </r>
    <r>
      <rPr>
        <sz val="10"/>
        <color indexed="8"/>
        <rFont val="宋体"/>
        <charset val="134"/>
      </rPr>
      <t>(+)</t>
    </r>
    <r>
      <rPr>
        <sz val="10"/>
        <color indexed="8"/>
        <rFont val="宋体"/>
        <charset val="134"/>
      </rPr>
      <t>：</t>
    </r>
  </si>
  <si>
    <t>联行号：</t>
  </si>
  <si>
    <t>308100005385</t>
  </si>
  <si>
    <t>本期减免服务费(+)：</t>
  </si>
  <si>
    <r>
      <rPr>
        <sz val="10"/>
        <color indexed="8"/>
        <rFont val="宋体"/>
        <charset val="134"/>
      </rPr>
      <t>上期预收款</t>
    </r>
    <r>
      <rPr>
        <sz val="10"/>
        <color indexed="8"/>
        <rFont val="宋体"/>
        <charset val="134"/>
      </rPr>
      <t>(-)</t>
    </r>
    <r>
      <rPr>
        <sz val="10"/>
        <color indexed="8"/>
        <rFont val="宋体"/>
        <charset val="134"/>
      </rPr>
      <t>：</t>
    </r>
  </si>
  <si>
    <r>
      <rPr>
        <sz val="10"/>
        <color indexed="8"/>
        <rFont val="宋体"/>
        <charset val="134"/>
      </rPr>
      <t>自划金额</t>
    </r>
    <r>
      <rPr>
        <sz val="10"/>
        <color indexed="8"/>
        <rFont val="宋体"/>
        <charset val="134"/>
      </rPr>
      <t>(-)</t>
    </r>
    <r>
      <rPr>
        <sz val="10"/>
        <color indexed="8"/>
        <rFont val="宋体"/>
        <charset val="134"/>
      </rPr>
      <t>：</t>
    </r>
  </si>
  <si>
    <t>gggggggggggggggggggggggggggggghhhhhhhhhhhhhhhhhhhhhhhhhhhhhhhhhhhhhhhhhhhhhhhhhhhhhh</t>
  </si>
  <si>
    <t>费用列项</t>
  </si>
  <si>
    <t>费用明细</t>
  </si>
  <si>
    <t>人次</t>
  </si>
  <si>
    <t>1.请您在三个工作日内核对数据明细及总金额并回复确认。如在三个工作日内未收到您的回复，我司将视为您已确认以上应付款合计金额，并同意按此金额付款。
2.上列账款敬请按照合同约定时间及时支付，若通过银行汇款，请在“用途”中写上本账单右上角帐单号。</t>
  </si>
  <si>
    <t>人工成本</t>
  </si>
  <si>
    <t>工资(应税工资:实发+个税+残障金)</t>
  </si>
  <si>
    <t>社   保(企业+个人)</t>
  </si>
  <si>
    <t>正常月</t>
  </si>
  <si>
    <t>公积金(企业+个人)</t>
  </si>
  <si>
    <t>人事管理费用</t>
  </si>
  <si>
    <t>服务费（含税）</t>
  </si>
  <si>
    <t>税金</t>
  </si>
  <si>
    <t>合计:</t>
  </si>
  <si>
    <t>开票金额:</t>
  </si>
  <si>
    <t xml:space="preserve"> 注：只填写表头字体颜色为红色的项目，其他数据有公式自动带出，不要修改</t>
  </si>
  <si>
    <t>此区域不能空白，没有金额请填0，负数金额不能填写</t>
  </si>
  <si>
    <t>客户简称</t>
  </si>
  <si>
    <t>*姓名</t>
  </si>
  <si>
    <t>*证件类型</t>
  </si>
  <si>
    <t>*身份证号码</t>
  </si>
  <si>
    <t>*性别</t>
  </si>
  <si>
    <t>*联系电话</t>
  </si>
  <si>
    <t>*是否残疾烈属孤老</t>
  </si>
  <si>
    <t>*是否股东、投资者</t>
  </si>
  <si>
    <t>入职日期</t>
  </si>
  <si>
    <t>离职日期</t>
  </si>
  <si>
    <t>*应发工资</t>
  </si>
  <si>
    <t>*本月专项扣除</t>
  </si>
  <si>
    <t>本月个人社保
代扣合计</t>
  </si>
  <si>
    <t>其他扣除</t>
  </si>
  <si>
    <t>累计收入额</t>
  </si>
  <si>
    <t>累计减除费用</t>
  </si>
  <si>
    <t>累计专项扣除</t>
  </si>
  <si>
    <t>*累计专项附加扣除</t>
  </si>
  <si>
    <t>累计专项附加扣除总额</t>
  </si>
  <si>
    <t>累计其他扣除</t>
  </si>
  <si>
    <t>累计预扣预缴
应纳税所得额</t>
  </si>
  <si>
    <t>累计应预扣预缴税额</t>
  </si>
  <si>
    <t>累计已扣缴税额</t>
  </si>
  <si>
    <t>本次应扣税额</t>
  </si>
  <si>
    <t>净工资</t>
  </si>
  <si>
    <t>其他税后调整</t>
  </si>
  <si>
    <t>实发工资</t>
  </si>
  <si>
    <t>企业应
支付费用
合计</t>
  </si>
  <si>
    <t>养老个人</t>
  </si>
  <si>
    <t>医疗个人</t>
  </si>
  <si>
    <t>失业个人</t>
  </si>
  <si>
    <t>子女教育</t>
  </si>
  <si>
    <t>赡养老人</t>
  </si>
  <si>
    <t>住房贷款利息</t>
  </si>
  <si>
    <t>住房租金</t>
  </si>
  <si>
    <t>继续教育</t>
  </si>
  <si>
    <t>大病医疗</t>
  </si>
  <si>
    <t>创联致信（上月工资上月社保账单费用）</t>
  </si>
  <si>
    <t>身份证</t>
  </si>
  <si>
    <t>男</t>
  </si>
  <si>
    <t>长春</t>
  </si>
  <si>
    <t>梁敏霞</t>
  </si>
  <si>
    <t>440883199611084547</t>
  </si>
  <si>
    <t>女</t>
  </si>
  <si>
    <t>冯玉</t>
  </si>
  <si>
    <t>370724197703022770</t>
  </si>
  <si>
    <t>13564614685</t>
  </si>
  <si>
    <t>上海</t>
  </si>
  <si>
    <t>傲云</t>
  </si>
  <si>
    <t>徐明龙</t>
  </si>
  <si>
    <t>340311199902251816</t>
  </si>
  <si>
    <t>15255242118</t>
  </si>
  <si>
    <t>合肥</t>
  </si>
  <si>
    <t>陈佳文</t>
  </si>
  <si>
    <t>34122719960403561X</t>
  </si>
  <si>
    <t>龙治旺</t>
  </si>
  <si>
    <t>43070219881009051X</t>
  </si>
  <si>
    <t>长沙</t>
  </si>
  <si>
    <t>孙海娟</t>
  </si>
  <si>
    <t>150428198211155123</t>
  </si>
  <si>
    <t>13875812115</t>
  </si>
  <si>
    <t>重庆</t>
  </si>
  <si>
    <t>重庆外商</t>
  </si>
  <si>
    <t>汤祥文</t>
  </si>
  <si>
    <t>340222198505126017</t>
  </si>
  <si>
    <t>天津</t>
  </si>
  <si>
    <t>天津易铭天</t>
  </si>
  <si>
    <t>杨旭</t>
  </si>
  <si>
    <t>341202199607081913</t>
  </si>
  <si>
    <t>任志伟</t>
  </si>
  <si>
    <t>341221199109161530</t>
  </si>
  <si>
    <t>朱必丰</t>
  </si>
  <si>
    <t>64222319950423161X</t>
  </si>
  <si>
    <t>18409625963</t>
  </si>
  <si>
    <t>周阳阳</t>
  </si>
  <si>
    <t>34031119950415085X</t>
  </si>
  <si>
    <t>张莉</t>
  </si>
  <si>
    <t>340122198910212909</t>
  </si>
  <si>
    <t>倪绍帅</t>
  </si>
  <si>
    <t>341225199804264377</t>
  </si>
  <si>
    <t>吕阳</t>
  </si>
  <si>
    <t>420704199405100011</t>
  </si>
  <si>
    <t>合计</t>
  </si>
  <si>
    <t>个税</t>
  </si>
  <si>
    <t>注：</t>
  </si>
  <si>
    <t>填表说明：</t>
  </si>
  <si>
    <t>1，表头字体为红色项目为客户单位必填项。</t>
  </si>
  <si>
    <t>2，表格内未标注底色的项目为客户单位填项,建议根据当月社保预收账单数据填写。</t>
  </si>
  <si>
    <t>3，请客户单位注意各项目上是否有批注，批注内的内容需重视。</t>
  </si>
  <si>
    <t>4，表格标蓝底单元格内大部分都有函数公式，请客户负责人不要随意更改，避免引起数据错误。</t>
  </si>
  <si>
    <t>5，若社保个人缴纳部分已在社保账单内收取，则工资账单内的社保个人部分不计入企业支付费用中。</t>
  </si>
  <si>
    <t>计算说明：</t>
  </si>
  <si>
    <t>1，累计预扣预缴应纳税所得额=累计收入-累计免税收入-累计减除费用-累计专项扣除-累计专项附加扣除-累计依法确定的其他扣除</t>
  </si>
  <si>
    <t>2，本期应预扣预缴税额=（累计预扣预缴应纳税所得额*预扣率-速算扣除数）-累计减免税额-累计已预扣预缴税额</t>
  </si>
  <si>
    <t>工资账号省份</t>
  </si>
  <si>
    <t>工资账号地市</t>
  </si>
  <si>
    <t>银行帐号</t>
  </si>
  <si>
    <t>开户银行全称</t>
  </si>
  <si>
    <t>开户行</t>
  </si>
  <si>
    <t>身份证号码验证</t>
  </si>
  <si>
    <t>身份证查重验证</t>
  </si>
  <si>
    <t>银行卡查重验证</t>
  </si>
  <si>
    <t>重庆易铭天</t>
  </si>
  <si>
    <t>残障金</t>
  </si>
  <si>
    <t>个人所得税预扣率表一（居民个人工资、薪金预扣预缴适用）</t>
  </si>
  <si>
    <t>级数</t>
  </si>
  <si>
    <t>累计预扣预缴应纳税所得额</t>
  </si>
  <si>
    <t>税率</t>
  </si>
  <si>
    <t>速算扣除数</t>
  </si>
  <si>
    <t>不超过36000元的</t>
  </si>
  <si>
    <t>超过36000元至144000元的部分</t>
  </si>
  <si>
    <t>超过144000元至300000元的部分</t>
  </si>
  <si>
    <t>超过300000元至420000元的部分</t>
  </si>
  <si>
    <t>超过420000元至660000元的部分</t>
  </si>
  <si>
    <t>超过660000元至960000元的部分</t>
  </si>
  <si>
    <t>超过960000元的部分</t>
  </si>
  <si>
    <t>个人所得税预扣率表二（居民个人劳务报酬预扣预缴适用）</t>
  </si>
  <si>
    <t>预扣预缴应纳税所得额</t>
  </si>
  <si>
    <t>不超过20000元的</t>
  </si>
  <si>
    <t>超过20000元至50000元的部分</t>
  </si>
  <si>
    <t>超过50000的部分</t>
  </si>
  <si>
    <t>个人所得税税率表三（非居民个人工资、薪金、劳务报酬、稿酬所得、特许权使用费所得适用）</t>
  </si>
  <si>
    <t>应纳税所得额</t>
  </si>
  <si>
    <t>不超过3000元的</t>
  </si>
  <si>
    <t>超过3000元至12000元的部分</t>
  </si>
  <si>
    <t>超过12000元至25000元的部分</t>
  </si>
  <si>
    <t>超过25000元至35000元的部分</t>
  </si>
  <si>
    <t>超过35000元至55000元的部分</t>
  </si>
  <si>
    <t>超过55000元至80000元的部分</t>
  </si>
  <si>
    <t>超过80000元的部分</t>
  </si>
  <si>
    <t>按月换算后的综合所得税率表
（年终奖适用 2019.1.1-2021-12.31）</t>
  </si>
  <si>
    <t>全月应纳税所得额</t>
  </si>
  <si>
    <t>税率（%）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</si>
</sst>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-804]General"/>
    <numFmt numFmtId="177" formatCode="0.00_ "/>
    <numFmt numFmtId="178" formatCode="0.00_);[Red]\(0.00\)"/>
    <numFmt numFmtId="179" formatCode="#,##0_);[Red]\(#,##0\)"/>
    <numFmt numFmtId="180" formatCode="#,##0.00_);[Red]\(#,##0.00\)"/>
    <numFmt numFmtId="181" formatCode="0_);[Red]\(0\)"/>
    <numFmt numFmtId="182" formatCode="&quot;$&quot;0_ "/>
    <numFmt numFmtId="183" formatCode="&quot;$&quot;#,##0_ ;[Red]\-&quot;$&quot;#,##0_ "/>
    <numFmt numFmtId="184" formatCode="General\ &quot;年&quot;"/>
    <numFmt numFmtId="185" formatCode="0.00_);\(0.00\)"/>
    <numFmt numFmtId="186" formatCode="0.00;[Red]0.00"/>
  </numFmts>
  <fonts count="125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6"/>
      <color theme="1"/>
      <name val="仿宋_GB2312"/>
      <charset val="134"/>
    </font>
    <font>
      <b/>
      <sz val="12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b/>
      <sz val="12"/>
      <color rgb="FF2C2C2C"/>
      <name val="宋体"/>
      <charset val="134"/>
      <scheme val="minor"/>
    </font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color rgb="FFFF0000"/>
      <name val="Arial Unicode MS"/>
      <charset val="134"/>
    </font>
    <font>
      <b/>
      <sz val="12"/>
      <color rgb="FFFF0000"/>
      <name val="Arial Unicode MS"/>
      <charset val="134"/>
    </font>
    <font>
      <sz val="12"/>
      <name val="Arial Unicode MS"/>
      <charset val="134"/>
    </font>
    <font>
      <b/>
      <sz val="10"/>
      <name val="Arial Unicode MS"/>
      <charset val="134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b/>
      <sz val="10"/>
      <color indexed="8"/>
      <name val="Arial Unicode MS"/>
      <charset val="134"/>
    </font>
    <font>
      <b/>
      <sz val="9"/>
      <color rgb="FFFF0000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10"/>
      <name val="宋体"/>
      <charset val="134"/>
    </font>
    <font>
      <b/>
      <sz val="9"/>
      <name val="宋体"/>
      <charset val="134"/>
    </font>
    <font>
      <b/>
      <sz val="9"/>
      <color indexed="10"/>
      <name val="宋体"/>
      <charset val="134"/>
    </font>
    <font>
      <b/>
      <sz val="10"/>
      <color rgb="FFFF000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b/>
      <sz val="20"/>
      <name val="黑体"/>
      <charset val="134"/>
    </font>
    <font>
      <b/>
      <sz val="12"/>
      <color indexed="8"/>
      <name val="宋体"/>
      <charset val="134"/>
    </font>
    <font>
      <sz val="10"/>
      <color indexed="8"/>
      <name val="Wingdings 2"/>
      <charset val="2"/>
    </font>
    <font>
      <sz val="11"/>
      <color indexed="0"/>
      <name val="宋体-PUA"/>
      <charset val="134"/>
    </font>
    <font>
      <sz val="9"/>
      <name val="Arial"/>
      <charset val="134"/>
    </font>
    <font>
      <sz val="11"/>
      <name val="宋体"/>
      <charset val="134"/>
    </font>
    <font>
      <sz val="9"/>
      <color indexed="8"/>
      <name val="宋体-PUA"/>
      <charset val="134"/>
    </font>
    <font>
      <sz val="9"/>
      <name val="宋体-PUA"/>
      <charset val="134"/>
    </font>
    <font>
      <b/>
      <sz val="11"/>
      <name val="宋体"/>
      <charset val="134"/>
    </font>
    <font>
      <sz val="9"/>
      <color indexed="0"/>
      <name val="宋体-PUA"/>
      <charset val="134"/>
    </font>
    <font>
      <b/>
      <sz val="12"/>
      <name val="宋体"/>
      <charset val="134"/>
    </font>
    <font>
      <b/>
      <sz val="10"/>
      <name val="Arial"/>
      <charset val="134"/>
    </font>
    <font>
      <sz val="10"/>
      <name val="Arial"/>
      <charset val="134"/>
    </font>
    <font>
      <sz val="10"/>
      <name val="宋体-PUA"/>
      <charset val="134"/>
    </font>
    <font>
      <b/>
      <sz val="12"/>
      <name val="微软雅黑"/>
      <charset val="134"/>
    </font>
    <font>
      <sz val="10"/>
      <name val="微软雅黑"/>
      <charset val="134"/>
    </font>
    <font>
      <b/>
      <sz val="10"/>
      <color indexed="8"/>
      <name val="微软雅黑"/>
      <charset val="134"/>
    </font>
    <font>
      <b/>
      <sz val="10"/>
      <name val="微软雅黑"/>
      <charset val="134"/>
    </font>
    <font>
      <i/>
      <sz val="11"/>
      <color indexed="0"/>
      <name val="宋体-PUA"/>
      <charset val="134"/>
    </font>
    <font>
      <b/>
      <sz val="12"/>
      <color indexed="0"/>
      <name val="宋体-PUA"/>
      <charset val="134"/>
    </font>
    <font>
      <b/>
      <i/>
      <sz val="11"/>
      <name val="微软雅黑"/>
      <family val="2"/>
      <charset val="134"/>
    </font>
    <font>
      <i/>
      <sz val="11"/>
      <color indexed="0"/>
      <name val="微软雅黑"/>
      <family val="2"/>
      <charset val="134"/>
    </font>
    <font>
      <b/>
      <sz val="12"/>
      <color indexed="0"/>
      <name val="宋体"/>
      <charset val="134"/>
    </font>
    <font>
      <sz val="12"/>
      <color indexed="0"/>
      <name val="微软雅黑"/>
      <family val="2"/>
      <charset val="134"/>
    </font>
    <font>
      <b/>
      <sz val="11"/>
      <color indexed="8"/>
      <name val="微软雅黑"/>
      <family val="2"/>
      <charset val="134"/>
    </font>
    <font>
      <b/>
      <sz val="11"/>
      <color indexed="8"/>
      <name val="宋体"/>
      <charset val="134"/>
    </font>
    <font>
      <b/>
      <sz val="11"/>
      <name val="微软雅黑"/>
      <family val="2"/>
      <charset val="134"/>
    </font>
    <font>
      <sz val="10"/>
      <color indexed="8"/>
      <name val="微软雅黑"/>
      <family val="2"/>
      <charset val="134"/>
    </font>
    <font>
      <b/>
      <sz val="10"/>
      <color indexed="8"/>
      <name val="微软雅黑"/>
      <family val="2"/>
      <charset val="134"/>
    </font>
    <font>
      <sz val="12"/>
      <name val="宋体-PUA"/>
      <charset val="134"/>
    </font>
    <font>
      <sz val="6"/>
      <name val="Arial"/>
      <charset val="134"/>
    </font>
    <font>
      <sz val="6"/>
      <color rgb="FFFF0000"/>
      <name val="Arial"/>
      <charset val="134"/>
    </font>
    <font>
      <sz val="6"/>
      <color indexed="8"/>
      <name val="Arial"/>
      <charset val="134"/>
    </font>
    <font>
      <b/>
      <sz val="11"/>
      <color indexed="10"/>
      <name val="宋体"/>
      <charset val="134"/>
    </font>
    <font>
      <sz val="11"/>
      <color indexed="10"/>
      <name val="宋体"/>
      <charset val="134"/>
    </font>
    <font>
      <sz val="11"/>
      <color indexed="8"/>
      <name val="微软雅黑"/>
      <charset val="134"/>
    </font>
    <font>
      <sz val="10"/>
      <name val="SimSun"/>
      <charset val="134"/>
    </font>
    <font>
      <sz val="10.5"/>
      <name val="宋体"/>
      <charset val="134"/>
    </font>
    <font>
      <sz val="9"/>
      <name val="Segoe UI"/>
      <charset val="134"/>
    </font>
    <font>
      <sz val="10"/>
      <color rgb="FFFF0000"/>
      <name val="SimSun"/>
      <charset val="134"/>
    </font>
    <font>
      <sz val="10"/>
      <color rgb="FFFF0000"/>
      <name val="宋体"/>
      <charset val="134"/>
      <scheme val="minor"/>
    </font>
    <font>
      <sz val="10.5"/>
      <color rgb="FFFF0000"/>
      <name val="宋体"/>
      <charset val="134"/>
    </font>
    <font>
      <sz val="9"/>
      <color rgb="FFFF0000"/>
      <name val="Segoe UI"/>
      <charset val="134"/>
    </font>
    <font>
      <sz val="10"/>
      <color indexed="8"/>
      <name val="SimSun"/>
      <charset val="134"/>
    </font>
    <font>
      <sz val="10"/>
      <color theme="1"/>
      <name val="SimSun"/>
      <charset val="134"/>
    </font>
    <font>
      <sz val="10.5"/>
      <color rgb="FF191F25"/>
      <name val="Segoe UI"/>
      <charset val="134"/>
    </font>
    <font>
      <sz val="9"/>
      <color rgb="FF191F25"/>
      <name val="Segoe UI"/>
      <charset val="134"/>
    </font>
    <font>
      <sz val="10"/>
      <name val="宋体"/>
      <charset val="134"/>
      <scheme val="major"/>
    </font>
    <font>
      <sz val="10"/>
      <color rgb="FFFF0000"/>
      <name val="宋体"/>
      <charset val="134"/>
      <scheme val="major"/>
    </font>
    <font>
      <sz val="10"/>
      <color theme="1"/>
      <name val="宋体"/>
      <charset val="134"/>
      <scheme val="major"/>
    </font>
    <font>
      <b/>
      <sz val="9"/>
      <color indexed="8"/>
      <name val="微软雅黑"/>
      <charset val="134"/>
    </font>
    <font>
      <sz val="9"/>
      <color rgb="FFFF0000"/>
      <name val="宋体"/>
      <charset val="134"/>
    </font>
    <font>
      <sz val="10"/>
      <color rgb="FFFF0000"/>
      <name val="微软雅黑"/>
      <charset val="134"/>
    </font>
    <font>
      <sz val="10"/>
      <color theme="1"/>
      <name val="微软雅黑"/>
      <charset val="134"/>
    </font>
    <font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  <font>
      <sz val="12"/>
      <name val="宋体"/>
      <charset val="134"/>
    </font>
    <font>
      <b/>
      <sz val="11"/>
      <color indexed="52"/>
      <name val="宋体"/>
      <charset val="134"/>
    </font>
    <font>
      <i/>
      <sz val="11"/>
      <color indexed="23"/>
      <name val="宋体"/>
      <charset val="134"/>
    </font>
    <font>
      <sz val="10"/>
      <name val="Geneva"/>
      <charset val="134"/>
    </font>
    <font>
      <b/>
      <sz val="11"/>
      <color indexed="9"/>
      <name val="宋体"/>
      <charset val="134"/>
    </font>
    <font>
      <sz val="11"/>
      <color indexed="60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sz val="10"/>
      <color indexed="8"/>
      <name val="Arial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0"/>
      <name val="Helv"/>
      <charset val="134"/>
    </font>
    <font>
      <b/>
      <sz val="18"/>
      <color indexed="56"/>
      <name val="宋体"/>
      <charset val="134"/>
    </font>
    <font>
      <sz val="12"/>
      <color indexed="8"/>
      <name val="Verdana"/>
      <charset val="134"/>
    </font>
    <font>
      <u/>
      <sz val="10"/>
      <color indexed="12"/>
      <name val="新細明體"/>
      <charset val="134"/>
    </font>
    <font>
      <sz val="12"/>
      <name val="Times New Roman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name val="Tahoma"/>
      <charset val="134"/>
    </font>
  </fonts>
  <fills count="61">
    <fill>
      <patternFill patternType="none"/>
    </fill>
    <fill>
      <patternFill patternType="gray125"/>
    </fill>
    <fill>
      <patternFill patternType="solid">
        <fgColor theme="0" tint="-0.34998626667073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lightGrid">
        <fgColor indexed="22"/>
        <bgColor indexed="22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6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auto="1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49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0" fillId="10" borderId="45" applyNumberFormat="0" applyFont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7" fillId="0" borderId="46" applyNumberFormat="0" applyFill="0" applyAlignment="0" applyProtection="0">
      <alignment vertical="center"/>
    </xf>
    <xf numFmtId="0" fontId="88" fillId="0" borderId="46" applyNumberFormat="0" applyFill="0" applyAlignment="0" applyProtection="0">
      <alignment vertical="center"/>
    </xf>
    <xf numFmtId="0" fontId="89" fillId="0" borderId="47" applyNumberFormat="0" applyFill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90" fillId="11" borderId="48" applyNumberFormat="0" applyAlignment="0" applyProtection="0">
      <alignment vertical="center"/>
    </xf>
    <xf numFmtId="0" fontId="91" fillId="12" borderId="49" applyNumberFormat="0" applyAlignment="0" applyProtection="0">
      <alignment vertical="center"/>
    </xf>
    <xf numFmtId="0" fontId="92" fillId="12" borderId="48" applyNumberFormat="0" applyAlignment="0" applyProtection="0">
      <alignment vertical="center"/>
    </xf>
    <xf numFmtId="0" fontId="93" fillId="13" borderId="50" applyNumberFormat="0" applyAlignment="0" applyProtection="0">
      <alignment vertical="center"/>
    </xf>
    <xf numFmtId="0" fontId="94" fillId="0" borderId="51" applyNumberFormat="0" applyFill="0" applyAlignment="0" applyProtection="0">
      <alignment vertical="center"/>
    </xf>
    <xf numFmtId="0" fontId="95" fillId="0" borderId="52" applyNumberFormat="0" applyFill="0" applyAlignment="0" applyProtection="0">
      <alignment vertical="center"/>
    </xf>
    <xf numFmtId="0" fontId="96" fillId="14" borderId="0" applyNumberFormat="0" applyBorder="0" applyAlignment="0" applyProtection="0">
      <alignment vertical="center"/>
    </xf>
    <xf numFmtId="0" fontId="97" fillId="15" borderId="0" applyNumberFormat="0" applyBorder="0" applyAlignment="0" applyProtection="0">
      <alignment vertical="center"/>
    </xf>
    <xf numFmtId="0" fontId="98" fillId="16" borderId="0" applyNumberFormat="0" applyBorder="0" applyAlignment="0" applyProtection="0">
      <alignment vertical="center"/>
    </xf>
    <xf numFmtId="0" fontId="99" fillId="17" borderId="0" applyNumberFormat="0" applyBorder="0" applyAlignment="0" applyProtection="0">
      <alignment vertical="center"/>
    </xf>
    <xf numFmtId="0" fontId="100" fillId="18" borderId="0" applyNumberFormat="0" applyBorder="0" applyAlignment="0" applyProtection="0">
      <alignment vertical="center"/>
    </xf>
    <xf numFmtId="0" fontId="100" fillId="19" borderId="0" applyNumberFormat="0" applyBorder="0" applyAlignment="0" applyProtection="0">
      <alignment vertical="center"/>
    </xf>
    <xf numFmtId="0" fontId="99" fillId="20" borderId="0" applyNumberFormat="0" applyBorder="0" applyAlignment="0" applyProtection="0">
      <alignment vertical="center"/>
    </xf>
    <xf numFmtId="0" fontId="99" fillId="21" borderId="0" applyNumberFormat="0" applyBorder="0" applyAlignment="0" applyProtection="0">
      <alignment vertical="center"/>
    </xf>
    <xf numFmtId="0" fontId="100" fillId="22" borderId="0" applyNumberFormat="0" applyBorder="0" applyAlignment="0" applyProtection="0">
      <alignment vertical="center"/>
    </xf>
    <xf numFmtId="0" fontId="100" fillId="23" borderId="0" applyNumberFormat="0" applyBorder="0" applyAlignment="0" applyProtection="0">
      <alignment vertical="center"/>
    </xf>
    <xf numFmtId="0" fontId="99" fillId="24" borderId="0" applyNumberFormat="0" applyBorder="0" applyAlignment="0" applyProtection="0">
      <alignment vertical="center"/>
    </xf>
    <xf numFmtId="0" fontId="99" fillId="25" borderId="0" applyNumberFormat="0" applyBorder="0" applyAlignment="0" applyProtection="0">
      <alignment vertical="center"/>
    </xf>
    <xf numFmtId="0" fontId="100" fillId="26" borderId="0" applyNumberFormat="0" applyBorder="0" applyAlignment="0" applyProtection="0">
      <alignment vertical="center"/>
    </xf>
    <xf numFmtId="0" fontId="100" fillId="27" borderId="0" applyNumberFormat="0" applyBorder="0" applyAlignment="0" applyProtection="0">
      <alignment vertical="center"/>
    </xf>
    <xf numFmtId="0" fontId="99" fillId="28" borderId="0" applyNumberFormat="0" applyBorder="0" applyAlignment="0" applyProtection="0">
      <alignment vertical="center"/>
    </xf>
    <xf numFmtId="0" fontId="99" fillId="29" borderId="0" applyNumberFormat="0" applyBorder="0" applyAlignment="0" applyProtection="0">
      <alignment vertical="center"/>
    </xf>
    <xf numFmtId="0" fontId="100" fillId="30" borderId="0" applyNumberFormat="0" applyBorder="0" applyAlignment="0" applyProtection="0">
      <alignment vertical="center"/>
    </xf>
    <xf numFmtId="0" fontId="100" fillId="31" borderId="0" applyNumberFormat="0" applyBorder="0" applyAlignment="0" applyProtection="0">
      <alignment vertical="center"/>
    </xf>
    <xf numFmtId="0" fontId="99" fillId="32" borderId="0" applyNumberFormat="0" applyBorder="0" applyAlignment="0" applyProtection="0">
      <alignment vertical="center"/>
    </xf>
    <xf numFmtId="0" fontId="99" fillId="33" borderId="0" applyNumberFormat="0" applyBorder="0" applyAlignment="0" applyProtection="0">
      <alignment vertical="center"/>
    </xf>
    <xf numFmtId="0" fontId="100" fillId="34" borderId="0" applyNumberFormat="0" applyBorder="0" applyAlignment="0" applyProtection="0">
      <alignment vertical="center"/>
    </xf>
    <xf numFmtId="0" fontId="100" fillId="4" borderId="0" applyNumberFormat="0" applyBorder="0" applyAlignment="0" applyProtection="0">
      <alignment vertical="center"/>
    </xf>
    <xf numFmtId="0" fontId="99" fillId="35" borderId="0" applyNumberFormat="0" applyBorder="0" applyAlignment="0" applyProtection="0">
      <alignment vertical="center"/>
    </xf>
    <xf numFmtId="0" fontId="99" fillId="36" borderId="0" applyNumberFormat="0" applyBorder="0" applyAlignment="0" applyProtection="0">
      <alignment vertical="center"/>
    </xf>
    <xf numFmtId="0" fontId="100" fillId="37" borderId="0" applyNumberFormat="0" applyBorder="0" applyAlignment="0" applyProtection="0">
      <alignment vertical="center"/>
    </xf>
    <xf numFmtId="0" fontId="100" fillId="38" borderId="0" applyNumberFormat="0" applyBorder="0" applyAlignment="0" applyProtection="0">
      <alignment vertical="center"/>
    </xf>
    <xf numFmtId="0" fontId="99" fillId="39" borderId="0" applyNumberFormat="0" applyBorder="0" applyAlignment="0" applyProtection="0">
      <alignment vertical="center"/>
    </xf>
    <xf numFmtId="0" fontId="101" fillId="40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103" fillId="0" borderId="54" applyNumberFormat="0" applyFill="0" applyAlignment="0" applyProtection="0">
      <alignment vertical="center"/>
    </xf>
    <xf numFmtId="0" fontId="101" fillId="40" borderId="0" applyNumberFormat="0" applyBorder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39" fillId="0" borderId="0">
      <alignment vertical="center"/>
    </xf>
    <xf numFmtId="0" fontId="103" fillId="0" borderId="54" applyNumberFormat="0" applyFill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0" borderId="0">
      <alignment vertical="center"/>
    </xf>
    <xf numFmtId="0" fontId="104" fillId="0" borderId="0"/>
    <xf numFmtId="0" fontId="105" fillId="41" borderId="56" applyNumberFormat="0" applyAlignment="0" applyProtection="0">
      <alignment vertical="center"/>
    </xf>
    <xf numFmtId="0" fontId="101" fillId="43" borderId="0" applyNumberFormat="0" applyBorder="0" applyAlignment="0" applyProtection="0">
      <alignment vertical="center"/>
    </xf>
    <xf numFmtId="0" fontId="6" fillId="0" borderId="0">
      <alignment vertical="center"/>
    </xf>
    <xf numFmtId="0" fontId="101" fillId="44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101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101" fillId="47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07" fillId="0" borderId="0"/>
    <xf numFmtId="0" fontId="6" fillId="46" borderId="57" applyNumberFormat="0" applyFont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104" fillId="0" borderId="0">
      <alignment vertical="center"/>
    </xf>
    <xf numFmtId="0" fontId="6" fillId="46" borderId="57" applyNumberFormat="0" applyFont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104" fillId="0" borderId="0">
      <alignment vertical="center"/>
    </xf>
    <xf numFmtId="0" fontId="102" fillId="41" borderId="53" applyNumberFormat="0" applyAlignment="0" applyProtection="0">
      <alignment vertical="center"/>
    </xf>
    <xf numFmtId="0" fontId="104" fillId="0" borderId="0"/>
    <xf numFmtId="0" fontId="108" fillId="51" borderId="58" applyNumberFormat="0" applyAlignment="0" applyProtection="0">
      <alignment vertical="center"/>
    </xf>
    <xf numFmtId="0" fontId="103" fillId="0" borderId="54" applyNumberFormat="0" applyFill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39" fillId="0" borderId="0"/>
    <xf numFmtId="0" fontId="6" fillId="45" borderId="0" applyNumberFormat="0" applyBorder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03" fillId="0" borderId="54" applyNumberFormat="0" applyFill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109" fillId="52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39" fillId="0" borderId="0"/>
    <xf numFmtId="0" fontId="110" fillId="0" borderId="0" applyNumberFormat="0" applyFill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39" fillId="0" borderId="0"/>
    <xf numFmtId="0" fontId="6" fillId="44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104" fillId="0" borderId="0">
      <alignment vertical="center"/>
    </xf>
    <xf numFmtId="0" fontId="111" fillId="53" borderId="0" applyNumberFormat="0" applyBorder="0" applyAlignment="0" applyProtection="0">
      <alignment vertical="center"/>
    </xf>
    <xf numFmtId="0" fontId="39" fillId="0" borderId="0"/>
    <xf numFmtId="0" fontId="6" fillId="42" borderId="0" applyNumberFormat="0" applyBorder="0" applyAlignment="0" applyProtection="0">
      <alignment vertical="center"/>
    </xf>
    <xf numFmtId="0" fontId="104" fillId="0" borderId="0"/>
    <xf numFmtId="0" fontId="101" fillId="54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0" borderId="0"/>
    <xf numFmtId="0" fontId="6" fillId="42" borderId="0" applyNumberFormat="0" applyBorder="0" applyAlignment="0" applyProtection="0">
      <alignment vertical="center"/>
    </xf>
    <xf numFmtId="0" fontId="112" fillId="50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101" fillId="55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101" fillId="5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0" borderId="0">
      <alignment vertical="center"/>
    </xf>
    <xf numFmtId="0" fontId="102" fillId="41" borderId="53" applyNumberFormat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0" borderId="0">
      <alignment vertical="center"/>
    </xf>
    <xf numFmtId="0" fontId="102" fillId="41" borderId="53" applyNumberFormat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0" borderId="0">
      <alignment vertical="center"/>
    </xf>
    <xf numFmtId="0" fontId="113" fillId="56" borderId="56" applyNumberFormat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0" borderId="0">
      <alignment vertical="center"/>
    </xf>
    <xf numFmtId="0" fontId="102" fillId="41" borderId="53" applyNumberFormat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45" borderId="0" applyNumberFormat="0" applyBorder="0" applyAlignment="0" applyProtection="0">
      <alignment vertical="center"/>
    </xf>
    <xf numFmtId="0" fontId="101" fillId="44" borderId="0" applyNumberFormat="0" applyBorder="0" applyAlignment="0" applyProtection="0">
      <alignment vertical="center"/>
    </xf>
    <xf numFmtId="0" fontId="0" fillId="0" borderId="0"/>
    <xf numFmtId="0" fontId="6" fillId="8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4" fillId="0" borderId="0"/>
    <xf numFmtId="0" fontId="102" fillId="41" borderId="53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9" fontId="104" fillId="0" borderId="0" applyFont="0" applyFill="0" applyBorder="0" applyAlignment="0" applyProtection="0">
      <alignment vertical="center"/>
    </xf>
    <xf numFmtId="0" fontId="111" fillId="5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1" fillId="5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1" fillId="57" borderId="0" applyNumberFormat="0" applyBorder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176" fontId="104" fillId="0" borderId="0"/>
    <xf numFmtId="0" fontId="105" fillId="41" borderId="56" applyNumberFormat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108" fillId="51" borderId="58" applyNumberFormat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08" fillId="51" borderId="58" applyNumberFormat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113" fillId="56" borderId="56" applyNumberFormat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112" fillId="50" borderId="0" applyNumberFormat="0" applyBorder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113" fillId="56" borderId="56" applyNumberFormat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101" fillId="54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109" fillId="52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101" fillId="59" borderId="0" applyNumberFormat="0" applyBorder="0" applyAlignment="0" applyProtection="0">
      <alignment vertical="center"/>
    </xf>
    <xf numFmtId="0" fontId="109" fillId="52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101" fillId="59" borderId="0" applyNumberFormat="0" applyBorder="0" applyAlignment="0" applyProtection="0">
      <alignment vertical="center"/>
    </xf>
    <xf numFmtId="0" fontId="101" fillId="55" borderId="0" applyNumberFormat="0" applyBorder="0" applyAlignment="0" applyProtection="0">
      <alignment vertical="center"/>
    </xf>
    <xf numFmtId="0" fontId="101" fillId="55" borderId="0" applyNumberFormat="0" applyBorder="0" applyAlignment="0" applyProtection="0">
      <alignment vertical="center"/>
    </xf>
    <xf numFmtId="0" fontId="101" fillId="55" borderId="0" applyNumberFormat="0" applyBorder="0" applyAlignment="0" applyProtection="0">
      <alignment vertical="center"/>
    </xf>
    <xf numFmtId="0" fontId="101" fillId="55" borderId="0" applyNumberFormat="0" applyBorder="0" applyAlignment="0" applyProtection="0">
      <alignment vertical="center"/>
    </xf>
    <xf numFmtId="0" fontId="101" fillId="55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101" fillId="44" borderId="0" applyNumberFormat="0" applyBorder="0" applyAlignment="0" applyProtection="0">
      <alignment vertical="center"/>
    </xf>
    <xf numFmtId="0" fontId="101" fillId="4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46" borderId="57" applyNumberFormat="0" applyFont="0" applyAlignment="0" applyProtection="0">
      <alignment vertical="center"/>
    </xf>
    <xf numFmtId="0" fontId="101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101" fillId="44" borderId="0" applyNumberFormat="0" applyBorder="0" applyAlignment="0" applyProtection="0">
      <alignment vertical="center"/>
    </xf>
    <xf numFmtId="0" fontId="104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101" fillId="57" borderId="0" applyNumberFormat="0" applyBorder="0" applyAlignment="0" applyProtection="0">
      <alignment vertical="center"/>
    </xf>
    <xf numFmtId="0" fontId="101" fillId="40" borderId="0" applyNumberFormat="0" applyBorder="0" applyAlignment="0" applyProtection="0">
      <alignment vertical="center"/>
    </xf>
    <xf numFmtId="0" fontId="101" fillId="57" borderId="0" applyNumberFormat="0" applyBorder="0" applyAlignment="0" applyProtection="0">
      <alignment vertical="center"/>
    </xf>
    <xf numFmtId="0" fontId="101" fillId="57" borderId="0" applyNumberFormat="0" applyBorder="0" applyAlignment="0" applyProtection="0">
      <alignment vertical="center"/>
    </xf>
    <xf numFmtId="0" fontId="101" fillId="57" borderId="0" applyNumberFormat="0" applyBorder="0" applyAlignment="0" applyProtection="0">
      <alignment vertical="center"/>
    </xf>
    <xf numFmtId="0" fontId="101" fillId="57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104" fillId="0" borderId="0">
      <alignment vertical="center"/>
    </xf>
    <xf numFmtId="0" fontId="101" fillId="54" borderId="0" applyNumberFormat="0" applyBorder="0" applyAlignment="0" applyProtection="0">
      <alignment vertical="center"/>
    </xf>
    <xf numFmtId="0" fontId="101" fillId="54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101" fillId="54" borderId="0" applyNumberFormat="0" applyBorder="0" applyAlignment="0" applyProtection="0">
      <alignment vertical="center"/>
    </xf>
    <xf numFmtId="0" fontId="101" fillId="54" borderId="0" applyNumberFormat="0" applyBorder="0" applyAlignment="0" applyProtection="0">
      <alignment vertical="center"/>
    </xf>
    <xf numFmtId="0" fontId="101" fillId="54" borderId="0" applyNumberFormat="0" applyBorder="0" applyAlignment="0" applyProtection="0">
      <alignment vertical="center"/>
    </xf>
    <xf numFmtId="0" fontId="101" fillId="54" borderId="0" applyNumberFormat="0" applyBorder="0" applyAlignment="0" applyProtection="0">
      <alignment vertical="center"/>
    </xf>
    <xf numFmtId="0" fontId="101" fillId="43" borderId="0" applyNumberFormat="0" applyBorder="0" applyAlignment="0" applyProtection="0">
      <alignment vertical="center"/>
    </xf>
    <xf numFmtId="0" fontId="101" fillId="43" borderId="0" applyNumberFormat="0" applyBorder="0" applyAlignment="0" applyProtection="0">
      <alignment vertical="center"/>
    </xf>
    <xf numFmtId="0" fontId="6" fillId="0" borderId="0">
      <alignment vertical="center"/>
    </xf>
    <xf numFmtId="0" fontId="101" fillId="54" borderId="0" applyNumberFormat="0" applyBorder="0" applyAlignment="0" applyProtection="0">
      <alignment vertical="center"/>
    </xf>
    <xf numFmtId="0" fontId="101" fillId="43" borderId="0" applyNumberFormat="0" applyBorder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101" fillId="43" borderId="0" applyNumberFormat="0" applyBorder="0" applyAlignment="0" applyProtection="0">
      <alignment vertical="center"/>
    </xf>
    <xf numFmtId="0" fontId="101" fillId="43" borderId="0" applyNumberFormat="0" applyBorder="0" applyAlignment="0" applyProtection="0">
      <alignment vertical="center"/>
    </xf>
    <xf numFmtId="0" fontId="101" fillId="43" borderId="0" applyNumberFormat="0" applyBorder="0" applyAlignment="0" applyProtection="0">
      <alignment vertical="center"/>
    </xf>
    <xf numFmtId="177" fontId="6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9" fontId="6" fillId="0" borderId="0">
      <alignment vertical="center"/>
    </xf>
    <xf numFmtId="0" fontId="111" fillId="53" borderId="0" applyNumberFormat="0" applyBorder="0" applyAlignment="0" applyProtection="0">
      <alignment vertical="center"/>
    </xf>
    <xf numFmtId="9" fontId="104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5" fillId="0" borderId="59" applyNumberFormat="0" applyFill="0" applyAlignment="0" applyProtection="0">
      <alignment vertical="center"/>
    </xf>
    <xf numFmtId="0" fontId="115" fillId="0" borderId="59" applyNumberFormat="0" applyFill="0" applyAlignment="0" applyProtection="0">
      <alignment vertical="center"/>
    </xf>
    <xf numFmtId="0" fontId="115" fillId="0" borderId="59" applyNumberFormat="0" applyFill="0" applyAlignment="0" applyProtection="0">
      <alignment vertical="center"/>
    </xf>
    <xf numFmtId="0" fontId="115" fillId="0" borderId="59" applyNumberFormat="0" applyFill="0" applyAlignment="0" applyProtection="0">
      <alignment vertical="center"/>
    </xf>
    <xf numFmtId="0" fontId="115" fillId="0" borderId="59" applyNumberFormat="0" applyFill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15" fillId="0" borderId="59" applyNumberFormat="0" applyFill="0" applyAlignment="0" applyProtection="0">
      <alignment vertical="center"/>
    </xf>
    <xf numFmtId="0" fontId="115" fillId="0" borderId="59" applyNumberFormat="0" applyFill="0" applyAlignment="0" applyProtection="0">
      <alignment vertical="center"/>
    </xf>
    <xf numFmtId="0" fontId="116" fillId="0" borderId="60" applyNumberFormat="0" applyFill="0" applyAlignment="0" applyProtection="0">
      <alignment vertical="center"/>
    </xf>
    <xf numFmtId="0" fontId="116" fillId="0" borderId="60" applyNumberFormat="0" applyFill="0" applyAlignment="0" applyProtection="0">
      <alignment vertical="center"/>
    </xf>
    <xf numFmtId="0" fontId="116" fillId="0" borderId="60" applyNumberFormat="0" applyFill="0" applyAlignment="0" applyProtection="0">
      <alignment vertical="center"/>
    </xf>
    <xf numFmtId="0" fontId="112" fillId="50" borderId="0" applyNumberFormat="0" applyBorder="0" applyAlignment="0" applyProtection="0">
      <alignment vertical="center"/>
    </xf>
    <xf numFmtId="0" fontId="116" fillId="0" borderId="60" applyNumberFormat="0" applyFill="0" applyAlignment="0" applyProtection="0">
      <alignment vertical="center"/>
    </xf>
    <xf numFmtId="0" fontId="116" fillId="0" borderId="60" applyNumberFormat="0" applyFill="0" applyAlignment="0" applyProtection="0">
      <alignment vertical="center"/>
    </xf>
    <xf numFmtId="0" fontId="6" fillId="0" borderId="0">
      <alignment vertical="center"/>
    </xf>
    <xf numFmtId="0" fontId="116" fillId="0" borderId="60" applyNumberFormat="0" applyFill="0" applyAlignment="0" applyProtection="0">
      <alignment vertical="center"/>
    </xf>
    <xf numFmtId="0" fontId="116" fillId="0" borderId="60" applyNumberFormat="0" applyFill="0" applyAlignment="0" applyProtection="0">
      <alignment vertical="center"/>
    </xf>
    <xf numFmtId="0" fontId="110" fillId="0" borderId="61" applyNumberFormat="0" applyFill="0" applyAlignment="0" applyProtection="0">
      <alignment vertical="center"/>
    </xf>
    <xf numFmtId="0" fontId="110" fillId="0" borderId="61" applyNumberFormat="0" applyFill="0" applyAlignment="0" applyProtection="0">
      <alignment vertical="center"/>
    </xf>
    <xf numFmtId="0" fontId="112" fillId="50" borderId="0" applyNumberFormat="0" applyBorder="0" applyAlignment="0" applyProtection="0">
      <alignment vertical="center"/>
    </xf>
    <xf numFmtId="0" fontId="110" fillId="0" borderId="61" applyNumberFormat="0" applyFill="0" applyAlignment="0" applyProtection="0">
      <alignment vertical="center"/>
    </xf>
    <xf numFmtId="0" fontId="110" fillId="0" borderId="61" applyNumberFormat="0" applyFill="0" applyAlignment="0" applyProtection="0">
      <alignment vertical="center"/>
    </xf>
    <xf numFmtId="0" fontId="110" fillId="0" borderId="61" applyNumberFormat="0" applyFill="0" applyAlignment="0" applyProtection="0">
      <alignment vertical="center"/>
    </xf>
    <xf numFmtId="0" fontId="117" fillId="0" borderId="0"/>
    <xf numFmtId="0" fontId="110" fillId="0" borderId="61" applyNumberFormat="0" applyFill="0" applyAlignment="0" applyProtection="0">
      <alignment vertical="center"/>
    </xf>
    <xf numFmtId="0" fontId="110" fillId="0" borderId="61" applyNumberFormat="0" applyFill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43" fontId="104" fillId="0" borderId="0" applyFont="0" applyFill="0" applyBorder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101" fillId="47" borderId="0" applyNumberFormat="0" applyBorder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01" fillId="47" borderId="0" applyNumberFormat="0" applyBorder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101" fillId="40" borderId="0" applyNumberFormat="0" applyBorder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111" fillId="53" borderId="0" applyNumberFormat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11" fillId="53" borderId="0" applyNumberFormat="0" applyBorder="0" applyAlignment="0" applyProtection="0">
      <alignment vertical="center"/>
    </xf>
    <xf numFmtId="0" fontId="111" fillId="53" borderId="0" applyNumberFormat="0" applyBorder="0" applyAlignment="0" applyProtection="0">
      <alignment vertical="center"/>
    </xf>
    <xf numFmtId="0" fontId="111" fillId="53" borderId="0" applyNumberFormat="0" applyBorder="0" applyAlignment="0" applyProtection="0">
      <alignment vertical="center"/>
    </xf>
    <xf numFmtId="176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4" fillId="0" borderId="0">
      <alignment vertical="center"/>
    </xf>
    <xf numFmtId="0" fontId="104" fillId="0" borderId="0"/>
    <xf numFmtId="0" fontId="104" fillId="0" borderId="0">
      <alignment vertical="center"/>
    </xf>
    <xf numFmtId="0" fontId="104" fillId="0" borderId="0">
      <alignment vertical="center"/>
    </xf>
    <xf numFmtId="0" fontId="6" fillId="0" borderId="0">
      <alignment vertical="center"/>
    </xf>
    <xf numFmtId="0" fontId="101" fillId="5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119" fillId="0" borderId="0" applyNumberFormat="0" applyFill="0" applyBorder="0" applyProtection="0">
      <alignment vertical="top" wrapText="1"/>
    </xf>
    <xf numFmtId="0" fontId="14" fillId="0" borderId="0">
      <alignment vertical="center"/>
    </xf>
    <xf numFmtId="0" fontId="6" fillId="0" borderId="0"/>
    <xf numFmtId="0" fontId="6" fillId="0" borderId="0"/>
    <xf numFmtId="0" fontId="14" fillId="0" borderId="0">
      <alignment vertical="center"/>
    </xf>
    <xf numFmtId="0" fontId="113" fillId="56" borderId="56" applyNumberFormat="0" applyAlignment="0" applyProtection="0">
      <alignment vertical="center"/>
    </xf>
    <xf numFmtId="0" fontId="104" fillId="0" borderId="0">
      <alignment vertical="center"/>
    </xf>
    <xf numFmtId="0" fontId="117" fillId="0" borderId="0"/>
    <xf numFmtId="0" fontId="113" fillId="56" borderId="56" applyNumberFormat="0" applyAlignment="0" applyProtection="0">
      <alignment vertical="center"/>
    </xf>
    <xf numFmtId="0" fontId="15" fillId="0" borderId="0">
      <alignment vertical="center"/>
    </xf>
    <xf numFmtId="0" fontId="6" fillId="0" borderId="0"/>
    <xf numFmtId="0" fontId="14" fillId="0" borderId="0">
      <alignment vertical="center"/>
    </xf>
    <xf numFmtId="0" fontId="113" fillId="56" borderId="56" applyNumberFormat="0" applyAlignment="0" applyProtection="0">
      <alignment vertical="center"/>
    </xf>
    <xf numFmtId="0" fontId="6" fillId="0" borderId="0"/>
    <xf numFmtId="0" fontId="15" fillId="0" borderId="0">
      <alignment vertical="center"/>
    </xf>
    <xf numFmtId="0" fontId="101" fillId="49" borderId="0" applyNumberFormat="0" applyBorder="0" applyAlignment="0" applyProtection="0">
      <alignment vertical="center"/>
    </xf>
    <xf numFmtId="0" fontId="6" fillId="0" borderId="0"/>
    <xf numFmtId="0" fontId="101" fillId="49" borderId="0" applyNumberFormat="0" applyBorder="0" applyAlignment="0" applyProtection="0">
      <alignment vertical="center"/>
    </xf>
    <xf numFmtId="0" fontId="104" fillId="0" borderId="0"/>
    <xf numFmtId="0" fontId="101" fillId="49" borderId="0" applyNumberFormat="0" applyBorder="0" applyAlignment="0" applyProtection="0">
      <alignment vertical="center"/>
    </xf>
    <xf numFmtId="0" fontId="104" fillId="0" borderId="0"/>
    <xf numFmtId="0" fontId="101" fillId="49" borderId="0" applyNumberFormat="0" applyBorder="0" applyAlignment="0" applyProtection="0">
      <alignment vertical="center"/>
    </xf>
    <xf numFmtId="0" fontId="104" fillId="0" borderId="0"/>
    <xf numFmtId="0" fontId="6" fillId="0" borderId="0">
      <alignment vertical="center"/>
    </xf>
    <xf numFmtId="0" fontId="6" fillId="0" borderId="0">
      <alignment vertical="center"/>
    </xf>
    <xf numFmtId="0" fontId="109" fillId="5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1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101" fillId="54" borderId="0" applyNumberFormat="0" applyBorder="0" applyAlignment="0" applyProtection="0">
      <alignment vertical="center"/>
    </xf>
    <xf numFmtId="0" fontId="104" fillId="0" borderId="0"/>
    <xf numFmtId="0" fontId="104" fillId="0" borderId="0"/>
    <xf numFmtId="0" fontId="6" fillId="0" borderId="0">
      <alignment vertical="center"/>
    </xf>
    <xf numFmtId="0" fontId="113" fillId="56" borderId="56" applyNumberFormat="0" applyAlignment="0" applyProtection="0">
      <alignment vertical="center"/>
    </xf>
    <xf numFmtId="0" fontId="104" fillId="0" borderId="0"/>
    <xf numFmtId="0" fontId="39" fillId="0" borderId="0">
      <alignment vertical="center"/>
    </xf>
    <xf numFmtId="0" fontId="101" fillId="60" borderId="0" applyNumberFormat="0" applyBorder="0" applyAlignment="0" applyProtection="0">
      <alignment vertical="center"/>
    </xf>
    <xf numFmtId="0" fontId="0" fillId="0" borderId="0">
      <alignment vertical="center"/>
    </xf>
    <xf numFmtId="0" fontId="104" fillId="0" borderId="0"/>
    <xf numFmtId="0" fontId="39" fillId="0" borderId="0"/>
    <xf numFmtId="0" fontId="52" fillId="0" borderId="55" applyNumberFormat="0" applyFill="0" applyAlignment="0" applyProtection="0">
      <alignment vertical="center"/>
    </xf>
    <xf numFmtId="0" fontId="101" fillId="59" borderId="0" applyNumberFormat="0" applyBorder="0" applyAlignment="0" applyProtection="0">
      <alignment vertical="center"/>
    </xf>
    <xf numFmtId="0" fontId="117" fillId="0" borderId="0"/>
    <xf numFmtId="0" fontId="61" fillId="0" borderId="0" applyNumberFormat="0" applyFill="0" applyBorder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112" fillId="50" borderId="0" applyNumberFormat="0" applyBorder="0" applyAlignment="0" applyProtection="0">
      <alignment vertical="center"/>
    </xf>
    <xf numFmtId="0" fontId="112" fillId="50" borderId="0" applyNumberFormat="0" applyBorder="0" applyAlignment="0" applyProtection="0">
      <alignment vertical="center"/>
    </xf>
    <xf numFmtId="0" fontId="112" fillId="50" borderId="0" applyNumberFormat="0" applyBorder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08" fillId="51" borderId="58" applyNumberFormat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08" fillId="51" borderId="58" applyNumberFormat="0" applyAlignment="0" applyProtection="0">
      <alignment vertical="center"/>
    </xf>
    <xf numFmtId="0" fontId="108" fillId="51" borderId="58" applyNumberFormat="0" applyAlignment="0" applyProtection="0">
      <alignment vertical="center"/>
    </xf>
    <xf numFmtId="0" fontId="108" fillId="51" borderId="58" applyNumberFormat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03" fillId="0" borderId="54" applyNumberFormat="0" applyFill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103" fillId="0" borderId="54" applyNumberFormat="0" applyFill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103" fillId="0" borderId="54" applyNumberFormat="0" applyFill="0" applyAlignment="0" applyProtection="0">
      <alignment vertical="center"/>
    </xf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0" fontId="101" fillId="47" borderId="0" applyNumberFormat="0" applyBorder="0" applyAlignment="0" applyProtection="0">
      <alignment vertical="center"/>
    </xf>
    <xf numFmtId="0" fontId="101" fillId="47" borderId="0" applyNumberFormat="0" applyBorder="0" applyAlignment="0" applyProtection="0">
      <alignment vertical="center"/>
    </xf>
    <xf numFmtId="0" fontId="101" fillId="47" borderId="0" applyNumberFormat="0" applyBorder="0" applyAlignment="0" applyProtection="0">
      <alignment vertical="center"/>
    </xf>
    <xf numFmtId="0" fontId="101" fillId="47" borderId="0" applyNumberFormat="0" applyBorder="0" applyAlignment="0" applyProtection="0">
      <alignment vertical="center"/>
    </xf>
    <xf numFmtId="0" fontId="101" fillId="40" borderId="0" applyNumberFormat="0" applyBorder="0" applyAlignment="0" applyProtection="0">
      <alignment vertical="center"/>
    </xf>
    <xf numFmtId="0" fontId="101" fillId="40" borderId="0" applyNumberFormat="0" applyBorder="0" applyAlignment="0" applyProtection="0">
      <alignment vertical="center"/>
    </xf>
    <xf numFmtId="0" fontId="101" fillId="40" borderId="0" applyNumberFormat="0" applyBorder="0" applyAlignment="0" applyProtection="0">
      <alignment vertical="center"/>
    </xf>
    <xf numFmtId="0" fontId="101" fillId="59" borderId="0" applyNumberFormat="0" applyBorder="0" applyAlignment="0" applyProtection="0">
      <alignment vertical="center"/>
    </xf>
    <xf numFmtId="0" fontId="113" fillId="56" borderId="56" applyNumberFormat="0" applyAlignment="0" applyProtection="0">
      <alignment vertical="center"/>
    </xf>
    <xf numFmtId="0" fontId="101" fillId="59" borderId="0" applyNumberFormat="0" applyBorder="0" applyAlignment="0" applyProtection="0">
      <alignment vertical="center"/>
    </xf>
    <xf numFmtId="0" fontId="101" fillId="59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113" fillId="56" borderId="56" applyNumberFormat="0" applyAlignment="0" applyProtection="0">
      <alignment vertical="center"/>
    </xf>
    <xf numFmtId="0" fontId="101" fillId="54" borderId="0" applyNumberFormat="0" applyBorder="0" applyAlignment="0" applyProtection="0">
      <alignment vertical="center"/>
    </xf>
    <xf numFmtId="0" fontId="101" fillId="54" borderId="0" applyNumberFormat="0" applyBorder="0" applyAlignment="0" applyProtection="0">
      <alignment vertical="center"/>
    </xf>
    <xf numFmtId="0" fontId="101" fillId="54" borderId="0" applyNumberFormat="0" applyBorder="0" applyAlignment="0" applyProtection="0">
      <alignment vertical="center"/>
    </xf>
    <xf numFmtId="0" fontId="101" fillId="60" borderId="0" applyNumberFormat="0" applyBorder="0" applyAlignment="0" applyProtection="0">
      <alignment vertical="center"/>
    </xf>
    <xf numFmtId="0" fontId="101" fillId="60" borderId="0" applyNumberFormat="0" applyBorder="0" applyAlignment="0" applyProtection="0">
      <alignment vertical="center"/>
    </xf>
    <xf numFmtId="0" fontId="101" fillId="60" borderId="0" applyNumberFormat="0" applyBorder="0" applyAlignment="0" applyProtection="0">
      <alignment vertical="center"/>
    </xf>
    <xf numFmtId="0" fontId="101" fillId="60" borderId="0" applyNumberFormat="0" applyBorder="0" applyAlignment="0" applyProtection="0">
      <alignment vertical="center"/>
    </xf>
    <xf numFmtId="0" fontId="101" fillId="60" borderId="0" applyNumberFormat="0" applyBorder="0" applyAlignment="0" applyProtection="0">
      <alignment vertical="center"/>
    </xf>
    <xf numFmtId="0" fontId="101" fillId="60" borderId="0" applyNumberFormat="0" applyBorder="0" applyAlignment="0" applyProtection="0">
      <alignment vertical="center"/>
    </xf>
    <xf numFmtId="0" fontId="109" fillId="52" borderId="0" applyNumberFormat="0" applyBorder="0" applyAlignment="0" applyProtection="0">
      <alignment vertical="center"/>
    </xf>
    <xf numFmtId="0" fontId="109" fillId="52" borderId="0" applyNumberFormat="0" applyBorder="0" applyAlignment="0" applyProtection="0">
      <alignment vertical="center"/>
    </xf>
    <xf numFmtId="0" fontId="109" fillId="52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113" fillId="56" borderId="56" applyNumberFormat="0" applyAlignment="0" applyProtection="0">
      <alignment vertical="center"/>
    </xf>
    <xf numFmtId="0" fontId="107" fillId="0" borderId="0"/>
    <xf numFmtId="0" fontId="113" fillId="56" borderId="56" applyNumberFormat="0" applyAlignment="0" applyProtection="0">
      <alignment vertical="center"/>
    </xf>
    <xf numFmtId="0" fontId="107" fillId="0" borderId="0"/>
    <xf numFmtId="0" fontId="113" fillId="56" borderId="56" applyNumberFormat="0" applyAlignment="0" applyProtection="0">
      <alignment vertical="center"/>
    </xf>
    <xf numFmtId="0" fontId="113" fillId="56" borderId="56" applyNumberFormat="0" applyAlignment="0" applyProtection="0">
      <alignment vertical="center"/>
    </xf>
    <xf numFmtId="0" fontId="113" fillId="56" borderId="56" applyNumberFormat="0" applyAlignment="0" applyProtection="0">
      <alignment vertical="center"/>
    </xf>
    <xf numFmtId="0" fontId="26" fillId="0" borderId="0">
      <alignment vertical="center"/>
    </xf>
    <xf numFmtId="0" fontId="120" fillId="0" borderId="0" applyNumberFormat="0" applyFill="0" applyBorder="0" applyAlignment="0" applyProtection="0">
      <alignment vertical="center"/>
    </xf>
    <xf numFmtId="38" fontId="104" fillId="0" borderId="0" applyFont="0" applyFill="0" applyBorder="0" applyAlignment="0" applyProtection="0">
      <alignment vertical="center"/>
    </xf>
    <xf numFmtId="0" fontId="121" fillId="0" borderId="0"/>
    <xf numFmtId="0" fontId="39" fillId="0" borderId="0"/>
    <xf numFmtId="0" fontId="107" fillId="0" borderId="0"/>
    <xf numFmtId="0" fontId="107" fillId="0" borderId="0"/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</cellStyleXfs>
  <cellXfs count="32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9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312" applyBorder="1">
      <alignment vertical="center"/>
    </xf>
    <xf numFmtId="0" fontId="7" fillId="0" borderId="0" xfId="312" applyNumberFormat="1" applyFont="1" applyFill="1" applyBorder="1" applyAlignment="1" applyProtection="1">
      <alignment horizontal="center" vertical="center"/>
    </xf>
    <xf numFmtId="0" fontId="6" fillId="0" borderId="0" xfId="312" applyFill="1">
      <alignment vertical="center"/>
    </xf>
    <xf numFmtId="0" fontId="6" fillId="0" borderId="0" xfId="312" applyNumberFormat="1" applyFont="1" applyFill="1" applyBorder="1" applyAlignment="1" applyProtection="1">
      <alignment horizontal="center" vertical="center" shrinkToFit="1"/>
    </xf>
    <xf numFmtId="0" fontId="6" fillId="0" borderId="0" xfId="0" applyNumberFormat="1" applyFont="1" applyFill="1" applyBorder="1" applyAlignment="1" applyProtection="1">
      <alignment vertical="center"/>
    </xf>
    <xf numFmtId="0" fontId="6" fillId="0" borderId="0" xfId="312">
      <alignment vertical="center"/>
    </xf>
    <xf numFmtId="0" fontId="6" fillId="0" borderId="0" xfId="312" applyNumberFormat="1">
      <alignment vertical="center"/>
    </xf>
    <xf numFmtId="0" fontId="6" fillId="0" borderId="0" xfId="312" applyNumberFormat="1" applyAlignment="1">
      <alignment horizontal="center" vertical="center"/>
    </xf>
    <xf numFmtId="14" fontId="6" fillId="0" borderId="0" xfId="312" applyNumberFormat="1">
      <alignment vertical="center"/>
    </xf>
    <xf numFmtId="178" fontId="6" fillId="0" borderId="0" xfId="312" applyNumberFormat="1">
      <alignment vertical="center"/>
    </xf>
    <xf numFmtId="179" fontId="8" fillId="0" borderId="0" xfId="108" applyNumberFormat="1" applyFont="1" applyFill="1" applyBorder="1" applyAlignment="1" applyProtection="1">
      <alignment vertical="center"/>
    </xf>
    <xf numFmtId="179" fontId="9" fillId="0" borderId="0" xfId="108" applyNumberFormat="1" applyFont="1" applyFill="1" applyBorder="1" applyAlignment="1" applyProtection="1">
      <alignment vertical="center"/>
    </xf>
    <xf numFmtId="179" fontId="10" fillId="0" borderId="0" xfId="108" applyNumberFormat="1" applyFont="1" applyFill="1" applyBorder="1" applyAlignment="1" applyProtection="1">
      <alignment vertical="center"/>
    </xf>
    <xf numFmtId="179" fontId="10" fillId="0" borderId="0" xfId="108" applyNumberFormat="1" applyFont="1" applyFill="1" applyBorder="1" applyAlignment="1" applyProtection="1">
      <alignment horizontal="center" vertical="top"/>
    </xf>
    <xf numFmtId="0" fontId="6" fillId="0" borderId="0" xfId="312" applyNumberFormat="1" applyFont="1" applyFill="1" applyBorder="1" applyAlignment="1" applyProtection="1">
      <alignment horizontal="center" vertical="center"/>
    </xf>
    <xf numFmtId="0" fontId="6" fillId="0" borderId="0" xfId="312" applyNumberFormat="1" applyBorder="1" applyAlignment="1">
      <alignment horizontal="center" vertical="center"/>
    </xf>
    <xf numFmtId="179" fontId="11" fillId="3" borderId="5" xfId="108" applyNumberFormat="1" applyFont="1" applyFill="1" applyBorder="1" applyAlignment="1" applyProtection="1">
      <alignment horizontal="center" vertical="center"/>
    </xf>
    <xf numFmtId="179" fontId="8" fillId="3" borderId="5" xfId="108" applyNumberFormat="1" applyFont="1" applyFill="1" applyBorder="1" applyAlignment="1" applyProtection="1">
      <alignment horizontal="center" vertical="center"/>
    </xf>
    <xf numFmtId="0" fontId="8" fillId="3" borderId="5" xfId="108" applyNumberFormat="1" applyFont="1" applyFill="1" applyBorder="1" applyAlignment="1" applyProtection="1">
      <alignment horizontal="center" vertical="center" wrapText="1"/>
    </xf>
    <xf numFmtId="0" fontId="12" fillId="3" borderId="5" xfId="407" applyNumberFormat="1" applyFont="1" applyFill="1" applyBorder="1" applyAlignment="1" applyProtection="1">
      <alignment horizontal="center" vertical="center" wrapText="1"/>
    </xf>
    <xf numFmtId="0" fontId="13" fillId="3" borderId="5" xfId="407" applyNumberFormat="1" applyFont="1" applyFill="1" applyBorder="1" applyAlignment="1" applyProtection="1">
      <alignment horizontal="center" vertical="center" wrapText="1"/>
    </xf>
    <xf numFmtId="179" fontId="11" fillId="3" borderId="6" xfId="108" applyNumberFormat="1" applyFont="1" applyFill="1" applyBorder="1" applyAlignment="1" applyProtection="1">
      <alignment horizontal="center" vertical="center"/>
    </xf>
    <xf numFmtId="179" fontId="8" fillId="3" borderId="6" xfId="108" applyNumberFormat="1" applyFont="1" applyFill="1" applyBorder="1" applyAlignment="1" applyProtection="1">
      <alignment horizontal="center" vertical="center"/>
    </xf>
    <xf numFmtId="0" fontId="8" fillId="3" borderId="6" xfId="108" applyNumberFormat="1" applyFont="1" applyFill="1" applyBorder="1" applyAlignment="1" applyProtection="1">
      <alignment horizontal="center" vertical="center" wrapText="1"/>
    </xf>
    <xf numFmtId="0" fontId="12" fillId="3" borderId="6" xfId="407" applyNumberFormat="1" applyFont="1" applyFill="1" applyBorder="1" applyAlignment="1" applyProtection="1">
      <alignment horizontal="center" vertical="center" wrapText="1"/>
    </xf>
    <xf numFmtId="0" fontId="13" fillId="3" borderId="6" xfId="407" applyNumberFormat="1" applyFont="1" applyFill="1" applyBorder="1" applyAlignment="1" applyProtection="1">
      <alignment horizontal="center" vertical="center" wrapText="1"/>
    </xf>
    <xf numFmtId="179" fontId="14" fillId="0" borderId="6" xfId="312" applyNumberFormat="1" applyFont="1" applyFill="1" applyBorder="1" applyAlignment="1" applyProtection="1">
      <alignment horizontal="center" vertical="center"/>
    </xf>
    <xf numFmtId="0" fontId="15" fillId="0" borderId="7" xfId="312" applyFont="1" applyFill="1" applyBorder="1" applyAlignment="1">
      <alignment horizontal="center" vertical="center" wrapText="1"/>
    </xf>
    <xf numFmtId="49" fontId="16" fillId="4" borderId="8" xfId="312" applyNumberFormat="1" applyFont="1" applyFill="1" applyBorder="1" applyAlignment="1">
      <alignment horizontal="center" vertical="center" wrapText="1"/>
    </xf>
    <xf numFmtId="0" fontId="6" fillId="0" borderId="7" xfId="312" applyNumberFormat="1" applyFill="1" applyBorder="1" applyAlignment="1">
      <alignment horizontal="center" vertical="center"/>
    </xf>
    <xf numFmtId="0" fontId="6" fillId="0" borderId="8" xfId="312" applyFill="1" applyBorder="1">
      <alignment vertical="center"/>
    </xf>
    <xf numFmtId="179" fontId="14" fillId="4" borderId="6" xfId="312" applyNumberFormat="1" applyFont="1" applyFill="1" applyBorder="1" applyAlignment="1" applyProtection="1">
      <alignment horizontal="center" vertical="center" shrinkToFit="1"/>
    </xf>
    <xf numFmtId="179" fontId="17" fillId="4" borderId="7" xfId="312" applyNumberFormat="1" applyFont="1" applyFill="1" applyBorder="1" applyAlignment="1" applyProtection="1">
      <alignment horizontal="center" vertical="center" shrinkToFit="1"/>
    </xf>
    <xf numFmtId="179" fontId="17" fillId="4" borderId="7" xfId="312" applyNumberFormat="1" applyFont="1" applyFill="1" applyBorder="1" applyAlignment="1" applyProtection="1">
      <alignment horizontal="center" vertical="top" shrinkToFit="1"/>
    </xf>
    <xf numFmtId="0" fontId="16" fillId="4" borderId="7" xfId="312" applyNumberFormat="1" applyFont="1" applyFill="1" applyBorder="1" applyAlignment="1">
      <alignment horizontal="center" vertical="center" shrinkToFit="1"/>
    </xf>
    <xf numFmtId="0" fontId="6" fillId="4" borderId="7" xfId="312" applyNumberFormat="1" applyFont="1" applyFill="1" applyBorder="1" applyAlignment="1" applyProtection="1">
      <alignment horizontal="center" vertical="center" shrinkToFit="1"/>
    </xf>
    <xf numFmtId="0" fontId="6" fillId="4" borderId="7" xfId="312" applyNumberFormat="1" applyFill="1" applyBorder="1" applyAlignment="1">
      <alignment horizontal="center" vertical="center" shrinkToFit="1"/>
    </xf>
    <xf numFmtId="0" fontId="6" fillId="3" borderId="7" xfId="312" applyFont="1" applyFill="1" applyBorder="1" applyAlignment="1">
      <alignment horizontal="center" vertical="center"/>
    </xf>
    <xf numFmtId="178" fontId="6" fillId="4" borderId="7" xfId="312" applyNumberFormat="1" applyFont="1" applyFill="1" applyBorder="1" applyAlignment="1">
      <alignment horizontal="center" vertical="center"/>
    </xf>
    <xf numFmtId="180" fontId="6" fillId="0" borderId="0" xfId="312" applyNumberFormat="1" applyFont="1" applyBorder="1" applyAlignment="1">
      <alignment horizontal="center" vertical="center"/>
    </xf>
    <xf numFmtId="180" fontId="6" fillId="0" borderId="0" xfId="0" applyNumberFormat="1" applyFont="1" applyFill="1" applyBorder="1" applyAlignment="1" applyProtection="1">
      <alignment horizontal="center" vertical="center"/>
    </xf>
    <xf numFmtId="0" fontId="18" fillId="0" borderId="0" xfId="0" applyNumberFormat="1" applyFont="1" applyFill="1" applyBorder="1" applyAlignment="1" applyProtection="1">
      <alignment vertical="center"/>
    </xf>
    <xf numFmtId="0" fontId="19" fillId="0" borderId="0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20" fillId="0" borderId="0" xfId="0" applyNumberFormat="1" applyFont="1" applyFill="1" applyBorder="1" applyAlignment="1" applyProtection="1">
      <alignment vertical="center"/>
    </xf>
    <xf numFmtId="0" fontId="21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21" fillId="0" borderId="0" xfId="0" applyNumberFormat="1" applyFont="1" applyFill="1" applyBorder="1" applyAlignment="1" applyProtection="1">
      <alignment vertical="center" wrapText="1"/>
    </xf>
    <xf numFmtId="0" fontId="22" fillId="0" borderId="0" xfId="312" applyNumberFormat="1" applyFont="1" applyFill="1" applyBorder="1" applyAlignment="1" applyProtection="1">
      <alignment horizontal="left" vertical="center"/>
    </xf>
    <xf numFmtId="0" fontId="23" fillId="0" borderId="0" xfId="0" applyNumberFormat="1" applyFont="1" applyFill="1" applyBorder="1" applyAlignment="1" applyProtection="1">
      <alignment vertical="center"/>
    </xf>
    <xf numFmtId="14" fontId="6" fillId="0" borderId="0" xfId="312" applyNumberFormat="1" applyBorder="1">
      <alignment vertical="center"/>
    </xf>
    <xf numFmtId="179" fontId="10" fillId="0" borderId="0" xfId="108" applyNumberFormat="1" applyFont="1" applyFill="1" applyBorder="1" applyAlignment="1" applyProtection="1">
      <alignment horizontal="center" vertical="center"/>
    </xf>
    <xf numFmtId="177" fontId="24" fillId="5" borderId="0" xfId="312" applyNumberFormat="1" applyFont="1" applyFill="1" applyBorder="1" applyAlignment="1">
      <alignment horizontal="center" vertical="center"/>
    </xf>
    <xf numFmtId="14" fontId="12" fillId="3" borderId="5" xfId="407" applyNumberFormat="1" applyFont="1" applyFill="1" applyBorder="1" applyAlignment="1" applyProtection="1">
      <alignment horizontal="center" vertical="center" wrapText="1"/>
    </xf>
    <xf numFmtId="0" fontId="12" fillId="3" borderId="8" xfId="407" applyNumberFormat="1" applyFont="1" applyFill="1" applyBorder="1" applyAlignment="1" applyProtection="1">
      <alignment horizontal="center" vertical="center" wrapText="1"/>
    </xf>
    <xf numFmtId="0" fontId="12" fillId="3" borderId="9" xfId="407" applyNumberFormat="1" applyFont="1" applyFill="1" applyBorder="1" applyAlignment="1" applyProtection="1">
      <alignment horizontal="center" vertical="center" wrapText="1"/>
    </xf>
    <xf numFmtId="0" fontId="12" fillId="3" borderId="10" xfId="407" applyNumberFormat="1" applyFont="1" applyFill="1" applyBorder="1" applyAlignment="1" applyProtection="1">
      <alignment horizontal="center" vertical="center" wrapText="1"/>
    </xf>
    <xf numFmtId="14" fontId="12" fillId="3" borderId="6" xfId="407" applyNumberFormat="1" applyFont="1" applyFill="1" applyBorder="1" applyAlignment="1" applyProtection="1">
      <alignment horizontal="center" vertical="center" wrapText="1"/>
    </xf>
    <xf numFmtId="0" fontId="12" fillId="3" borderId="7" xfId="407" applyNumberFormat="1" applyFont="1" applyFill="1" applyBorder="1" applyAlignment="1" applyProtection="1">
      <alignment horizontal="center" vertical="center" wrapText="1"/>
    </xf>
    <xf numFmtId="14" fontId="6" fillId="0" borderId="8" xfId="312" applyNumberFormat="1" applyFill="1" applyBorder="1">
      <alignment vertical="center"/>
    </xf>
    <xf numFmtId="177" fontId="14" fillId="0" borderId="7" xfId="312" applyNumberFormat="1" applyFont="1" applyFill="1" applyBorder="1">
      <alignment vertical="center"/>
    </xf>
    <xf numFmtId="177" fontId="14" fillId="0" borderId="7" xfId="312" applyNumberFormat="1" applyFont="1" applyFill="1" applyBorder="1" applyAlignment="1">
      <alignment horizontal="center" vertical="center"/>
    </xf>
    <xf numFmtId="0" fontId="6" fillId="4" borderId="8" xfId="312" applyNumberFormat="1" applyFont="1" applyFill="1" applyBorder="1" applyAlignment="1" applyProtection="1">
      <alignment horizontal="center" vertical="center" shrinkToFit="1"/>
    </xf>
    <xf numFmtId="14" fontId="6" fillId="4" borderId="8" xfId="312" applyNumberFormat="1" applyFont="1" applyFill="1" applyBorder="1" applyAlignment="1" applyProtection="1">
      <alignment horizontal="center" vertical="center" shrinkToFit="1"/>
    </xf>
    <xf numFmtId="180" fontId="17" fillId="4" borderId="7" xfId="312" applyNumberFormat="1" applyFont="1" applyFill="1" applyBorder="1" applyAlignment="1" applyProtection="1">
      <alignment horizontal="center" vertical="center" shrinkToFit="1"/>
    </xf>
    <xf numFmtId="14" fontId="6" fillId="0" borderId="0" xfId="0" applyNumberFormat="1" applyFont="1" applyFill="1" applyBorder="1" applyAlignment="1" applyProtection="1">
      <alignment vertical="center"/>
    </xf>
    <xf numFmtId="181" fontId="6" fillId="0" borderId="0" xfId="0" applyNumberFormat="1" applyFont="1" applyFill="1" applyBorder="1" applyAlignment="1" applyProtection="1">
      <alignment vertical="center"/>
    </xf>
    <xf numFmtId="14" fontId="6" fillId="0" borderId="0" xfId="0" applyNumberFormat="1" applyFont="1" applyFill="1" applyBorder="1" applyAlignment="1" applyProtection="1">
      <alignment horizontal="left" vertical="center" wrapText="1"/>
    </xf>
    <xf numFmtId="181" fontId="6" fillId="0" borderId="0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Border="1" applyAlignment="1" applyProtection="1">
      <alignment vertical="center" wrapText="1"/>
    </xf>
    <xf numFmtId="14" fontId="6" fillId="0" borderId="0" xfId="0" applyNumberFormat="1" applyFont="1" applyFill="1" applyBorder="1" applyAlignment="1" applyProtection="1">
      <alignment vertical="center" wrapText="1"/>
    </xf>
    <xf numFmtId="181" fontId="6" fillId="0" borderId="0" xfId="0" applyNumberFormat="1" applyFont="1" applyFill="1" applyBorder="1" applyAlignment="1" applyProtection="1">
      <alignment vertical="center" wrapText="1"/>
    </xf>
    <xf numFmtId="14" fontId="21" fillId="0" borderId="0" xfId="0" applyNumberFormat="1" applyFont="1" applyFill="1" applyBorder="1" applyAlignment="1" applyProtection="1">
      <alignment vertical="center" wrapText="1"/>
    </xf>
    <xf numFmtId="177" fontId="0" fillId="0" borderId="0" xfId="312" applyNumberFormat="1" applyFont="1" applyFill="1" applyBorder="1" applyAlignment="1">
      <alignment horizontal="left" vertical="center"/>
    </xf>
    <xf numFmtId="178" fontId="13" fillId="3" borderId="5" xfId="407" applyNumberFormat="1" applyFont="1" applyFill="1" applyBorder="1" applyAlignment="1" applyProtection="1">
      <alignment horizontal="center" vertical="center" wrapText="1"/>
    </xf>
    <xf numFmtId="0" fontId="13" fillId="3" borderId="8" xfId="407" applyNumberFormat="1" applyFont="1" applyFill="1" applyBorder="1" applyAlignment="1" applyProtection="1">
      <alignment horizontal="center" vertical="center" wrapText="1"/>
    </xf>
    <xf numFmtId="0" fontId="13" fillId="3" borderId="9" xfId="407" applyNumberFormat="1" applyFont="1" applyFill="1" applyBorder="1" applyAlignment="1" applyProtection="1">
      <alignment horizontal="center" vertical="center" wrapText="1"/>
    </xf>
    <xf numFmtId="178" fontId="13" fillId="3" borderId="6" xfId="407" applyNumberFormat="1" applyFont="1" applyFill="1" applyBorder="1" applyAlignment="1" applyProtection="1">
      <alignment horizontal="center" vertical="center" wrapText="1"/>
    </xf>
    <xf numFmtId="0" fontId="13" fillId="3" borderId="7" xfId="407" applyNumberFormat="1" applyFont="1" applyFill="1" applyBorder="1" applyAlignment="1" applyProtection="1">
      <alignment horizontal="center" vertical="center" wrapText="1"/>
    </xf>
    <xf numFmtId="177" fontId="14" fillId="4" borderId="7" xfId="312" applyNumberFormat="1" applyFont="1" applyFill="1" applyBorder="1">
      <alignment vertical="center"/>
    </xf>
    <xf numFmtId="177" fontId="14" fillId="4" borderId="10" xfId="312" applyNumberFormat="1" applyFont="1" applyFill="1" applyBorder="1" applyAlignment="1">
      <alignment horizontal="center" vertical="center"/>
    </xf>
    <xf numFmtId="177" fontId="14" fillId="4" borderId="10" xfId="312" applyNumberFormat="1" applyFont="1" applyFill="1" applyBorder="1">
      <alignment vertical="center"/>
    </xf>
    <xf numFmtId="177" fontId="14" fillId="0" borderId="10" xfId="312" applyNumberFormat="1" applyFont="1" applyFill="1" applyBorder="1" applyAlignment="1">
      <alignment horizontal="center" vertical="center"/>
    </xf>
    <xf numFmtId="177" fontId="14" fillId="0" borderId="10" xfId="312" applyNumberFormat="1" applyFont="1" applyFill="1" applyBorder="1">
      <alignment vertical="center"/>
    </xf>
    <xf numFmtId="0" fontId="13" fillId="3" borderId="10" xfId="407" applyNumberFormat="1" applyFont="1" applyFill="1" applyBorder="1" applyAlignment="1" applyProtection="1">
      <alignment horizontal="center" vertical="center" wrapText="1"/>
    </xf>
    <xf numFmtId="180" fontId="14" fillId="4" borderId="10" xfId="312" applyNumberFormat="1" applyFont="1" applyFill="1" applyBorder="1" applyAlignment="1" applyProtection="1">
      <alignment horizontal="center" vertical="center"/>
    </xf>
    <xf numFmtId="178" fontId="20" fillId="4" borderId="7" xfId="292" applyNumberFormat="1" applyFont="1" applyFill="1" applyBorder="1" applyAlignment="1" applyProtection="1">
      <alignment horizontal="center" vertical="center"/>
    </xf>
    <xf numFmtId="178" fontId="25" fillId="4" borderId="7" xfId="407" applyNumberFormat="1" applyFont="1" applyFill="1" applyBorder="1" applyAlignment="1" applyProtection="1">
      <alignment horizontal="center" vertical="center"/>
    </xf>
    <xf numFmtId="180" fontId="14" fillId="0" borderId="10" xfId="312" applyNumberFormat="1" applyFont="1" applyFill="1" applyBorder="1" applyAlignment="1" applyProtection="1">
      <alignment horizontal="center" vertical="center"/>
    </xf>
    <xf numFmtId="178" fontId="20" fillId="0" borderId="7" xfId="292" applyNumberFormat="1" applyFont="1" applyFill="1" applyBorder="1" applyAlignment="1" applyProtection="1">
      <alignment horizontal="center" vertical="center"/>
    </xf>
    <xf numFmtId="178" fontId="25" fillId="0" borderId="7" xfId="407" applyNumberFormat="1" applyFont="1" applyFill="1" applyBorder="1" applyAlignment="1" applyProtection="1">
      <alignment horizontal="center" vertical="center"/>
    </xf>
    <xf numFmtId="180" fontId="14" fillId="0" borderId="0" xfId="312" applyNumberFormat="1" applyFont="1" applyFill="1" applyBorder="1" applyAlignment="1" applyProtection="1">
      <alignment horizontal="center" vertical="center"/>
    </xf>
    <xf numFmtId="178" fontId="10" fillId="0" borderId="0" xfId="108" applyNumberFormat="1" applyFont="1" applyFill="1" applyBorder="1" applyAlignment="1" applyProtection="1">
      <alignment horizontal="center" vertical="center" wrapText="1"/>
    </xf>
    <xf numFmtId="0" fontId="11" fillId="3" borderId="5" xfId="108" applyNumberFormat="1" applyFont="1" applyFill="1" applyBorder="1" applyAlignment="1" applyProtection="1">
      <alignment horizontal="center" vertical="center" wrapText="1"/>
    </xf>
    <xf numFmtId="178" fontId="8" fillId="3" borderId="5" xfId="108" applyNumberFormat="1" applyFont="1" applyFill="1" applyBorder="1" applyAlignment="1" applyProtection="1">
      <alignment horizontal="center" vertical="center" wrapText="1"/>
    </xf>
    <xf numFmtId="0" fontId="11" fillId="3" borderId="6" xfId="108" applyNumberFormat="1" applyFont="1" applyFill="1" applyBorder="1" applyAlignment="1" applyProtection="1">
      <alignment horizontal="center" vertical="center" wrapText="1"/>
    </xf>
    <xf numFmtId="178" fontId="8" fillId="3" borderId="6" xfId="108" applyNumberFormat="1" applyFont="1" applyFill="1" applyBorder="1" applyAlignment="1" applyProtection="1">
      <alignment horizontal="center" vertical="center" wrapText="1"/>
    </xf>
    <xf numFmtId="180" fontId="14" fillId="4" borderId="7" xfId="312" applyNumberFormat="1" applyFont="1" applyFill="1" applyBorder="1" applyAlignment="1" applyProtection="1">
      <alignment horizontal="center" vertical="center"/>
    </xf>
    <xf numFmtId="178" fontId="16" fillId="0" borderId="7" xfId="312" applyNumberFormat="1" applyFont="1" applyFill="1" applyBorder="1" applyAlignment="1">
      <alignment horizontal="center" vertical="center" wrapText="1"/>
    </xf>
    <xf numFmtId="180" fontId="14" fillId="0" borderId="7" xfId="312" applyNumberFormat="1" applyFont="1" applyFill="1" applyBorder="1" applyAlignment="1" applyProtection="1">
      <alignment horizontal="center" vertical="center"/>
    </xf>
    <xf numFmtId="180" fontId="14" fillId="4" borderId="7" xfId="312" applyNumberFormat="1" applyFont="1" applyFill="1" applyBorder="1" applyAlignment="1" applyProtection="1">
      <alignment horizontal="center" vertical="center" shrinkToFit="1"/>
    </xf>
    <xf numFmtId="180" fontId="6" fillId="0" borderId="0" xfId="312" applyNumberFormat="1">
      <alignment vertical="center"/>
    </xf>
    <xf numFmtId="178" fontId="6" fillId="0" borderId="0" xfId="0" applyNumberFormat="1" applyFont="1" applyFill="1" applyBorder="1" applyAlignment="1" applyProtection="1">
      <alignment vertical="center"/>
    </xf>
    <xf numFmtId="49" fontId="6" fillId="0" borderId="0" xfId="312" applyNumberFormat="1" applyFont="1" applyFill="1" applyBorder="1" applyAlignment="1" applyProtection="1">
      <alignment horizontal="center" vertical="center"/>
    </xf>
    <xf numFmtId="49" fontId="12" fillId="3" borderId="5" xfId="407" applyNumberFormat="1" applyFont="1" applyFill="1" applyBorder="1" applyAlignment="1" applyProtection="1">
      <alignment horizontal="center" vertical="center" wrapText="1"/>
    </xf>
    <xf numFmtId="49" fontId="12" fillId="3" borderId="6" xfId="407" applyNumberFormat="1" applyFont="1" applyFill="1" applyBorder="1" applyAlignment="1" applyProtection="1">
      <alignment horizontal="center" vertical="center" wrapText="1"/>
    </xf>
    <xf numFmtId="0" fontId="25" fillId="4" borderId="7" xfId="312" applyFont="1" applyFill="1" applyBorder="1" applyAlignment="1">
      <alignment horizontal="center" vertical="center"/>
    </xf>
    <xf numFmtId="0" fontId="25" fillId="0" borderId="7" xfId="312" applyFont="1" applyFill="1" applyBorder="1" applyAlignment="1">
      <alignment horizontal="center" vertical="center"/>
    </xf>
    <xf numFmtId="0" fontId="25" fillId="4" borderId="7" xfId="312" applyFont="1" applyFill="1" applyBorder="1" applyAlignment="1">
      <alignment horizontal="center" vertical="center" shrinkToFit="1"/>
    </xf>
    <xf numFmtId="0" fontId="26" fillId="6" borderId="7" xfId="275" applyFont="1" applyFill="1" applyBorder="1" applyAlignment="1">
      <alignment horizontal="left" vertical="center"/>
    </xf>
    <xf numFmtId="49" fontId="26" fillId="0" borderId="7" xfId="275" applyNumberFormat="1" applyFont="1" applyBorder="1" applyAlignment="1" applyProtection="1">
      <protection locked="0"/>
    </xf>
    <xf numFmtId="0" fontId="6" fillId="0" borderId="7" xfId="312" applyNumberFormat="1" applyFont="1" applyFill="1" applyBorder="1" applyAlignment="1">
      <alignment horizontal="center" vertical="center"/>
    </xf>
    <xf numFmtId="0" fontId="6" fillId="0" borderId="8" xfId="312" applyFont="1" applyFill="1" applyBorder="1" applyAlignment="1">
      <alignment vertical="center"/>
    </xf>
    <xf numFmtId="14" fontId="6" fillId="0" borderId="8" xfId="312" applyNumberFormat="1" applyFont="1" applyFill="1" applyBorder="1" applyAlignment="1">
      <alignment vertical="center"/>
    </xf>
    <xf numFmtId="177" fontId="14" fillId="0" borderId="7" xfId="312" applyNumberFormat="1" applyFont="1" applyFill="1" applyBorder="1" applyAlignment="1">
      <alignment vertical="center"/>
    </xf>
    <xf numFmtId="0" fontId="14" fillId="0" borderId="7" xfId="312" applyNumberFormat="1" applyFont="1" applyFill="1" applyBorder="1">
      <alignment vertical="center"/>
    </xf>
    <xf numFmtId="178" fontId="17" fillId="4" borderId="7" xfId="312" applyNumberFormat="1" applyFont="1" applyFill="1" applyBorder="1" applyAlignment="1" applyProtection="1">
      <alignment horizontal="center" vertical="center" shrinkToFit="1"/>
    </xf>
    <xf numFmtId="49" fontId="16" fillId="0" borderId="8" xfId="312" applyNumberFormat="1" applyFont="1" applyFill="1" applyBorder="1" applyAlignment="1">
      <alignment horizontal="center" vertical="center" wrapText="1"/>
    </xf>
    <xf numFmtId="0" fontId="26" fillId="0" borderId="7" xfId="360" applyNumberFormat="1" applyFont="1" applyFill="1" applyBorder="1" applyAlignment="1">
      <alignment horizontal="center" vertical="center"/>
    </xf>
    <xf numFmtId="0" fontId="6" fillId="0" borderId="7" xfId="312" applyFill="1" applyBorder="1">
      <alignment vertical="center"/>
    </xf>
    <xf numFmtId="0" fontId="6" fillId="7" borderId="0" xfId="0" applyFont="1" applyFill="1" applyAlignment="1">
      <alignment vertical="center"/>
    </xf>
    <xf numFmtId="0" fontId="27" fillId="7" borderId="0" xfId="472" applyFont="1" applyFill="1" applyBorder="1" applyAlignment="1">
      <alignment horizontal="center" vertical="center"/>
    </xf>
    <xf numFmtId="0" fontId="28" fillId="7" borderId="0" xfId="472" applyNumberFormat="1" applyFont="1" applyFill="1" applyBorder="1" applyAlignment="1" applyProtection="1">
      <alignment horizontal="center" vertical="center"/>
      <protection locked="0"/>
    </xf>
    <xf numFmtId="0" fontId="28" fillId="7" borderId="0" xfId="472" applyNumberFormat="1" applyFont="1" applyFill="1" applyBorder="1" applyAlignment="1" applyProtection="1">
      <alignment horizontal="left" vertical="center"/>
      <protection locked="0"/>
    </xf>
    <xf numFmtId="0" fontId="29" fillId="7" borderId="0" xfId="472" applyNumberFormat="1" applyFont="1" applyFill="1" applyBorder="1" applyAlignment="1" applyProtection="1">
      <alignment horizontal="center" vertical="center"/>
      <protection locked="0"/>
    </xf>
    <xf numFmtId="0" fontId="30" fillId="7" borderId="0" xfId="472" applyNumberFormat="1" applyFont="1" applyFill="1" applyBorder="1" applyAlignment="1" applyProtection="1">
      <alignment horizontal="left" vertical="center"/>
      <protection locked="0"/>
    </xf>
    <xf numFmtId="0" fontId="26" fillId="7" borderId="0" xfId="0" applyFont="1" applyFill="1" applyBorder="1" applyAlignment="1" applyProtection="1">
      <alignment horizontal="right" vertical="center"/>
      <protection locked="0"/>
    </xf>
    <xf numFmtId="49" fontId="31" fillId="7" borderId="0" xfId="474" applyNumberFormat="1" applyFont="1" applyFill="1" applyBorder="1" applyAlignment="1" applyProtection="1">
      <alignment horizontal="left" vertical="center"/>
      <protection locked="0"/>
    </xf>
    <xf numFmtId="0" fontId="32" fillId="7" borderId="0" xfId="0" applyFont="1" applyFill="1" applyBorder="1" applyAlignment="1" applyProtection="1">
      <alignment horizontal="left" vertical="center"/>
      <protection locked="0"/>
    </xf>
    <xf numFmtId="0" fontId="33" fillId="7" borderId="0" xfId="472" applyFont="1" applyFill="1" applyBorder="1" applyAlignment="1">
      <alignment horizontal="right" vertical="center"/>
    </xf>
    <xf numFmtId="14" fontId="34" fillId="7" borderId="0" xfId="0" applyNumberFormat="1" applyFont="1" applyFill="1" applyBorder="1" applyAlignment="1" applyProtection="1">
      <alignment horizontal="left" vertical="center"/>
      <protection locked="0"/>
    </xf>
    <xf numFmtId="0" fontId="34" fillId="7" borderId="0" xfId="0" applyFont="1" applyFill="1" applyBorder="1" applyAlignment="1" applyProtection="1">
      <alignment horizontal="right" vertical="center"/>
      <protection locked="0"/>
    </xf>
    <xf numFmtId="0" fontId="35" fillId="7" borderId="0" xfId="0" applyFont="1" applyFill="1" applyBorder="1" applyAlignment="1">
      <alignment horizontal="left" vertical="center"/>
    </xf>
    <xf numFmtId="0" fontId="35" fillId="7" borderId="0" xfId="0" applyFont="1" applyFill="1" applyAlignment="1">
      <alignment horizontal="left" vertical="center"/>
    </xf>
    <xf numFmtId="0" fontId="30" fillId="7" borderId="0" xfId="472" applyNumberFormat="1" applyFont="1" applyFill="1" applyBorder="1" applyAlignment="1" applyProtection="1">
      <alignment horizontal="center" vertical="center"/>
      <protection locked="0"/>
    </xf>
    <xf numFmtId="0" fontId="35" fillId="7" borderId="0" xfId="0" applyFont="1" applyFill="1" applyBorder="1" applyAlignment="1" applyProtection="1">
      <alignment horizontal="left" vertical="center"/>
      <protection locked="0"/>
    </xf>
    <xf numFmtId="0" fontId="36" fillId="7" borderId="0" xfId="472" applyNumberFormat="1" applyFont="1" applyFill="1" applyBorder="1" applyAlignment="1" applyProtection="1">
      <alignment horizontal="center" vertical="center"/>
      <protection locked="0"/>
    </xf>
    <xf numFmtId="182" fontId="34" fillId="7" borderId="0" xfId="474" applyNumberFormat="1" applyFont="1" applyFill="1" applyBorder="1" applyAlignment="1" applyProtection="1">
      <alignment horizontal="left" vertical="center"/>
      <protection locked="0"/>
    </xf>
    <xf numFmtId="0" fontId="37" fillId="7" borderId="11" xfId="0" applyFont="1" applyFill="1" applyBorder="1" applyAlignment="1" applyProtection="1">
      <alignment horizontal="center" vertical="center"/>
      <protection locked="0"/>
    </xf>
    <xf numFmtId="0" fontId="37" fillId="7" borderId="12" xfId="0" applyFont="1" applyFill="1" applyBorder="1" applyAlignment="1" applyProtection="1">
      <alignment horizontal="center" vertical="center"/>
      <protection locked="0"/>
    </xf>
    <xf numFmtId="0" fontId="13" fillId="7" borderId="13" xfId="473" applyNumberFormat="1" applyFont="1" applyFill="1" applyBorder="1" applyAlignment="1" applyProtection="1">
      <alignment horizontal="left" vertical="center"/>
      <protection locked="0"/>
    </xf>
    <xf numFmtId="0" fontId="13" fillId="7" borderId="6" xfId="473" applyNumberFormat="1" applyFont="1" applyFill="1" applyBorder="1" applyAlignment="1" applyProtection="1">
      <alignment horizontal="left" vertical="center"/>
      <protection locked="0"/>
    </xf>
    <xf numFmtId="43" fontId="38" fillId="7" borderId="8" xfId="0" applyNumberFormat="1" applyFont="1" applyFill="1" applyBorder="1" applyAlignment="1" applyProtection="1">
      <alignment horizontal="left" vertical="center" shrinkToFit="1"/>
    </xf>
    <xf numFmtId="43" fontId="38" fillId="7" borderId="9" xfId="0" applyNumberFormat="1" applyFont="1" applyFill="1" applyBorder="1" applyAlignment="1" applyProtection="1">
      <alignment horizontal="left" vertical="center" shrinkToFit="1"/>
    </xf>
    <xf numFmtId="43" fontId="38" fillId="7" borderId="14" xfId="0" applyNumberFormat="1" applyFont="1" applyFill="1" applyBorder="1" applyAlignment="1" applyProtection="1">
      <alignment horizontal="left" vertical="center" shrinkToFit="1"/>
    </xf>
    <xf numFmtId="0" fontId="13" fillId="7" borderId="15" xfId="473" applyNumberFormat="1" applyFont="1" applyFill="1" applyBorder="1" applyAlignment="1" applyProtection="1">
      <alignment horizontal="left" vertical="center"/>
      <protection locked="0"/>
    </xf>
    <xf numFmtId="0" fontId="13" fillId="7" borderId="16" xfId="473" applyNumberFormat="1" applyFont="1" applyFill="1" applyBorder="1" applyAlignment="1" applyProtection="1">
      <alignment horizontal="left" vertical="center"/>
      <protection locked="0"/>
    </xf>
    <xf numFmtId="176" fontId="38" fillId="7" borderId="17" xfId="0" applyNumberFormat="1" applyFont="1" applyFill="1" applyBorder="1" applyAlignment="1" applyProtection="1">
      <alignment horizontal="right" vertical="center" shrinkToFit="1"/>
    </xf>
    <xf numFmtId="176" fontId="38" fillId="7" borderId="18" xfId="0" applyNumberFormat="1" applyFont="1" applyFill="1" applyBorder="1" applyAlignment="1" applyProtection="1">
      <alignment horizontal="right" vertical="center" shrinkToFit="1"/>
    </xf>
    <xf numFmtId="176" fontId="38" fillId="7" borderId="19" xfId="0" applyNumberFormat="1" applyFont="1" applyFill="1" applyBorder="1" applyAlignment="1" applyProtection="1">
      <alignment horizontal="right" vertical="center" shrinkToFit="1"/>
    </xf>
    <xf numFmtId="0" fontId="25" fillId="7" borderId="13" xfId="474" applyNumberFormat="1" applyFont="1" applyFill="1" applyBorder="1" applyAlignment="1" applyProtection="1">
      <alignment horizontal="left" vertical="center"/>
      <protection locked="0"/>
    </xf>
    <xf numFmtId="0" fontId="25" fillId="7" borderId="6" xfId="474" applyNumberFormat="1" applyFont="1" applyFill="1" applyBorder="1" applyAlignment="1" applyProtection="1">
      <alignment horizontal="left" vertical="center"/>
      <protection locked="0"/>
    </xf>
    <xf numFmtId="43" fontId="39" fillId="7" borderId="6" xfId="0" applyNumberFormat="1" applyFont="1" applyFill="1" applyBorder="1" applyAlignment="1" applyProtection="1">
      <alignment horizontal="left" vertical="center" shrinkToFit="1"/>
    </xf>
    <xf numFmtId="0" fontId="25" fillId="7" borderId="20" xfId="474" applyNumberFormat="1" applyFont="1" applyFill="1" applyBorder="1" applyAlignment="1" applyProtection="1">
      <alignment horizontal="left" vertical="center"/>
      <protection locked="0"/>
    </xf>
    <xf numFmtId="0" fontId="25" fillId="7" borderId="21" xfId="474" applyNumberFormat="1" applyFont="1" applyFill="1" applyBorder="1" applyAlignment="1" applyProtection="1">
      <alignment horizontal="left" vertical="center"/>
      <protection locked="0"/>
    </xf>
    <xf numFmtId="0" fontId="25" fillId="7" borderId="22" xfId="474" applyNumberFormat="1" applyFont="1" applyFill="1" applyBorder="1" applyAlignment="1" applyProtection="1">
      <alignment horizontal="left" vertical="center"/>
      <protection locked="0"/>
    </xf>
    <xf numFmtId="43" fontId="39" fillId="7" borderId="23" xfId="0" applyNumberFormat="1" applyFont="1" applyFill="1" applyBorder="1" applyAlignment="1" applyProtection="1">
      <alignment horizontal="left" vertical="center" shrinkToFit="1"/>
      <protection locked="0"/>
    </xf>
    <xf numFmtId="0" fontId="14" fillId="7" borderId="24" xfId="163" applyFont="1" applyFill="1" applyBorder="1" applyAlignment="1">
      <alignment vertical="center"/>
    </xf>
    <xf numFmtId="0" fontId="14" fillId="7" borderId="7" xfId="163" applyFont="1" applyFill="1" applyBorder="1" applyAlignment="1">
      <alignment vertical="center"/>
    </xf>
    <xf numFmtId="43" fontId="39" fillId="7" borderId="7" xfId="0" applyNumberFormat="1" applyFont="1" applyFill="1" applyBorder="1" applyAlignment="1" applyProtection="1">
      <alignment horizontal="left" vertical="center" shrinkToFit="1"/>
      <protection locked="0"/>
    </xf>
    <xf numFmtId="0" fontId="14" fillId="7" borderId="8" xfId="163" applyFont="1" applyFill="1" applyBorder="1" applyAlignment="1">
      <alignment horizontal="left" vertical="center"/>
    </xf>
    <xf numFmtId="0" fontId="14" fillId="7" borderId="9" xfId="163" applyFont="1" applyFill="1" applyBorder="1" applyAlignment="1">
      <alignment horizontal="left" vertical="center"/>
    </xf>
    <xf numFmtId="0" fontId="14" fillId="7" borderId="10" xfId="163" applyFont="1" applyFill="1" applyBorder="1" applyAlignment="1">
      <alignment horizontal="left" vertical="center"/>
    </xf>
    <xf numFmtId="43" fontId="39" fillId="7" borderId="25" xfId="0" applyNumberFormat="1" applyFont="1" applyFill="1" applyBorder="1" applyAlignment="1" applyProtection="1">
      <alignment horizontal="left" vertical="center" shrinkToFit="1"/>
      <protection locked="0"/>
    </xf>
    <xf numFmtId="0" fontId="14" fillId="7" borderId="26" xfId="163" applyFont="1" applyFill="1" applyBorder="1" applyAlignment="1">
      <alignment vertical="center"/>
    </xf>
    <xf numFmtId="0" fontId="14" fillId="7" borderId="27" xfId="163" applyFont="1" applyFill="1" applyBorder="1" applyAlignment="1">
      <alignment vertical="center"/>
    </xf>
    <xf numFmtId="43" fontId="39" fillId="7" borderId="27" xfId="474" applyNumberFormat="1" applyFont="1" applyFill="1" applyBorder="1" applyAlignment="1" applyProtection="1">
      <alignment horizontal="left" vertical="center" shrinkToFit="1"/>
      <protection locked="0"/>
    </xf>
    <xf numFmtId="183" fontId="25" fillId="7" borderId="28" xfId="474" applyNumberFormat="1" applyFont="1" applyFill="1" applyBorder="1" applyAlignment="1" applyProtection="1">
      <alignment horizontal="left" vertical="center"/>
      <protection locked="0"/>
    </xf>
    <xf numFmtId="183" fontId="25" fillId="7" borderId="29" xfId="474" applyNumberFormat="1" applyFont="1" applyFill="1" applyBorder="1" applyAlignment="1" applyProtection="1">
      <alignment horizontal="left" vertical="center"/>
      <protection locked="0"/>
    </xf>
    <xf numFmtId="183" fontId="25" fillId="7" borderId="30" xfId="474" applyNumberFormat="1" applyFont="1" applyFill="1" applyBorder="1" applyAlignment="1" applyProtection="1">
      <alignment horizontal="left" vertical="center"/>
      <protection locked="0"/>
    </xf>
    <xf numFmtId="43" fontId="39" fillId="7" borderId="31" xfId="474" applyNumberFormat="1" applyFont="1" applyFill="1" applyBorder="1" applyAlignment="1" applyProtection="1">
      <alignment horizontal="left" vertical="center" shrinkToFit="1"/>
      <protection locked="0"/>
    </xf>
    <xf numFmtId="184" fontId="40" fillId="7" borderId="0" xfId="474" applyNumberFormat="1" applyFont="1" applyFill="1" applyBorder="1" applyAlignment="1" applyProtection="1">
      <alignment horizontal="left" vertical="center"/>
      <protection locked="0"/>
    </xf>
    <xf numFmtId="0" fontId="41" fillId="0" borderId="11" xfId="403" applyFont="1" applyFill="1" applyBorder="1" applyAlignment="1">
      <alignment horizontal="center" vertical="center" wrapText="1"/>
    </xf>
    <xf numFmtId="0" fontId="41" fillId="0" borderId="32" xfId="403" applyFont="1" applyFill="1" applyBorder="1" applyAlignment="1">
      <alignment horizontal="center" vertical="center" wrapText="1"/>
    </xf>
    <xf numFmtId="181" fontId="41" fillId="0" borderId="32" xfId="403" applyNumberFormat="1" applyFont="1" applyFill="1" applyBorder="1" applyAlignment="1">
      <alignment horizontal="center" vertical="center" wrapText="1"/>
    </xf>
    <xf numFmtId="185" fontId="41" fillId="0" borderId="32" xfId="403" applyNumberFormat="1" applyFont="1" applyFill="1" applyBorder="1" applyAlignment="1">
      <alignment horizontal="center" vertical="center" wrapText="1"/>
    </xf>
    <xf numFmtId="0" fontId="41" fillId="0" borderId="33" xfId="403" applyFont="1" applyFill="1" applyBorder="1" applyAlignment="1">
      <alignment horizontal="center" vertical="center" wrapText="1"/>
    </xf>
    <xf numFmtId="0" fontId="42" fillId="0" borderId="24" xfId="403" applyFont="1" applyFill="1" applyBorder="1" applyAlignment="1">
      <alignment horizontal="center" vertical="center"/>
    </xf>
    <xf numFmtId="0" fontId="42" fillId="0" borderId="7" xfId="403" applyFont="1" applyFill="1" applyBorder="1" applyAlignment="1">
      <alignment horizontal="center" vertical="center"/>
    </xf>
    <xf numFmtId="43" fontId="42" fillId="0" borderId="7" xfId="403" applyNumberFormat="1" applyFont="1" applyFill="1" applyBorder="1" applyAlignment="1">
      <alignment horizontal="left" vertical="center"/>
    </xf>
    <xf numFmtId="181" fontId="42" fillId="0" borderId="7" xfId="403" applyNumberFormat="1" applyFont="1" applyFill="1" applyBorder="1" applyAlignment="1">
      <alignment horizontal="center" vertical="center"/>
    </xf>
    <xf numFmtId="185" fontId="42" fillId="0" borderId="7" xfId="403" applyNumberFormat="1" applyFont="1" applyFill="1" applyBorder="1" applyAlignment="1">
      <alignment horizontal="right" vertical="center"/>
    </xf>
    <xf numFmtId="0" fontId="42" fillId="0" borderId="25" xfId="403" applyFont="1" applyFill="1" applyBorder="1" applyAlignment="1">
      <alignment horizontal="left" vertical="center"/>
    </xf>
    <xf numFmtId="43" fontId="42" fillId="0" borderId="7" xfId="403" applyNumberFormat="1" applyFont="1" applyFill="1" applyBorder="1" applyAlignment="1">
      <alignment vertical="center"/>
    </xf>
    <xf numFmtId="43" fontId="42" fillId="0" borderId="7" xfId="403" applyNumberFormat="1" applyFont="1" applyFill="1" applyBorder="1" applyAlignment="1">
      <alignment horizontal="center" vertical="center"/>
    </xf>
    <xf numFmtId="0" fontId="42" fillId="0" borderId="25" xfId="403" applyFont="1" applyFill="1" applyBorder="1" applyAlignment="1">
      <alignment vertical="center" wrapText="1"/>
    </xf>
    <xf numFmtId="43" fontId="43" fillId="0" borderId="7" xfId="403" applyNumberFormat="1" applyFont="1" applyFill="1" applyBorder="1" applyAlignment="1">
      <alignment horizontal="center" vertical="center"/>
    </xf>
    <xf numFmtId="185" fontId="43" fillId="0" borderId="7" xfId="403" applyNumberFormat="1" applyFont="1" applyFill="1" applyBorder="1" applyAlignment="1">
      <alignment horizontal="right" vertical="center"/>
    </xf>
    <xf numFmtId="0" fontId="42" fillId="0" borderId="25" xfId="403" applyFont="1" applyFill="1" applyBorder="1" applyAlignment="1">
      <alignment vertical="center"/>
    </xf>
    <xf numFmtId="0" fontId="42" fillId="0" borderId="7" xfId="403" applyFont="1" applyFill="1" applyBorder="1" applyAlignment="1">
      <alignment horizontal="center" vertical="center" wrapText="1"/>
    </xf>
    <xf numFmtId="10" fontId="43" fillId="0" borderId="7" xfId="403" applyNumberFormat="1" applyFont="1" applyFill="1" applyBorder="1" applyAlignment="1">
      <alignment horizontal="center" vertical="center"/>
    </xf>
    <xf numFmtId="0" fontId="44" fillId="8" borderId="24" xfId="403" applyFont="1" applyFill="1" applyBorder="1" applyAlignment="1">
      <alignment horizontal="center" vertical="center"/>
    </xf>
    <xf numFmtId="0" fontId="44" fillId="8" borderId="7" xfId="403" applyFont="1" applyFill="1" applyBorder="1" applyAlignment="1">
      <alignment horizontal="center" vertical="center"/>
    </xf>
    <xf numFmtId="185" fontId="44" fillId="8" borderId="7" xfId="403" applyNumberFormat="1" applyFont="1" applyFill="1" applyBorder="1" applyAlignment="1">
      <alignment vertical="center"/>
    </xf>
    <xf numFmtId="0" fontId="42" fillId="8" borderId="25" xfId="403" applyFont="1" applyFill="1" applyBorder="1" applyAlignment="1">
      <alignment horizontal="left" vertical="center"/>
    </xf>
    <xf numFmtId="0" fontId="44" fillId="8" borderId="26" xfId="403" applyFont="1" applyFill="1" applyBorder="1" applyAlignment="1">
      <alignment horizontal="center" vertical="center"/>
    </xf>
    <xf numFmtId="0" fontId="44" fillId="8" borderId="27" xfId="403" applyFont="1" applyFill="1" applyBorder="1" applyAlignment="1">
      <alignment horizontal="center" vertical="center"/>
    </xf>
    <xf numFmtId="185" fontId="44" fillId="8" borderId="27" xfId="403" applyNumberFormat="1" applyFont="1" applyFill="1" applyBorder="1" applyAlignment="1">
      <alignment vertical="center"/>
    </xf>
    <xf numFmtId="0" fontId="42" fillId="8" borderId="31" xfId="403" applyFont="1" applyFill="1" applyBorder="1" applyAlignment="1">
      <alignment horizontal="left" vertical="center"/>
    </xf>
    <xf numFmtId="182" fontId="34" fillId="7" borderId="0" xfId="474" applyNumberFormat="1" applyFont="1" applyFill="1" applyBorder="1" applyAlignment="1" applyProtection="1">
      <alignment horizontal="right" vertical="center"/>
      <protection locked="0"/>
    </xf>
    <xf numFmtId="0" fontId="20" fillId="7" borderId="0" xfId="472" applyFont="1" applyFill="1" applyBorder="1" applyAlignment="1">
      <alignment horizontal="right" vertical="center"/>
    </xf>
    <xf numFmtId="14" fontId="31" fillId="7" borderId="0" xfId="0" applyNumberFormat="1" applyFont="1" applyFill="1" applyBorder="1" applyAlignment="1" applyProtection="1">
      <alignment horizontal="left" vertical="center"/>
      <protection locked="0"/>
    </xf>
    <xf numFmtId="0" fontId="45" fillId="7" borderId="0" xfId="472" applyNumberFormat="1" applyFont="1" applyFill="1" applyBorder="1" applyAlignment="1" applyProtection="1">
      <alignment horizontal="right" vertical="center"/>
      <protection locked="0"/>
    </xf>
    <xf numFmtId="0" fontId="46" fillId="7" borderId="0" xfId="472" applyNumberFormat="1" applyFont="1" applyFill="1" applyBorder="1" applyAlignment="1" applyProtection="1">
      <alignment horizontal="left" vertical="center"/>
      <protection locked="0"/>
    </xf>
    <xf numFmtId="0" fontId="47" fillId="7" borderId="0" xfId="472" applyNumberFormat="1" applyFont="1" applyFill="1" applyBorder="1" applyAlignment="1" applyProtection="1">
      <alignment horizontal="right" vertical="center"/>
      <protection locked="0"/>
    </xf>
    <xf numFmtId="0" fontId="48" fillId="7" borderId="0" xfId="472" applyNumberFormat="1" applyFont="1" applyFill="1" applyBorder="1" applyAlignment="1" applyProtection="1">
      <alignment horizontal="left" vertical="center"/>
      <protection locked="0"/>
    </xf>
    <xf numFmtId="0" fontId="49" fillId="7" borderId="0" xfId="472" applyNumberFormat="1" applyFont="1" applyFill="1" applyBorder="1" applyAlignment="1" applyProtection="1">
      <alignment vertical="center"/>
      <protection locked="0"/>
    </xf>
    <xf numFmtId="0" fontId="50" fillId="7" borderId="0" xfId="472" applyNumberFormat="1" applyFont="1" applyFill="1" applyBorder="1" applyAlignment="1" applyProtection="1">
      <alignment horizontal="left" vertical="center"/>
      <protection locked="0"/>
    </xf>
    <xf numFmtId="0" fontId="51" fillId="7" borderId="0" xfId="472" applyNumberFormat="1" applyFont="1" applyFill="1" applyBorder="1" applyAlignment="1" applyProtection="1">
      <alignment vertical="center"/>
      <protection locked="0"/>
    </xf>
    <xf numFmtId="0" fontId="51" fillId="7" borderId="0" xfId="472" applyNumberFormat="1" applyFont="1" applyFill="1" applyBorder="1" applyAlignment="1" applyProtection="1">
      <alignment horizontal="left" vertical="center"/>
      <protection locked="0"/>
    </xf>
    <xf numFmtId="0" fontId="52" fillId="7" borderId="0" xfId="472" applyNumberFormat="1" applyFont="1" applyFill="1" applyBorder="1" applyAlignment="1" applyProtection="1">
      <alignment vertical="center"/>
      <protection locked="0"/>
    </xf>
    <xf numFmtId="0" fontId="51" fillId="7" borderId="0" xfId="472" applyNumberFormat="1" applyFont="1" applyFill="1" applyBorder="1" applyAlignment="1" applyProtection="1">
      <alignment horizontal="left" vertical="center"/>
      <protection locked="0"/>
    </xf>
    <xf numFmtId="0" fontId="53" fillId="7" borderId="0" xfId="144" applyFont="1" applyFill="1" applyBorder="1" applyAlignment="1">
      <alignment vertical="center"/>
    </xf>
    <xf numFmtId="0" fontId="53" fillId="7" borderId="0" xfId="144" applyFont="1" applyFill="1" applyBorder="1" applyAlignment="1">
      <alignment horizontal="left" vertical="center"/>
    </xf>
    <xf numFmtId="0" fontId="35" fillId="7" borderId="0" xfId="144" applyFont="1" applyFill="1" applyBorder="1" applyAlignment="1">
      <alignment vertical="center"/>
    </xf>
    <xf numFmtId="0" fontId="50" fillId="7" borderId="0" xfId="472" applyNumberFormat="1" applyFont="1" applyFill="1" applyBorder="1" applyAlignment="1" applyProtection="1">
      <alignment horizontal="right" vertical="center"/>
      <protection locked="0"/>
    </xf>
    <xf numFmtId="0" fontId="53" fillId="7" borderId="0" xfId="144" applyFont="1" applyFill="1" applyBorder="1" applyAlignment="1">
      <alignment vertical="center" wrapText="1"/>
    </xf>
    <xf numFmtId="0" fontId="53" fillId="7" borderId="0" xfId="144" applyFont="1" applyFill="1" applyBorder="1" applyAlignment="1">
      <alignment horizontal="left" vertical="center" wrapText="1"/>
    </xf>
    <xf numFmtId="0" fontId="35" fillId="7" borderId="0" xfId="144" applyFont="1" applyFill="1" applyBorder="1" applyAlignment="1">
      <alignment vertical="center" wrapText="1"/>
    </xf>
    <xf numFmtId="49" fontId="54" fillId="7" borderId="0" xfId="472" applyNumberFormat="1" applyFont="1" applyFill="1" applyBorder="1" applyAlignment="1" applyProtection="1">
      <alignment horizontal="left" vertical="center"/>
      <protection locked="0"/>
    </xf>
    <xf numFmtId="0" fontId="53" fillId="7" borderId="0" xfId="0" applyFont="1" applyFill="1" applyBorder="1" applyAlignment="1">
      <alignment horizontal="left" vertical="center"/>
    </xf>
    <xf numFmtId="49" fontId="55" fillId="7" borderId="0" xfId="472" applyNumberFormat="1" applyFont="1" applyFill="1" applyBorder="1" applyAlignment="1" applyProtection="1">
      <alignment horizontal="left" vertical="center"/>
      <protection locked="0"/>
    </xf>
    <xf numFmtId="0" fontId="56" fillId="7" borderId="0" xfId="0" applyFont="1" applyFill="1" applyAlignment="1">
      <alignment vertical="center"/>
    </xf>
    <xf numFmtId="49" fontId="40" fillId="7" borderId="0" xfId="474" applyNumberFormat="1" applyFont="1" applyFill="1" applyBorder="1" applyAlignment="1" applyProtection="1">
      <alignment horizontal="left" vertical="center"/>
      <protection locked="0"/>
    </xf>
    <xf numFmtId="49" fontId="33" fillId="7" borderId="0" xfId="472" applyNumberFormat="1" applyFont="1" applyFill="1" applyBorder="1" applyAlignment="1" applyProtection="1">
      <alignment horizontal="left" vertical="center"/>
      <protection locked="0"/>
    </xf>
    <xf numFmtId="49" fontId="20" fillId="7" borderId="0" xfId="472" applyNumberFormat="1" applyFont="1" applyFill="1" applyBorder="1" applyAlignment="1" applyProtection="1">
      <alignment horizontal="left" vertical="center"/>
      <protection locked="0"/>
    </xf>
    <xf numFmtId="49" fontId="34" fillId="7" borderId="0" xfId="474" applyNumberFormat="1" applyFont="1" applyFill="1" applyBorder="1" applyAlignment="1" applyProtection="1">
      <alignment horizontal="left" vertical="center"/>
      <protection locked="0"/>
    </xf>
    <xf numFmtId="49" fontId="26" fillId="7" borderId="0" xfId="474" applyNumberFormat="1" applyFont="1" applyFill="1" applyBorder="1" applyAlignment="1" applyProtection="1">
      <alignment horizontal="left" vertical="center"/>
      <protection locked="0"/>
    </xf>
    <xf numFmtId="0" fontId="14" fillId="7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/>
    </xf>
    <xf numFmtId="0" fontId="57" fillId="0" borderId="0" xfId="0" applyFont="1" applyFill="1" applyAlignment="1">
      <alignment vertical="center"/>
    </xf>
    <xf numFmtId="0" fontId="58" fillId="0" borderId="0" xfId="0" applyFont="1" applyFill="1" applyAlignment="1">
      <alignment vertical="center"/>
    </xf>
    <xf numFmtId="0" fontId="59" fillId="0" borderId="0" xfId="0" applyFont="1" applyFill="1" applyAlignment="1">
      <alignment vertical="center"/>
    </xf>
    <xf numFmtId="0" fontId="60" fillId="0" borderId="0" xfId="0" applyFont="1" applyFill="1" applyAlignment="1">
      <alignment vertical="center"/>
    </xf>
    <xf numFmtId="0" fontId="61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2" fillId="0" borderId="0" xfId="0" applyFont="1" applyFill="1" applyAlignment="1">
      <alignment vertical="center"/>
    </xf>
    <xf numFmtId="0" fontId="19" fillId="9" borderId="7" xfId="0" applyFont="1" applyFill="1" applyBorder="1" applyAlignment="1">
      <alignment horizontal="center" vertical="center" wrapText="1"/>
    </xf>
    <xf numFmtId="0" fontId="23" fillId="9" borderId="7" xfId="0" applyFont="1" applyFill="1" applyBorder="1" applyAlignment="1">
      <alignment horizontal="center" vertical="center" wrapText="1"/>
    </xf>
    <xf numFmtId="0" fontId="61" fillId="0" borderId="7" xfId="0" applyFont="1" applyFill="1" applyBorder="1" applyAlignment="1"/>
    <xf numFmtId="0" fontId="21" fillId="9" borderId="7" xfId="0" applyFont="1" applyFill="1" applyBorder="1" applyAlignment="1">
      <alignment horizontal="center" vertical="center" wrapText="1"/>
    </xf>
    <xf numFmtId="0" fontId="63" fillId="0" borderId="7" xfId="0" applyFont="1" applyFill="1" applyBorder="1" applyAlignment="1">
      <alignment horizontal="center"/>
    </xf>
    <xf numFmtId="49" fontId="63" fillId="0" borderId="7" xfId="0" applyNumberFormat="1" applyFont="1" applyFill="1" applyBorder="1" applyAlignment="1">
      <alignment horizontal="center" vertical="center"/>
    </xf>
    <xf numFmtId="0" fontId="16" fillId="0" borderId="7" xfId="0" applyFont="1" applyFill="1" applyBorder="1" applyAlignment="1" applyProtection="1">
      <alignment horizontal="center" vertical="center"/>
      <protection locked="0"/>
    </xf>
    <xf numFmtId="49" fontId="63" fillId="0" borderId="7" xfId="0" applyNumberFormat="1" applyFont="1" applyFill="1" applyBorder="1" applyAlignment="1">
      <alignment horizontal="center"/>
    </xf>
    <xf numFmtId="0" fontId="64" fillId="0" borderId="7" xfId="0" applyFont="1" applyFill="1" applyBorder="1" applyAlignment="1">
      <alignment horizontal="center" vertical="center"/>
    </xf>
    <xf numFmtId="49" fontId="65" fillId="0" borderId="7" xfId="0" applyNumberFormat="1" applyFont="1" applyFill="1" applyBorder="1" applyAlignment="1">
      <alignment horizontal="center" vertical="center"/>
    </xf>
    <xf numFmtId="0" fontId="66" fillId="0" borderId="7" xfId="0" applyFont="1" applyFill="1" applyBorder="1" applyAlignment="1">
      <alignment horizontal="center"/>
    </xf>
    <xf numFmtId="49" fontId="66" fillId="0" borderId="7" xfId="0" applyNumberFormat="1" applyFont="1" applyFill="1" applyBorder="1" applyAlignment="1">
      <alignment horizontal="center" vertical="center"/>
    </xf>
    <xf numFmtId="0" fontId="67" fillId="0" borderId="7" xfId="0" applyFont="1" applyFill="1" applyBorder="1" applyAlignment="1" applyProtection="1">
      <alignment horizontal="center" vertical="center"/>
      <protection locked="0"/>
    </xf>
    <xf numFmtId="49" fontId="66" fillId="0" borderId="7" xfId="0" applyNumberFormat="1" applyFont="1" applyFill="1" applyBorder="1" applyAlignment="1">
      <alignment horizontal="center"/>
    </xf>
    <xf numFmtId="0" fontId="68" fillId="0" borderId="7" xfId="0" applyFont="1" applyFill="1" applyBorder="1" applyAlignment="1">
      <alignment horizontal="center" vertical="center"/>
    </xf>
    <xf numFmtId="49" fontId="69" fillId="0" borderId="7" xfId="0" applyNumberFormat="1" applyFont="1" applyFill="1" applyBorder="1" applyAlignment="1">
      <alignment horizontal="center" vertical="center"/>
    </xf>
    <xf numFmtId="0" fontId="70" fillId="0" borderId="34" xfId="0" applyFont="1" applyFill="1" applyBorder="1" applyAlignment="1">
      <alignment horizontal="center"/>
    </xf>
    <xf numFmtId="49" fontId="70" fillId="0" borderId="34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 applyProtection="1">
      <alignment horizontal="center" vertical="center"/>
      <protection locked="0"/>
    </xf>
    <xf numFmtId="49" fontId="70" fillId="0" borderId="6" xfId="0" applyNumberFormat="1" applyFont="1" applyFill="1" applyBorder="1" applyAlignment="1">
      <alignment horizontal="center"/>
    </xf>
    <xf numFmtId="49" fontId="71" fillId="0" borderId="35" xfId="0" applyNumberFormat="1" applyFont="1" applyFill="1" applyBorder="1" applyAlignment="1">
      <alignment horizontal="center" vertical="center"/>
    </xf>
    <xf numFmtId="0" fontId="72" fillId="0" borderId="6" xfId="0" applyFont="1" applyFill="1" applyBorder="1" applyAlignment="1">
      <alignment horizontal="center" vertical="center"/>
    </xf>
    <xf numFmtId="49" fontId="73" fillId="0" borderId="6" xfId="0" applyNumberFormat="1" applyFont="1" applyFill="1" applyBorder="1" applyAlignment="1">
      <alignment horizontal="center" vertical="center"/>
    </xf>
    <xf numFmtId="49" fontId="71" fillId="0" borderId="6" xfId="0" applyNumberFormat="1" applyFont="1" applyFill="1" applyBorder="1" applyAlignment="1">
      <alignment horizontal="center"/>
    </xf>
    <xf numFmtId="0" fontId="19" fillId="9" borderId="36" xfId="0" applyFont="1" applyFill="1" applyBorder="1" applyAlignment="1">
      <alignment horizontal="left" vertical="center"/>
    </xf>
    <xf numFmtId="4" fontId="19" fillId="9" borderId="37" xfId="0" applyNumberFormat="1" applyFont="1" applyFill="1" applyBorder="1" applyAlignment="1">
      <alignment horizontal="right" vertical="center"/>
    </xf>
    <xf numFmtId="4" fontId="19" fillId="9" borderId="6" xfId="0" applyNumberFormat="1" applyFont="1" applyFill="1" applyBorder="1" applyAlignment="1">
      <alignment horizontal="right" vertical="center"/>
    </xf>
    <xf numFmtId="4" fontId="19" fillId="9" borderId="35" xfId="0" applyNumberFormat="1" applyFont="1" applyFill="1" applyBorder="1" applyAlignment="1">
      <alignment horizontal="right" vertical="center"/>
    </xf>
    <xf numFmtId="0" fontId="19" fillId="9" borderId="38" xfId="0" applyFont="1" applyFill="1" applyBorder="1" applyAlignment="1">
      <alignment horizontal="left" vertical="center"/>
    </xf>
    <xf numFmtId="4" fontId="19" fillId="9" borderId="39" xfId="0" applyNumberFormat="1" applyFont="1" applyFill="1" applyBorder="1" applyAlignment="1">
      <alignment horizontal="right" vertical="center"/>
    </xf>
    <xf numFmtId="4" fontId="19" fillId="9" borderId="40" xfId="0" applyNumberFormat="1" applyFont="1" applyFill="1" applyBorder="1" applyAlignment="1">
      <alignment horizontal="right" vertical="center"/>
    </xf>
    <xf numFmtId="4" fontId="19" fillId="9" borderId="41" xfId="0" applyNumberFormat="1" applyFont="1" applyFill="1" applyBorder="1" applyAlignment="1">
      <alignment horizontal="right" vertical="center"/>
    </xf>
    <xf numFmtId="0" fontId="6" fillId="0" borderId="0" xfId="0" applyFont="1" applyFill="1" applyAlignment="1"/>
    <xf numFmtId="0" fontId="72" fillId="0" borderId="0" xfId="0" applyFont="1" applyFill="1" applyAlignment="1">
      <alignment vertical="center"/>
    </xf>
    <xf numFmtId="0" fontId="22" fillId="9" borderId="7" xfId="0" applyFont="1" applyFill="1" applyBorder="1" applyAlignment="1">
      <alignment horizontal="center" vertical="center" wrapText="1"/>
    </xf>
    <xf numFmtId="0" fontId="20" fillId="9" borderId="7" xfId="0" applyFont="1" applyFill="1" applyBorder="1" applyAlignment="1">
      <alignment horizontal="center" vertical="center" wrapText="1"/>
    </xf>
    <xf numFmtId="0" fontId="70" fillId="0" borderId="35" xfId="0" applyFont="1" applyFill="1" applyBorder="1" applyAlignment="1">
      <alignment horizontal="center"/>
    </xf>
    <xf numFmtId="0" fontId="71" fillId="0" borderId="35" xfId="0" applyFont="1" applyFill="1" applyBorder="1" applyAlignment="1">
      <alignment horizontal="center"/>
    </xf>
    <xf numFmtId="4" fontId="19" fillId="9" borderId="42" xfId="0" applyNumberFormat="1" applyFont="1" applyFill="1" applyBorder="1" applyAlignment="1">
      <alignment horizontal="right" vertical="center"/>
    </xf>
    <xf numFmtId="0" fontId="70" fillId="3" borderId="35" xfId="0" applyFont="1" applyFill="1" applyBorder="1" applyAlignment="1">
      <alignment horizontal="center"/>
    </xf>
    <xf numFmtId="0" fontId="71" fillId="3" borderId="35" xfId="0" applyFont="1" applyFill="1" applyBorder="1" applyAlignment="1">
      <alignment horizontal="center"/>
    </xf>
    <xf numFmtId="0" fontId="66" fillId="3" borderId="7" xfId="0" applyFont="1" applyFill="1" applyBorder="1" applyAlignment="1">
      <alignment horizontal="center"/>
    </xf>
    <xf numFmtId="0" fontId="57" fillId="0" borderId="7" xfId="0" applyFont="1" applyFill="1" applyBorder="1" applyAlignment="1">
      <alignment vertical="center"/>
    </xf>
    <xf numFmtId="0" fontId="58" fillId="0" borderId="7" xfId="0" applyFont="1" applyFill="1" applyBorder="1" applyAlignment="1">
      <alignment vertical="center"/>
    </xf>
    <xf numFmtId="0" fontId="59" fillId="0" borderId="35" xfId="0" applyFont="1" applyFill="1" applyBorder="1" applyAlignment="1">
      <alignment vertical="center"/>
    </xf>
    <xf numFmtId="0" fontId="19" fillId="9" borderId="7" xfId="0" applyNumberFormat="1" applyFont="1" applyFill="1" applyBorder="1" applyAlignment="1">
      <alignment horizontal="center" vertical="center" wrapText="1"/>
    </xf>
    <xf numFmtId="0" fontId="20" fillId="9" borderId="7" xfId="0" applyNumberFormat="1" applyFont="1" applyFill="1" applyBorder="1" applyAlignment="1">
      <alignment horizontal="center" vertical="center" wrapText="1"/>
    </xf>
    <xf numFmtId="186" fontId="74" fillId="0" borderId="7" xfId="0" applyNumberFormat="1" applyFont="1" applyFill="1" applyBorder="1" applyAlignment="1">
      <alignment horizontal="left" vertical="center"/>
    </xf>
    <xf numFmtId="0" fontId="63" fillId="0" borderId="7" xfId="0" applyNumberFormat="1" applyFont="1" applyFill="1" applyBorder="1" applyAlignment="1">
      <alignment horizontal="center"/>
    </xf>
    <xf numFmtId="186" fontId="75" fillId="0" borderId="7" xfId="0" applyNumberFormat="1" applyFont="1" applyFill="1" applyBorder="1" applyAlignment="1">
      <alignment horizontal="left" vertical="center"/>
    </xf>
    <xf numFmtId="0" fontId="66" fillId="0" borderId="7" xfId="0" applyNumberFormat="1" applyFont="1" applyFill="1" applyBorder="1" applyAlignment="1">
      <alignment horizontal="center"/>
    </xf>
    <xf numFmtId="49" fontId="70" fillId="0" borderId="35" xfId="0" applyNumberFormat="1" applyFont="1" applyFill="1" applyBorder="1" applyAlignment="1">
      <alignment horizontal="center" vertical="center"/>
    </xf>
    <xf numFmtId="186" fontId="76" fillId="0" borderId="35" xfId="0" applyNumberFormat="1" applyFont="1" applyFill="1" applyBorder="1" applyAlignment="1">
      <alignment horizontal="left" vertical="center"/>
    </xf>
    <xf numFmtId="0" fontId="70" fillId="0" borderId="35" xfId="0" applyNumberFormat="1" applyFont="1" applyFill="1" applyBorder="1" applyAlignment="1">
      <alignment horizontal="center"/>
    </xf>
    <xf numFmtId="0" fontId="19" fillId="9" borderId="42" xfId="0" applyNumberFormat="1" applyFont="1" applyFill="1" applyBorder="1" applyAlignment="1">
      <alignment horizontal="right" vertical="center"/>
    </xf>
    <xf numFmtId="0" fontId="6" fillId="0" borderId="0" xfId="0" applyNumberFormat="1" applyFont="1" applyFill="1" applyAlignment="1"/>
    <xf numFmtId="0" fontId="77" fillId="9" borderId="10" xfId="0" applyFont="1" applyFill="1" applyBorder="1" applyAlignment="1">
      <alignment horizontal="center" vertical="center" wrapText="1"/>
    </xf>
    <xf numFmtId="4" fontId="26" fillId="0" borderId="7" xfId="0" applyNumberFormat="1" applyFont="1" applyFill="1" applyBorder="1" applyAlignment="1">
      <alignment horizontal="center" vertical="center" wrapText="1"/>
    </xf>
    <xf numFmtId="0" fontId="26" fillId="0" borderId="7" xfId="0" applyNumberFormat="1" applyFont="1" applyFill="1" applyBorder="1" applyAlignment="1">
      <alignment horizontal="center" vertical="center" wrapText="1"/>
    </xf>
    <xf numFmtId="49" fontId="42" fillId="0" borderId="10" xfId="0" applyNumberFormat="1" applyFont="1" applyFill="1" applyBorder="1" applyAlignment="1">
      <alignment horizontal="center"/>
    </xf>
    <xf numFmtId="4" fontId="78" fillId="0" borderId="7" xfId="0" applyNumberFormat="1" applyFont="1" applyFill="1" applyBorder="1" applyAlignment="1">
      <alignment horizontal="center" vertical="center" wrapText="1"/>
    </xf>
    <xf numFmtId="0" fontId="78" fillId="0" borderId="7" xfId="0" applyNumberFormat="1" applyFont="1" applyFill="1" applyBorder="1" applyAlignment="1">
      <alignment horizontal="center" vertical="center" wrapText="1"/>
    </xf>
    <xf numFmtId="49" fontId="79" fillId="0" borderId="10" xfId="0" applyNumberFormat="1" applyFont="1" applyFill="1" applyBorder="1" applyAlignment="1">
      <alignment horizontal="center"/>
    </xf>
    <xf numFmtId="4" fontId="20" fillId="0" borderId="35" xfId="0" applyNumberFormat="1" applyFont="1" applyFill="1" applyBorder="1" applyAlignment="1">
      <alignment horizontal="center" vertical="center" wrapText="1"/>
    </xf>
    <xf numFmtId="4" fontId="20" fillId="0" borderId="34" xfId="0" applyNumberFormat="1" applyFont="1" applyFill="1" applyBorder="1" applyAlignment="1">
      <alignment horizontal="center" vertical="center" wrapText="1"/>
    </xf>
    <xf numFmtId="0" fontId="20" fillId="0" borderId="35" xfId="0" applyNumberFormat="1" applyFont="1" applyFill="1" applyBorder="1" applyAlignment="1">
      <alignment horizontal="center" vertical="center" wrapText="1"/>
    </xf>
    <xf numFmtId="49" fontId="80" fillId="0" borderId="10" xfId="0" applyNumberFormat="1" applyFont="1" applyFill="1" applyBorder="1" applyAlignment="1">
      <alignment horizontal="center"/>
    </xf>
    <xf numFmtId="4" fontId="77" fillId="9" borderId="7" xfId="0" applyNumberFormat="1" applyFont="1" applyFill="1" applyBorder="1" applyAlignment="1">
      <alignment horizontal="right" vertical="center"/>
    </xf>
    <xf numFmtId="4" fontId="19" fillId="9" borderId="35" xfId="0" applyNumberFormat="1" applyFont="1" applyFill="1" applyBorder="1" applyAlignment="1">
      <alignment horizontal="center" vertical="center"/>
    </xf>
    <xf numFmtId="4" fontId="77" fillId="9" borderId="4" xfId="0" applyNumberFormat="1" applyFont="1" applyFill="1" applyBorder="1" applyAlignment="1">
      <alignment horizontal="right" vertical="center"/>
    </xf>
    <xf numFmtId="0" fontId="62" fillId="0" borderId="0" xfId="0" applyFont="1" applyFill="1" applyAlignment="1"/>
    <xf numFmtId="177" fontId="6" fillId="0" borderId="0" xfId="0" applyNumberFormat="1" applyFont="1" applyFill="1" applyAlignment="1">
      <alignment horizontal="center" vertical="center"/>
    </xf>
    <xf numFmtId="177" fontId="6" fillId="0" borderId="0" xfId="0" applyNumberFormat="1" applyFont="1" applyFill="1" applyAlignment="1">
      <alignment vertical="center"/>
    </xf>
    <xf numFmtId="0" fontId="63" fillId="0" borderId="43" xfId="0" applyFont="1" applyFill="1" applyBorder="1" applyAlignment="1">
      <alignment horizontal="center"/>
    </xf>
    <xf numFmtId="0" fontId="63" fillId="0" borderId="44" xfId="0" applyFont="1" applyFill="1" applyBorder="1" applyAlignment="1">
      <alignment horizontal="center"/>
    </xf>
    <xf numFmtId="49" fontId="63" fillId="0" borderId="44" xfId="0" applyNumberFormat="1" applyFont="1" applyFill="1" applyBorder="1" applyAlignment="1">
      <alignment horizontal="center" vertical="center"/>
    </xf>
    <xf numFmtId="0" fontId="32" fillId="0" borderId="0" xfId="0" applyFont="1" applyFill="1" applyAlignment="1">
      <alignment vertical="center"/>
    </xf>
    <xf numFmtId="0" fontId="81" fillId="0" borderId="0" xfId="0" applyFont="1" applyFill="1" applyAlignment="1">
      <alignment vertical="center"/>
    </xf>
    <xf numFmtId="49" fontId="65" fillId="0" borderId="7" xfId="0" applyNumberFormat="1" applyFont="1" applyFill="1" applyBorder="1" applyAlignment="1" quotePrefix="1">
      <alignment horizontal="center" vertical="center"/>
    </xf>
    <xf numFmtId="49" fontId="69" fillId="0" borderId="7" xfId="0" applyNumberFormat="1" applyFont="1" applyFill="1" applyBorder="1" applyAlignment="1" quotePrefix="1">
      <alignment horizontal="center" vertical="center"/>
    </xf>
    <xf numFmtId="0" fontId="53" fillId="7" borderId="0" xfId="144" applyFont="1" applyFill="1" applyBorder="1" applyAlignment="1" quotePrefix="1">
      <alignment horizontal="left" vertical="center" wrapText="1"/>
    </xf>
    <xf numFmtId="0" fontId="15" fillId="0" borderId="7" xfId="312" applyFont="1" applyFill="1" applyBorder="1" applyAlignment="1" quotePrefix="1">
      <alignment horizontal="center" vertical="center" wrapText="1"/>
    </xf>
  </cellXfs>
  <cellStyles count="49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强调文字颜色 2 3 2" xfId="49"/>
    <cellStyle name="输出 3" xfId="50"/>
    <cellStyle name="链接单元格 5" xfId="51"/>
    <cellStyle name="强调文字颜色 2 5" xfId="52"/>
    <cellStyle name="汇总 4 2" xfId="53"/>
    <cellStyle name="_ET_STYLE_NoName_-01_ 3 3 3 2" xfId="54"/>
    <cellStyle name="链接单元格 3 2" xfId="55"/>
    <cellStyle name="20% - 强调文字颜色 1 2" xfId="56"/>
    <cellStyle name="常规 3 4 3" xfId="57"/>
    <cellStyle name="常规 7 3" xfId="58"/>
    <cellStyle name="计算 2" xfId="59"/>
    <cellStyle name="60% - 强调文字颜色 6 3 2" xfId="60"/>
    <cellStyle name="常规 6" xfId="61"/>
    <cellStyle name="60% - 强调文字颜色 2 3" xfId="62"/>
    <cellStyle name="20% - 强调文字颜色 4 5" xfId="63"/>
    <cellStyle name="解释性文本 2 2" xfId="64"/>
    <cellStyle name="注释 5" xfId="65"/>
    <cellStyle name="60% - 强调文字颜色 2 2 2" xfId="66"/>
    <cellStyle name="常规 5 2" xfId="67"/>
    <cellStyle name="强调文字颜色 1 2 3" xfId="68"/>
    <cellStyle name="百分比 4" xfId="69"/>
    <cellStyle name="0,0_x000d__x000a_NA_x000d__x000a_" xfId="70"/>
    <cellStyle name="注释 3 2 2" xfId="71"/>
    <cellStyle name="输出 2 4 2" xfId="72"/>
    <cellStyle name="40% - 强调文字颜色 4 2" xfId="73"/>
    <cellStyle name="计算 3 2" xfId="74"/>
    <cellStyle name="常规 8 3" xfId="75"/>
    <cellStyle name="注释 2 3" xfId="76"/>
    <cellStyle name="40% - 强调文字颜色 6 5" xfId="77"/>
    <cellStyle name="60% - 强调文字颜色 4 2 3" xfId="78"/>
    <cellStyle name="20% - 强调文字颜色 3 3" xfId="79"/>
    <cellStyle name="输出 3 3" xfId="80"/>
    <cellStyle name="常规 8 2" xfId="81"/>
    <cellStyle name="输出 5" xfId="82"/>
    <cellStyle name=" 3]_x000d__x000a_Zoomed=1_x000d__x000a_Row=128_x000d__x000a_Column=101_x000d__x000a_Height=300_x000d__x000a_Width=301_x000d__x000a_FontName=System_x000d__x000a_FontStyle=1_x000d__x000a_FontSize=12_x000d__x000a_PrtFontNa" xfId="83"/>
    <cellStyle name="检查单元格 3 2" xfId="84"/>
    <cellStyle name="链接单元格 3" xfId="85"/>
    <cellStyle name="注释 2 3 3" xfId="86"/>
    <cellStyle name="??&amp;O龡&amp;H?_x0008_??_x0007__x0001__x0001_" xfId="87"/>
    <cellStyle name="40% - 强调文字颜色 4 3 2" xfId="88"/>
    <cellStyle name="汇总 3 3" xfId="89"/>
    <cellStyle name="链接单元格 4" xfId="90"/>
    <cellStyle name="输出 2" xfId="91"/>
    <cellStyle name="汇总 3 2 2" xfId="92"/>
    <cellStyle name="输出 4" xfId="93"/>
    <cellStyle name="计算 3" xfId="94"/>
    <cellStyle name="计算 4" xfId="95"/>
    <cellStyle name="注释 3 2 3" xfId="96"/>
    <cellStyle name="20% - 强调文字颜色 3 3 2" xfId="97"/>
    <cellStyle name="计算 5" xfId="98"/>
    <cellStyle name="适中 2" xfId="99"/>
    <cellStyle name="输出 3 3 2" xfId="100"/>
    <cellStyle name="_ET_STYLE_NoName_00_" xfId="101"/>
    <cellStyle name="标题 4 2 2" xfId="102"/>
    <cellStyle name="20% - 强调文字颜色 1 2 3" xfId="103"/>
    <cellStyle name="_ET_STYLE_NoName_00__南区长促工资1004_5" xfId="104"/>
    <cellStyle name="40% - 强调文字颜色 2 2" xfId="105"/>
    <cellStyle name="20% - 强调文字颜色 1 4" xfId="106"/>
    <cellStyle name="20% - 强调文字颜色 1 3" xfId="107"/>
    <cellStyle name="??_x005f_x0011_?_x005f_x0010_?" xfId="108"/>
    <cellStyle name="差 2 3" xfId="109"/>
    <cellStyle name="_ET_STYLE_NoName_00__北区长促工资1004_3" xfId="110"/>
    <cellStyle name="20% - 强调文字颜色 1 3 2" xfId="111"/>
    <cellStyle name="0,0_x000a__x000a_NA_x000a__x000a_" xfId="112"/>
    <cellStyle name="强调文字颜色 5 5" xfId="113"/>
    <cellStyle name="20% - 强调文字颜色 1 2 2" xfId="114"/>
    <cellStyle name="常规 2 3 2 3" xfId="115"/>
    <cellStyle name="20% - 强调文字颜色 1 5" xfId="116"/>
    <cellStyle name="好 2" xfId="117"/>
    <cellStyle name="20% - 强调文字颜色 2 2" xfId="118"/>
    <cellStyle name="输出 2 2" xfId="119"/>
    <cellStyle name="20% - 强调文字颜色 2 2 2" xfId="120"/>
    <cellStyle name="输出 2 2 2" xfId="121"/>
    <cellStyle name="20% - 强调文字颜色 2 2 3" xfId="122"/>
    <cellStyle name="输出 2 2 3" xfId="123"/>
    <cellStyle name="20% - 强调文字颜色 2 3" xfId="124"/>
    <cellStyle name="输出 2 3" xfId="125"/>
    <cellStyle name="20% - 强调文字颜色 2 3 2" xfId="126"/>
    <cellStyle name="输出 2 3 2" xfId="127"/>
    <cellStyle name="20% - 强调文字颜色 2 4" xfId="128"/>
    <cellStyle name="输出 2 4" xfId="129"/>
    <cellStyle name="20% - 强调文字颜色 2 5" xfId="130"/>
    <cellStyle name="输出 2 5" xfId="131"/>
    <cellStyle name="20% - 强调文字颜色 3 2" xfId="132"/>
    <cellStyle name="输出 3 2" xfId="133"/>
    <cellStyle name="20% - 强调文字颜色 3 2 2" xfId="134"/>
    <cellStyle name="输出 3 2 2" xfId="135"/>
    <cellStyle name="20% - 强调文字颜色 3 2 3" xfId="136"/>
    <cellStyle name="输出 3 2 3" xfId="137"/>
    <cellStyle name="20% - 强调文字颜色 3 4" xfId="138"/>
    <cellStyle name="60% - 强调文字颜色 1 2" xfId="139"/>
    <cellStyle name="输出 3 4" xfId="140"/>
    <cellStyle name="20% - 强调文字颜色 3 5" xfId="141"/>
    <cellStyle name="60% - 强调文字颜色 1 3" xfId="142"/>
    <cellStyle name="20% - 强调文字颜色 4 2" xfId="143"/>
    <cellStyle name="常规 3" xfId="144"/>
    <cellStyle name="输出 4 2" xfId="145"/>
    <cellStyle name="20% - 强调文字颜色 4 2 2" xfId="146"/>
    <cellStyle name="常规 3 2" xfId="147"/>
    <cellStyle name="输出 4 2 2" xfId="148"/>
    <cellStyle name="20% - 强调文字颜色 4 2 3" xfId="149"/>
    <cellStyle name="常规 3 3" xfId="150"/>
    <cellStyle name="输入 4 2" xfId="151"/>
    <cellStyle name="20% - 强调文字颜色 4 3" xfId="152"/>
    <cellStyle name="常规 4" xfId="153"/>
    <cellStyle name="输出 4 3" xfId="154"/>
    <cellStyle name="20% - 强调文字颜色 4 3 2" xfId="155"/>
    <cellStyle name="常规 4 2" xfId="156"/>
    <cellStyle name="20% - 强调文字颜色 4 4" xfId="157"/>
    <cellStyle name="60% - 强调文字颜色 2 2" xfId="158"/>
    <cellStyle name="常规 5" xfId="159"/>
    <cellStyle name="20% - 强调文字颜色 5 2" xfId="160"/>
    <cellStyle name="输出 5 2" xfId="161"/>
    <cellStyle name="20% - 强调文字颜色 5 2 2" xfId="162"/>
    <cellStyle name="3232" xfId="163"/>
    <cellStyle name="输出 5 2 2" xfId="164"/>
    <cellStyle name="20% - 强调文字颜色 5 2 3" xfId="165"/>
    <cellStyle name="20% - 强调文字颜色 5 3" xfId="166"/>
    <cellStyle name="输出 5 3" xfId="167"/>
    <cellStyle name="20% - 强调文字颜色 5 3 2" xfId="168"/>
    <cellStyle name="百分比 3" xfId="169"/>
    <cellStyle name="差 5" xfId="170"/>
    <cellStyle name="20% - 强调文字颜色 5 4" xfId="171"/>
    <cellStyle name="60% - 强调文字颜色 3 2" xfId="172"/>
    <cellStyle name="20% - 强调文字颜色 5 5" xfId="173"/>
    <cellStyle name="60% - 强调文字颜色 3 3" xfId="174"/>
    <cellStyle name="20% - 强调文字颜色 6 2" xfId="175"/>
    <cellStyle name="20% - 强调文字颜色 6 2 2" xfId="176"/>
    <cellStyle name="40% - 强调文字颜色 4 4" xfId="177"/>
    <cellStyle name="20% - 强调文字颜色 6 2 3" xfId="178"/>
    <cellStyle name="40% - 强调文字颜色 4 5" xfId="179"/>
    <cellStyle name="20% - 强调文字颜色 6 3" xfId="180"/>
    <cellStyle name="20% - 强调文字颜色 6 3 2" xfId="181"/>
    <cellStyle name="40% - 强调文字颜色 5 4" xfId="182"/>
    <cellStyle name="20% - 强调文字颜色 6 4" xfId="183"/>
    <cellStyle name="60% - 强调文字颜色 4 2" xfId="184"/>
    <cellStyle name="注释 3 2 2 2" xfId="185"/>
    <cellStyle name="20% - 强调文字颜色 6 5" xfId="186"/>
    <cellStyle name="40% - 强调文字颜色 5 2 2" xfId="187"/>
    <cellStyle name="60% - 强调文字颜色 4 3" xfId="188"/>
    <cellStyle name="40% - 强调文字颜色 1 2" xfId="189"/>
    <cellStyle name="40% - 强调文字颜色 1 2 2" xfId="190"/>
    <cellStyle name="40% - 强调文字颜色 1 2 3" xfId="191"/>
    <cellStyle name="40% - 强调文字颜色 1 3" xfId="192"/>
    <cellStyle name="常规 9 2" xfId="193"/>
    <cellStyle name="40% - 强调文字颜色 1 3 2" xfId="194"/>
    <cellStyle name="40% - 强调文字颜色 1 4" xfId="195"/>
    <cellStyle name="40% - 强调文字颜色 1 5" xfId="196"/>
    <cellStyle name="40% - 强调文字颜色 2 2 2" xfId="197"/>
    <cellStyle name="40% - 强调文字颜色 2 2 3" xfId="198"/>
    <cellStyle name="40% - 强调文字颜色 2 3" xfId="199"/>
    <cellStyle name="40% - 强调文字颜色 2 3 2" xfId="200"/>
    <cellStyle name="40% - 强调文字颜色 2 4" xfId="201"/>
    <cellStyle name="40% - 强调文字颜色 2 5" xfId="202"/>
    <cellStyle name="40% - 强调文字颜色 3 2" xfId="203"/>
    <cellStyle name="计算 2 2" xfId="204"/>
    <cellStyle name="40% - 强调文字颜色 3 2 2" xfId="205"/>
    <cellStyle name="计算 2 2 2" xfId="206"/>
    <cellStyle name="40% - 强调文字颜色 3 2 3" xfId="207"/>
    <cellStyle name="40% - 强调文字颜色 3 3" xfId="208"/>
    <cellStyle name="计算 2 3" xfId="209"/>
    <cellStyle name="40% - 强调文字颜色 3 3 2" xfId="210"/>
    <cellStyle name="常规 25" xfId="211"/>
    <cellStyle name="计算 2 3 2" xfId="212"/>
    <cellStyle name="40% - 强调文字颜色 3 4" xfId="213"/>
    <cellStyle name="计算 2 4" xfId="214"/>
    <cellStyle name="40% - 强调文字颜色 3 5" xfId="215"/>
    <cellStyle name="40% - 强调文字颜色 4 2 2" xfId="216"/>
    <cellStyle name="标题 4 4" xfId="217"/>
    <cellStyle name="汇总 2 3" xfId="218"/>
    <cellStyle name="计算 3 2 2" xfId="219"/>
    <cellStyle name="检查单元格 2" xfId="220"/>
    <cellStyle name="40% - 强调文字颜色 4 2 3" xfId="221"/>
    <cellStyle name="标题 4 5" xfId="222"/>
    <cellStyle name="汇总 2 4" xfId="223"/>
    <cellStyle name="检查单元格 3" xfId="224"/>
    <cellStyle name="40% - 强调文字颜色 4 3" xfId="225"/>
    <cellStyle name="计算 3 3" xfId="226"/>
    <cellStyle name="输入 2 2 2" xfId="227"/>
    <cellStyle name="40% - 强调文字颜色 5 2" xfId="228"/>
    <cellStyle name="好 2 3" xfId="229"/>
    <cellStyle name="计算 4 2" xfId="230"/>
    <cellStyle name="40% - 强调文字颜色 5 2 3" xfId="231"/>
    <cellStyle name="60% - 强调文字颜色 4 4" xfId="232"/>
    <cellStyle name="40% - 强调文字颜色 5 3" xfId="233"/>
    <cellStyle name="输入 2 3 2" xfId="234"/>
    <cellStyle name="40% - 强调文字颜色 5 3 2" xfId="235"/>
    <cellStyle name="60% - 强调文字颜色 5 3" xfId="236"/>
    <cellStyle name="40% - 强调文字颜色 5 5" xfId="237"/>
    <cellStyle name="40% - 强调文字颜色 6 2" xfId="238"/>
    <cellStyle name="计算 5 2" xfId="239"/>
    <cellStyle name="适中 2 2" xfId="240"/>
    <cellStyle name="40% - 强调文字颜色 6 2 2" xfId="241"/>
    <cellStyle name="40% - 强调文字颜色 6 2 3" xfId="242"/>
    <cellStyle name="40% - 强调文字颜色 6 3" xfId="243"/>
    <cellStyle name="强调文字颜色 3 2 2" xfId="244"/>
    <cellStyle name="适中 2 3" xfId="245"/>
    <cellStyle name="40% - 强调文字颜色 6 3 2" xfId="246"/>
    <cellStyle name="解释性文本 3" xfId="247"/>
    <cellStyle name="40% - 强调文字颜色 6 4" xfId="248"/>
    <cellStyle name="60% - 强调文字颜色 4 2 2" xfId="249"/>
    <cellStyle name="强调文字颜色 3 2 3" xfId="250"/>
    <cellStyle name="60% - 强调文字颜色 1 2 2" xfId="251"/>
    <cellStyle name="60% - 强调文字颜色 1 2 3" xfId="252"/>
    <cellStyle name="60% - 强调文字颜色 1 3 2" xfId="253"/>
    <cellStyle name="60% - 强调文字颜色 1 4" xfId="254"/>
    <cellStyle name="60% - 强调文字颜色 1 5" xfId="255"/>
    <cellStyle name="警告文本 2 2" xfId="256"/>
    <cellStyle name="注释 5 2 2" xfId="257"/>
    <cellStyle name="60% - 强调文字颜色 2 2 3" xfId="258"/>
    <cellStyle name="60% - 强调文字颜色 2 3 2" xfId="259"/>
    <cellStyle name="常规 6 2" xfId="260"/>
    <cellStyle name="注释 2" xfId="261"/>
    <cellStyle name="60% - 强调文字颜色 2 4" xfId="262"/>
    <cellStyle name="常规 7" xfId="263"/>
    <cellStyle name="60% - 强调文字颜色 2 5" xfId="264"/>
    <cellStyle name="常规 8" xfId="265"/>
    <cellStyle name="警告文本 3 2" xfId="266"/>
    <cellStyle name="60% - 强调文字颜色 3 2 2" xfId="267"/>
    <cellStyle name="强调文字颜色 2 2 3" xfId="268"/>
    <cellStyle name="60% - 强调文字颜色 3 2 3" xfId="269"/>
    <cellStyle name="60% - 强调文字颜色 3 3 2" xfId="270"/>
    <cellStyle name="60% - 强调文字颜色 3 4" xfId="271"/>
    <cellStyle name="60% - 强调文字颜色 3 5" xfId="272"/>
    <cellStyle name="60% - 强调文字颜色 4 3 2" xfId="273"/>
    <cellStyle name="60% - 强调文字颜色 4 5" xfId="274"/>
    <cellStyle name="常规_创联至信12年工资表sn803808" xfId="275"/>
    <cellStyle name="60% - 强调文字颜色 5 2" xfId="276"/>
    <cellStyle name="60% - 强调文字颜色 5 2 2" xfId="277"/>
    <cellStyle name="强调文字颜色 4 2 3" xfId="278"/>
    <cellStyle name="60% - 强调文字颜色 5 2 3" xfId="279"/>
    <cellStyle name="60% - 强调文字颜色 5 3 2" xfId="280"/>
    <cellStyle name="60% - 强调文字颜色 5 4" xfId="281"/>
    <cellStyle name="60% - 强调文字颜色 5 5" xfId="282"/>
    <cellStyle name="60% - 强调文字颜色 6 2" xfId="283"/>
    <cellStyle name="60% - 强调文字颜色 6 2 2" xfId="284"/>
    <cellStyle name="常规 3 5 3" xfId="285"/>
    <cellStyle name="强调文字颜色 5 2 3" xfId="286"/>
    <cellStyle name="60% - 强调文字颜色 6 2 3" xfId="287"/>
    <cellStyle name="Normal_08'前程工资8月" xfId="288"/>
    <cellStyle name="60% - 强调文字颜色 6 3" xfId="289"/>
    <cellStyle name="60% - 强调文字颜色 6 4" xfId="290"/>
    <cellStyle name="60% - 强调文字颜色 6 5" xfId="291"/>
    <cellStyle name="Comma_SALARYBJ" xfId="292"/>
    <cellStyle name="警告文本 2 3" xfId="293"/>
    <cellStyle name="百分比 2" xfId="294"/>
    <cellStyle name="差 4" xfId="295"/>
    <cellStyle name="百分比 2 2" xfId="296"/>
    <cellStyle name="百分比 2 3" xfId="297"/>
    <cellStyle name="标题 1 2" xfId="298"/>
    <cellStyle name="标题 1 2 2" xfId="299"/>
    <cellStyle name="标题 1 2 3" xfId="300"/>
    <cellStyle name="标题 1 3" xfId="301"/>
    <cellStyle name="标题 1 3 2" xfId="302"/>
    <cellStyle name="汇总 3" xfId="303"/>
    <cellStyle name="标题 1 4" xfId="304"/>
    <cellStyle name="标题 1 5" xfId="305"/>
    <cellStyle name="标题 2 2" xfId="306"/>
    <cellStyle name="标题 2 2 2" xfId="307"/>
    <cellStyle name="标题 2 2 3" xfId="308"/>
    <cellStyle name="好 3 2" xfId="309"/>
    <cellStyle name="标题 2 3" xfId="310"/>
    <cellStyle name="标题 2 3 2" xfId="311"/>
    <cellStyle name="常规 11" xfId="312"/>
    <cellStyle name="标题 2 4" xfId="313"/>
    <cellStyle name="标题 2 5" xfId="314"/>
    <cellStyle name="标题 3 2" xfId="315"/>
    <cellStyle name="标题 3 2 2" xfId="316"/>
    <cellStyle name="好 5" xfId="317"/>
    <cellStyle name="标题 3 2 3" xfId="318"/>
    <cellStyle name="标题 3 3" xfId="319"/>
    <cellStyle name="标题 3 3 2" xfId="320"/>
    <cellStyle name="样式 1" xfId="321"/>
    <cellStyle name="标题 3 4" xfId="322"/>
    <cellStyle name="标题 3 5" xfId="323"/>
    <cellStyle name="标题 4 2" xfId="324"/>
    <cellStyle name="千位分隔 3" xfId="325"/>
    <cellStyle name="标题 4 2 3" xfId="326"/>
    <cellStyle name="标题 4 3" xfId="327"/>
    <cellStyle name="汇总 2 2" xfId="328"/>
    <cellStyle name="标题 4 3 2" xfId="329"/>
    <cellStyle name="汇总 2 2 2" xfId="330"/>
    <cellStyle name="标题 5" xfId="331"/>
    <cellStyle name="解释性文本 2 3" xfId="332"/>
    <cellStyle name="标题 5 2" xfId="333"/>
    <cellStyle name="强调文字颜色 1 4" xfId="334"/>
    <cellStyle name="标题 5 3" xfId="335"/>
    <cellStyle name="汇总 3 2" xfId="336"/>
    <cellStyle name="强调文字颜色 1 5" xfId="337"/>
    <cellStyle name="标题 6" xfId="338"/>
    <cellStyle name="标题 6 2" xfId="339"/>
    <cellStyle name="强调文字颜色 2 4" xfId="340"/>
    <cellStyle name="标题 7" xfId="341"/>
    <cellStyle name="注释 2 4 2" xfId="342"/>
    <cellStyle name="标题 8" xfId="343"/>
    <cellStyle name="差 2" xfId="344"/>
    <cellStyle name="解释性文本 5" xfId="345"/>
    <cellStyle name="差 2 2" xfId="346"/>
    <cellStyle name="差 3" xfId="347"/>
    <cellStyle name="差 3 2" xfId="348"/>
    <cellStyle name="常规 10" xfId="349"/>
    <cellStyle name="常规 11 2" xfId="350"/>
    <cellStyle name="常规 11 3" xfId="351"/>
    <cellStyle name="常规 2 3 2 2" xfId="352"/>
    <cellStyle name="常规 12" xfId="353"/>
    <cellStyle name="常规 12 2" xfId="354"/>
    <cellStyle name="常规 12 3" xfId="355"/>
    <cellStyle name="常规 14" xfId="356"/>
    <cellStyle name="强调文字颜色 3 3 2" xfId="357"/>
    <cellStyle name="常规 14 2" xfId="358"/>
    <cellStyle name="常规 14 3" xfId="359"/>
    <cellStyle name="常规 2" xfId="360"/>
    <cellStyle name="常规 2 2" xfId="361"/>
    <cellStyle name="常规 2 2 2" xfId="362"/>
    <cellStyle name="常规 2 2 2 2" xfId="363"/>
    <cellStyle name="常规 2 2 3" xfId="364"/>
    <cellStyle name="常规 2 3" xfId="365"/>
    <cellStyle name="输入 3 2" xfId="366"/>
    <cellStyle name="常规 2 3 2" xfId="367"/>
    <cellStyle name="常规_全国客服表格" xfId="368"/>
    <cellStyle name="输入 3 2 2" xfId="369"/>
    <cellStyle name="常规 2 3 3" xfId="370"/>
    <cellStyle name="常规 2 3 4" xfId="371"/>
    <cellStyle name="常规 2 4" xfId="372"/>
    <cellStyle name="输入 3 3" xfId="373"/>
    <cellStyle name="常规 2 4 2" xfId="374"/>
    <cellStyle name="常规 2 5" xfId="375"/>
    <cellStyle name="强调文字颜色 4 2" xfId="376"/>
    <cellStyle name="常规 2 5 2" xfId="377"/>
    <cellStyle name="强调文字颜色 4 2 2" xfId="378"/>
    <cellStyle name="常规 2 6" xfId="379"/>
    <cellStyle name="强调文字颜色 4 3" xfId="380"/>
    <cellStyle name="常规 2 6 2" xfId="381"/>
    <cellStyle name="强调文字颜色 4 3 2" xfId="382"/>
    <cellStyle name="常规 2 6 2 2" xfId="383"/>
    <cellStyle name="常规 27" xfId="384"/>
    <cellStyle name="常规 3 2 2" xfId="385"/>
    <cellStyle name="适中 4" xfId="386"/>
    <cellStyle name="常规 3 3 2" xfId="387"/>
    <cellStyle name="常规 3 3 3" xfId="388"/>
    <cellStyle name="常规 3 4" xfId="389"/>
    <cellStyle name="常规 3 4 2" xfId="390"/>
    <cellStyle name="常规 3 5" xfId="391"/>
    <cellStyle name="强调文字颜色 5 2" xfId="392"/>
    <cellStyle name="常规 3 5 2" xfId="393"/>
    <cellStyle name="强调文字颜色 5 2 2" xfId="394"/>
    <cellStyle name="常规 4 2 2" xfId="395"/>
    <cellStyle name="常规 4 4" xfId="396"/>
    <cellStyle name="常规 4 3" xfId="397"/>
    <cellStyle name="输入 5 2" xfId="398"/>
    <cellStyle name="常规 7 2" xfId="399"/>
    <cellStyle name="常规 8 4" xfId="400"/>
    <cellStyle name="强调文字颜色 6 3 2" xfId="401"/>
    <cellStyle name="常规 9" xfId="402"/>
    <cellStyle name="常规_0705 UL South CS meeting (chonghua)" xfId="403"/>
    <cellStyle name="常规_Sheet1" xfId="404"/>
    <cellStyle name="汇总 5 2" xfId="405"/>
    <cellStyle name="强调文字颜色 3 5" xfId="406"/>
    <cellStyle name="常规_付款通知书智联（神数系统）" xfId="407"/>
    <cellStyle name="警告文本 2" xfId="408"/>
    <cellStyle name="注释 5 2" xfId="409"/>
    <cellStyle name="好 2 2" xfId="410"/>
    <cellStyle name="好 3" xfId="411"/>
    <cellStyle name="好 4" xfId="412"/>
    <cellStyle name="汇总 2" xfId="413"/>
    <cellStyle name="汇总 2 3 2" xfId="414"/>
    <cellStyle name="检查单元格 2 2" xfId="415"/>
    <cellStyle name="汇总 4" xfId="416"/>
    <cellStyle name="汇总 5" xfId="417"/>
    <cellStyle name="检查单元格 2 3" xfId="418"/>
    <cellStyle name="检查单元格 4" xfId="419"/>
    <cellStyle name="检查单元格 5" xfId="420"/>
    <cellStyle name="解释性文本 2" xfId="421"/>
    <cellStyle name="解释性文本 3 2" xfId="422"/>
    <cellStyle name="解释性文本 4" xfId="423"/>
    <cellStyle name="警告文本 3" xfId="424"/>
    <cellStyle name="注释 5 3" xfId="425"/>
    <cellStyle name="警告文本 4" xfId="426"/>
    <cellStyle name="警告文本 5" xfId="427"/>
    <cellStyle name="链接单元格 2" xfId="428"/>
    <cellStyle name="注释 2 3 2" xfId="429"/>
    <cellStyle name="链接单元格 2 2" xfId="430"/>
    <cellStyle name="注释 2 3 2 2" xfId="431"/>
    <cellStyle name="链接单元格 2 3" xfId="432"/>
    <cellStyle name="千位分隔 2" xfId="433"/>
    <cellStyle name="千位分隔 2 2" xfId="434"/>
    <cellStyle name="强调文字颜色 1 2" xfId="435"/>
    <cellStyle name="强调文字颜色 1 2 2" xfId="436"/>
    <cellStyle name="强调文字颜色 1 3" xfId="437"/>
    <cellStyle name="强调文字颜色 1 3 2" xfId="438"/>
    <cellStyle name="强调文字颜色 2 2" xfId="439"/>
    <cellStyle name="强调文字颜色 2 2 2" xfId="440"/>
    <cellStyle name="强调文字颜色 2 3" xfId="441"/>
    <cellStyle name="强调文字颜色 3 2" xfId="442"/>
    <cellStyle name="输入 2 4" xfId="443"/>
    <cellStyle name="强调文字颜色 3 3" xfId="444"/>
    <cellStyle name="强调文字颜色 3 4" xfId="445"/>
    <cellStyle name="强调文字颜色 4 4" xfId="446"/>
    <cellStyle name="强调文字颜色 4 5" xfId="447"/>
    <cellStyle name="输入 2" xfId="448"/>
    <cellStyle name="强调文字颜色 5 3" xfId="449"/>
    <cellStyle name="强调文字颜色 5 3 2" xfId="450"/>
    <cellStyle name="强调文字颜色 5 4" xfId="451"/>
    <cellStyle name="强调文字颜色 6 2" xfId="452"/>
    <cellStyle name="强调文字颜色 6 2 2" xfId="453"/>
    <cellStyle name="强调文字颜色 6 2 3" xfId="454"/>
    <cellStyle name="强调文字颜色 6 3" xfId="455"/>
    <cellStyle name="强调文字颜色 6 4" xfId="456"/>
    <cellStyle name="强调文字颜色 6 5" xfId="457"/>
    <cellStyle name="适中 3" xfId="458"/>
    <cellStyle name="适中 3 2" xfId="459"/>
    <cellStyle name="适中 5" xfId="460"/>
    <cellStyle name="输出 2 2 2 2" xfId="461"/>
    <cellStyle name="输出 2 3 2 2" xfId="462"/>
    <cellStyle name="输出 2 3 3" xfId="463"/>
    <cellStyle name="输出 3 2 2 2" xfId="464"/>
    <cellStyle name="输入 2 2" xfId="465"/>
    <cellStyle name="样式 2 4" xfId="466"/>
    <cellStyle name="输入 2 3" xfId="467"/>
    <cellStyle name="样式 2 5" xfId="468"/>
    <cellStyle name="输入 3" xfId="469"/>
    <cellStyle name="输入 4" xfId="470"/>
    <cellStyle name="输入 5" xfId="471"/>
    <cellStyle name="㼿㼿㼿㼿? 2" xfId="472"/>
    <cellStyle name="㼿㼿㼿㼿㼿" xfId="473"/>
    <cellStyle name="㼿㼿㼿㼿㼿㼿㼿" xfId="474"/>
    <cellStyle name="样式 1 2" xfId="475"/>
    <cellStyle name="样式 2" xfId="476"/>
    <cellStyle name="样式 2 2" xfId="477"/>
    <cellStyle name="样式 2 3" xfId="478"/>
    <cellStyle name="注释 2 2" xfId="479"/>
    <cellStyle name="注释 2 2 2" xfId="480"/>
    <cellStyle name="注释 2 2 2 2" xfId="481"/>
    <cellStyle name="注释 2 2 3" xfId="482"/>
    <cellStyle name="注释 2 4" xfId="483"/>
    <cellStyle name="注释 2 5" xfId="484"/>
    <cellStyle name="注释 3" xfId="485"/>
    <cellStyle name="注释 3 2" xfId="486"/>
    <cellStyle name="注释 3 3" xfId="487"/>
    <cellStyle name="注释 3 3 2" xfId="488"/>
    <cellStyle name="注释 3 4" xfId="489"/>
    <cellStyle name="注释 4" xfId="490"/>
    <cellStyle name="注释 4 2" xfId="491"/>
    <cellStyle name="注释 4 2 2" xfId="492"/>
    <cellStyle name="注释 4 3" xfId="493"/>
  </cellStyles>
  <dxfs count="6"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ill>
        <patternFill patternType="solid">
          <bgColor indexed="45"/>
        </patternFill>
      </fill>
    </dxf>
    <dxf>
      <fill>
        <patternFill patternType="solid">
          <bgColor indexed="43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name val="Arial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79EBA7"/>
      <color rgb="00FF0000"/>
      <color rgb="00FFC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tyles" Target="styles.xml"/><Relationship Id="rId21" Type="http://schemas.openxmlformats.org/officeDocument/2006/relationships/sharedStrings" Target="sharedString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customXml" Target="../customXml/item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219075</xdr:colOff>
      <xdr:row>2</xdr:row>
      <xdr:rowOff>95250</xdr:rowOff>
    </xdr:to>
    <xdr:pic>
      <xdr:nvPicPr>
        <xdr:cNvPr id="2" name="图片 4" descr="cid:_Foxmail.1@6377c9cf-32a5-0363-4d93-1ccf8febe018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0"/>
          <a:ext cx="240792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\WeChat%20Files\wxid_elo7r87urzkt22\FileStorage\File\2024-04\&#26131;&#25165;&#20010;&#3124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\WeChat%20Files\wxid_elo7r87urzkt22\FileStorage\File\2024-05\&#26131;&#25165;&#20010;&#3124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\WeChat%20Files\wxid_elo7r87urzkt22\FileStorage\File\2024-12\&#26131;&#25165;&#20010;&#3124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2">
          <cell r="B2" t="str">
            <v>孙海娟</v>
          </cell>
          <cell r="C2">
            <v>6000</v>
          </cell>
          <cell r="D2">
            <v>4525.84</v>
          </cell>
        </row>
        <row r="3">
          <cell r="B3" t="str">
            <v>赵亮</v>
          </cell>
          <cell r="C3">
            <v>4800</v>
          </cell>
          <cell r="D3">
            <v>8000</v>
          </cell>
        </row>
        <row r="4">
          <cell r="B4" t="str">
            <v>梁敏霞</v>
          </cell>
          <cell r="C4">
            <v>3420</v>
          </cell>
          <cell r="D4">
            <v>5700</v>
          </cell>
        </row>
        <row r="5">
          <cell r="B5" t="str">
            <v>徐明龙</v>
          </cell>
          <cell r="C5">
            <v>4800</v>
          </cell>
          <cell r="D5">
            <v>8000</v>
          </cell>
        </row>
        <row r="6">
          <cell r="B6" t="str">
            <v>陈佳文</v>
          </cell>
          <cell r="C6">
            <v>5700</v>
          </cell>
          <cell r="D6">
            <v>10500</v>
          </cell>
        </row>
        <row r="7">
          <cell r="B7" t="str">
            <v>龙治旺</v>
          </cell>
          <cell r="C7">
            <v>3900</v>
          </cell>
          <cell r="D7">
            <v>6500</v>
          </cell>
        </row>
        <row r="8">
          <cell r="B8" t="str">
            <v>冯玉</v>
          </cell>
          <cell r="C8">
            <v>18000</v>
          </cell>
          <cell r="D8">
            <v>30060</v>
          </cell>
        </row>
        <row r="9">
          <cell r="B9" t="str">
            <v>汤祥文</v>
          </cell>
          <cell r="C9">
            <v>5100</v>
          </cell>
          <cell r="D9">
            <v>8500</v>
          </cell>
        </row>
        <row r="10">
          <cell r="B10" t="str">
            <v>杨旭</v>
          </cell>
          <cell r="C10">
            <v>4200</v>
          </cell>
          <cell r="D10">
            <v>7000</v>
          </cell>
        </row>
        <row r="11">
          <cell r="B11" t="str">
            <v>任志伟</v>
          </cell>
          <cell r="C11">
            <v>4200</v>
          </cell>
          <cell r="D11">
            <v>7000</v>
          </cell>
        </row>
        <row r="12">
          <cell r="B12" t="str">
            <v>朱必丰</v>
          </cell>
          <cell r="C12">
            <v>4200</v>
          </cell>
          <cell r="D12">
            <v>7000</v>
          </cell>
        </row>
        <row r="13">
          <cell r="B13" t="str">
            <v>周阳阳</v>
          </cell>
          <cell r="C13">
            <v>3600</v>
          </cell>
          <cell r="D13">
            <v>6300</v>
          </cell>
        </row>
        <row r="14">
          <cell r="B14" t="str">
            <v>张莉</v>
          </cell>
          <cell r="C14">
            <v>3600</v>
          </cell>
          <cell r="D14">
            <v>6000</v>
          </cell>
        </row>
        <row r="15">
          <cell r="B15" t="str">
            <v>倪绍帅</v>
          </cell>
          <cell r="C15">
            <v>6000</v>
          </cell>
          <cell r="D15">
            <v>10000</v>
          </cell>
        </row>
        <row r="16">
          <cell r="B16" t="str">
            <v>吕阳</v>
          </cell>
          <cell r="C16">
            <v>1216</v>
          </cell>
          <cell r="D16">
            <v>2026.67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1">
          <cell r="B1" t="str">
            <v>姓名</v>
          </cell>
          <cell r="C1" t="str">
            <v>本月应发工资小计</v>
          </cell>
          <cell r="D1" t="str">
            <v>养老保险（当月+补缴）</v>
          </cell>
          <cell r="E1" t="str">
            <v>失业保险（当月+补缴）</v>
          </cell>
        </row>
        <row r="2">
          <cell r="B2" t="str">
            <v>孙海娟</v>
          </cell>
          <cell r="C2">
            <v>4525.84</v>
          </cell>
          <cell r="D2">
            <v>380.08</v>
          </cell>
          <cell r="E2">
            <v>23.76</v>
          </cell>
          <cell r="F2">
            <v>117.02</v>
          </cell>
          <cell r="G2">
            <v>520.86</v>
          </cell>
          <cell r="H2">
            <v>109</v>
          </cell>
        </row>
        <row r="3">
          <cell r="B3" t="str">
            <v>赵亮</v>
          </cell>
          <cell r="C3">
            <v>8000</v>
          </cell>
          <cell r="D3">
            <v>319.46</v>
          </cell>
          <cell r="E3">
            <v>11.98</v>
          </cell>
          <cell r="F3">
            <v>79.86</v>
          </cell>
          <cell r="G3">
            <v>411.3</v>
          </cell>
          <cell r="H3">
            <v>177.4</v>
          </cell>
        </row>
        <row r="4">
          <cell r="B4" t="str">
            <v>梁敏霞</v>
          </cell>
          <cell r="C4">
            <v>5700</v>
          </cell>
          <cell r="D4">
            <v>422.72</v>
          </cell>
          <cell r="E4">
            <v>4.6</v>
          </cell>
          <cell r="F4">
            <v>119.92</v>
          </cell>
          <cell r="G4">
            <v>547.24</v>
          </cell>
          <cell r="H4">
            <v>115</v>
          </cell>
        </row>
        <row r="5">
          <cell r="B5" t="str">
            <v>徐明龙</v>
          </cell>
          <cell r="C5">
            <v>9000</v>
          </cell>
          <cell r="D5">
            <v>321.52</v>
          </cell>
          <cell r="E5">
            <v>20.1</v>
          </cell>
          <cell r="F5">
            <v>89.09</v>
          </cell>
          <cell r="G5">
            <v>430.71</v>
          </cell>
          <cell r="H5">
            <v>97</v>
          </cell>
        </row>
        <row r="6">
          <cell r="B6" t="str">
            <v>陈佳文</v>
          </cell>
          <cell r="C6">
            <v>10500</v>
          </cell>
          <cell r="D6">
            <v>321.52</v>
          </cell>
          <cell r="E6">
            <v>20.1</v>
          </cell>
          <cell r="F6">
            <v>86.38</v>
          </cell>
          <cell r="G6">
            <v>428</v>
          </cell>
          <cell r="H6">
            <v>344</v>
          </cell>
        </row>
        <row r="7">
          <cell r="B7" t="str">
            <v>龙治旺</v>
          </cell>
          <cell r="C7">
            <v>6500</v>
          </cell>
          <cell r="D7">
            <v>324.24</v>
          </cell>
          <cell r="E7">
            <v>12.16</v>
          </cell>
          <cell r="F7">
            <v>90.4</v>
          </cell>
          <cell r="G7">
            <v>426.8</v>
          </cell>
          <cell r="H7">
            <v>100</v>
          </cell>
        </row>
        <row r="8">
          <cell r="B8" t="str">
            <v>冯玉</v>
          </cell>
          <cell r="C8">
            <v>30060</v>
          </cell>
          <cell r="D8">
            <v>584.8</v>
          </cell>
          <cell r="E8">
            <v>36.55</v>
          </cell>
          <cell r="F8">
            <v>146.2</v>
          </cell>
          <cell r="G8">
            <v>767.55</v>
          </cell>
          <cell r="H8">
            <v>181</v>
          </cell>
        </row>
        <row r="9">
          <cell r="B9" t="str">
            <v>汤祥文</v>
          </cell>
          <cell r="C9">
            <v>8500</v>
          </cell>
          <cell r="D9">
            <v>321.52</v>
          </cell>
          <cell r="E9">
            <v>20.1</v>
          </cell>
          <cell r="F9">
            <v>120.38</v>
          </cell>
          <cell r="G9">
            <v>462</v>
          </cell>
          <cell r="H9">
            <v>97</v>
          </cell>
        </row>
        <row r="10">
          <cell r="B10" t="str">
            <v>杨旭</v>
          </cell>
          <cell r="C10">
            <v>7000</v>
          </cell>
          <cell r="D10">
            <v>321.52</v>
          </cell>
          <cell r="E10">
            <v>20.1</v>
          </cell>
          <cell r="F10">
            <v>86.38</v>
          </cell>
          <cell r="G10">
            <v>428</v>
          </cell>
          <cell r="H10">
            <v>344</v>
          </cell>
        </row>
        <row r="11">
          <cell r="B11" t="str">
            <v>任志伟</v>
          </cell>
          <cell r="C11">
            <v>7000</v>
          </cell>
          <cell r="D11">
            <v>321.52</v>
          </cell>
          <cell r="E11">
            <v>20.1</v>
          </cell>
          <cell r="F11">
            <v>86.38</v>
          </cell>
          <cell r="G11">
            <v>428</v>
          </cell>
          <cell r="H11">
            <v>344</v>
          </cell>
        </row>
        <row r="12">
          <cell r="B12" t="str">
            <v>朱必丰</v>
          </cell>
          <cell r="C12">
            <v>7000</v>
          </cell>
          <cell r="D12">
            <v>321.52</v>
          </cell>
          <cell r="E12">
            <v>20.1</v>
          </cell>
          <cell r="F12">
            <v>120.38</v>
          </cell>
          <cell r="G12">
            <v>462</v>
          </cell>
          <cell r="H12">
            <v>97</v>
          </cell>
        </row>
        <row r="13">
          <cell r="B13" t="str">
            <v>周阳阳</v>
          </cell>
          <cell r="C13">
            <v>6060</v>
          </cell>
          <cell r="D13">
            <v>321.52</v>
          </cell>
          <cell r="E13">
            <v>20.1</v>
          </cell>
          <cell r="F13">
            <v>89.09</v>
          </cell>
          <cell r="G13">
            <v>430.71</v>
          </cell>
          <cell r="H13">
            <v>97</v>
          </cell>
        </row>
        <row r="14">
          <cell r="B14" t="str">
            <v>张莉</v>
          </cell>
          <cell r="C14">
            <v>6000</v>
          </cell>
          <cell r="D14">
            <v>321.52</v>
          </cell>
          <cell r="E14">
            <v>20.1</v>
          </cell>
          <cell r="F14">
            <v>80.38</v>
          </cell>
          <cell r="G14">
            <v>422</v>
          </cell>
          <cell r="H14">
            <v>103</v>
          </cell>
        </row>
        <row r="15">
          <cell r="B15" t="str">
            <v>倪绍帅</v>
          </cell>
          <cell r="C15">
            <v>10000</v>
          </cell>
          <cell r="D15">
            <v>321.52</v>
          </cell>
          <cell r="E15">
            <v>20.1</v>
          </cell>
          <cell r="F15">
            <v>89.09</v>
          </cell>
          <cell r="G15">
            <v>430.71</v>
          </cell>
          <cell r="H15">
            <v>97</v>
          </cell>
        </row>
        <row r="16">
          <cell r="B16" t="str">
            <v>吕阳</v>
          </cell>
          <cell r="C16">
            <v>6080</v>
          </cell>
          <cell r="D16">
            <v>337.92</v>
          </cell>
          <cell r="E16">
            <v>12.67</v>
          </cell>
          <cell r="F16">
            <v>91.48</v>
          </cell>
          <cell r="G16">
            <v>442.07</v>
          </cell>
          <cell r="H16">
            <v>110.5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2">
          <cell r="B2" t="str">
            <v>孙海娟</v>
          </cell>
          <cell r="C2" t="str">
            <v>创联/易才/天津代缴</v>
          </cell>
          <cell r="D2">
            <v>4447.97</v>
          </cell>
          <cell r="E2">
            <v>401.04</v>
          </cell>
          <cell r="F2">
            <v>25.07</v>
          </cell>
        </row>
        <row r="3">
          <cell r="B3" t="str">
            <v>赵亮</v>
          </cell>
          <cell r="C3" t="str">
            <v>创联/易才/四平</v>
          </cell>
          <cell r="D3">
            <v>8000</v>
          </cell>
          <cell r="E3">
            <v>344.57</v>
          </cell>
          <cell r="F3">
            <v>12.92</v>
          </cell>
        </row>
        <row r="4">
          <cell r="B4" t="str">
            <v>梁敏霞</v>
          </cell>
          <cell r="C4" t="str">
            <v>创联/易才/广州</v>
          </cell>
          <cell r="D4">
            <v>6100</v>
          </cell>
          <cell r="E4">
            <v>422.72</v>
          </cell>
          <cell r="F4">
            <v>4.6</v>
          </cell>
        </row>
        <row r="5">
          <cell r="B5" t="str">
            <v>徐明龙</v>
          </cell>
          <cell r="C5" t="str">
            <v>创联/湖南（蚌埠）易才</v>
          </cell>
          <cell r="D5">
            <v>9000</v>
          </cell>
          <cell r="E5">
            <v>338.16</v>
          </cell>
          <cell r="F5">
            <v>21.14</v>
          </cell>
        </row>
        <row r="6">
          <cell r="B6" t="str">
            <v>陈佳文</v>
          </cell>
          <cell r="C6" t="str">
            <v>创联/湖南（阜阳）易才</v>
          </cell>
          <cell r="D6">
            <v>10500</v>
          </cell>
          <cell r="E6">
            <v>338.16</v>
          </cell>
          <cell r="F6">
            <v>21.14</v>
          </cell>
        </row>
        <row r="7">
          <cell r="B7" t="str">
            <v>龙治旺</v>
          </cell>
          <cell r="C7" t="str">
            <v>创联/湖南（常德）易才</v>
          </cell>
          <cell r="D7">
            <v>6500</v>
          </cell>
          <cell r="E7">
            <v>322.16</v>
          </cell>
          <cell r="F7">
            <v>12.08</v>
          </cell>
        </row>
        <row r="8">
          <cell r="B8" t="str">
            <v>冯玉</v>
          </cell>
          <cell r="C8" t="str">
            <v>创联/易才/上海</v>
          </cell>
          <cell r="D8">
            <v>30060</v>
          </cell>
          <cell r="E8">
            <v>590.72</v>
          </cell>
          <cell r="F8">
            <v>36.92</v>
          </cell>
        </row>
        <row r="9">
          <cell r="B9" t="str">
            <v>汤祥文</v>
          </cell>
          <cell r="C9" t="str">
            <v>创联/湖南（芜湖）易才</v>
          </cell>
          <cell r="D9">
            <v>9000</v>
          </cell>
          <cell r="E9">
            <v>338.16</v>
          </cell>
          <cell r="F9">
            <v>21.14</v>
          </cell>
        </row>
        <row r="10">
          <cell r="B10" t="str">
            <v>杨旭</v>
          </cell>
          <cell r="C10" t="str">
            <v>创联/湖南（阜阳）易才</v>
          </cell>
          <cell r="D10">
            <v>7500</v>
          </cell>
          <cell r="E10">
            <v>338.16</v>
          </cell>
          <cell r="F10">
            <v>21.14</v>
          </cell>
        </row>
        <row r="11">
          <cell r="B11" t="str">
            <v>任志伟</v>
          </cell>
          <cell r="C11" t="str">
            <v>创联/湖南（阜阳）易才</v>
          </cell>
          <cell r="D11">
            <v>8000</v>
          </cell>
          <cell r="E11">
            <v>338.16</v>
          </cell>
          <cell r="F11">
            <v>21.14</v>
          </cell>
        </row>
        <row r="12">
          <cell r="B12" t="str">
            <v>张莉</v>
          </cell>
          <cell r="C12" t="str">
            <v>创联/湖南（合肥）易才</v>
          </cell>
          <cell r="D12">
            <v>6000</v>
          </cell>
          <cell r="E12">
            <v>338.16</v>
          </cell>
          <cell r="F12">
            <v>21.14</v>
          </cell>
        </row>
        <row r="13">
          <cell r="B13" t="str">
            <v>倪绍帅</v>
          </cell>
          <cell r="C13" t="str">
            <v>创联/易才/蚌埠</v>
          </cell>
          <cell r="D13">
            <v>10000</v>
          </cell>
          <cell r="E13">
            <v>338.16</v>
          </cell>
          <cell r="F13">
            <v>21.14</v>
          </cell>
        </row>
        <row r="14">
          <cell r="B14" t="str">
            <v>吕阳</v>
          </cell>
          <cell r="C14" t="str">
            <v>创联/易才/武汉</v>
          </cell>
          <cell r="D14">
            <v>7600</v>
          </cell>
          <cell r="E14">
            <v>337.92</v>
          </cell>
          <cell r="F14">
            <v>12.67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comments" Target="../comments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comments" Target="../comments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comments" Target="../comments1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H22"/>
  <sheetViews>
    <sheetView workbookViewId="0">
      <selection activeCell="C27" sqref="C27"/>
    </sheetView>
  </sheetViews>
  <sheetFormatPr defaultColWidth="9" defaultRowHeight="16.5"/>
  <cols>
    <col min="1" max="1" width="5" style="245" customWidth="1"/>
    <col min="2" max="2" width="25" style="245" customWidth="1"/>
    <col min="3" max="3" width="7.36666666666667" style="245" customWidth="1"/>
    <col min="4" max="4" width="9.45" style="245" customWidth="1"/>
    <col min="5" max="5" width="8.26666666666667" style="245" customWidth="1"/>
    <col min="6" max="6" width="11.9083333333333" style="245" customWidth="1"/>
    <col min="7" max="7" width="16.3666666666667" style="245" customWidth="1"/>
    <col min="8" max="11" width="8.45" style="245" customWidth="1"/>
    <col min="12" max="12" width="9.09166666666667" style="245" customWidth="1"/>
    <col min="13" max="14" width="9.26666666666667" style="245" customWidth="1"/>
    <col min="15" max="15" width="7.45" style="245" customWidth="1"/>
    <col min="16" max="16" width="11.2666666666667" style="245" customWidth="1"/>
    <col min="17" max="17" width="9.09166666666667" style="245" customWidth="1"/>
    <col min="18" max="21" width="9.26666666666667" style="245" customWidth="1"/>
    <col min="22" max="22" width="9.09166666666667" style="245" customWidth="1"/>
    <col min="23" max="26" width="9.26666666666667" style="245" customWidth="1"/>
    <col min="27" max="28" width="9.09166666666667" style="245" customWidth="1"/>
    <col min="29" max="29" width="9" style="245" customWidth="1"/>
    <col min="30" max="30" width="9.09166666666667" style="245" customWidth="1"/>
    <col min="31" max="31" width="9.26666666666667" style="245" customWidth="1"/>
    <col min="32" max="32" width="8.90833333333333" style="245" customWidth="1"/>
    <col min="33" max="33" width="9.09166666666667" style="245" customWidth="1"/>
    <col min="34" max="34" width="9.26666666666667" style="245" customWidth="1"/>
    <col min="35" max="35" width="11.0916666666667" style="245" customWidth="1"/>
    <col min="36" max="36" width="9.26666666666667" style="245" customWidth="1"/>
    <col min="37" max="37" width="8.45" style="245" customWidth="1"/>
    <col min="38" max="38" width="9.09166666666667" style="245" hidden="1" customWidth="1"/>
    <col min="39" max="42" width="9.26666666666667" style="245" hidden="1" customWidth="1"/>
    <col min="43" max="43" width="9.90833333333333" style="245" customWidth="1"/>
    <col min="44" max="44" width="9.36666666666667" style="245" customWidth="1"/>
    <col min="45" max="45" width="10.2666666666667" style="246" customWidth="1"/>
    <col min="46" max="46" width="10" style="246" customWidth="1"/>
    <col min="47" max="49" width="9.26666666666667" style="246" customWidth="1"/>
    <col min="50" max="50" width="9.26666666666667" style="245" customWidth="1"/>
    <col min="51" max="51" width="5.90833333333333" style="245" customWidth="1"/>
    <col min="52" max="52" width="8.36666666666667" style="245" customWidth="1"/>
    <col min="53" max="53" width="5.90833333333333" style="245" customWidth="1"/>
    <col min="54" max="54" width="8.90833333333333" style="245" customWidth="1"/>
    <col min="55" max="55" width="10.9083333333333" style="245" customWidth="1"/>
    <col min="56" max="56" width="40.2666666666667" style="247" customWidth="1"/>
    <col min="57" max="57" width="10.6333333333333" style="245" customWidth="1"/>
    <col min="58" max="16384" width="9" style="245"/>
  </cols>
  <sheetData>
    <row r="1" s="239" customFormat="1" ht="22.5" customHeight="1" spans="1:56">
      <c r="A1" s="248" t="s">
        <v>0</v>
      </c>
      <c r="B1" s="249" t="s">
        <v>1</v>
      </c>
      <c r="C1" s="249" t="s">
        <v>2</v>
      </c>
      <c r="D1" s="248" t="s">
        <v>3</v>
      </c>
      <c r="E1" s="249" t="s">
        <v>4</v>
      </c>
      <c r="F1" s="249" t="s">
        <v>5</v>
      </c>
      <c r="G1" s="249" t="s">
        <v>6</v>
      </c>
      <c r="H1" s="249" t="s">
        <v>7</v>
      </c>
      <c r="I1" s="249" t="s">
        <v>8</v>
      </c>
      <c r="J1" s="249" t="s">
        <v>9</v>
      </c>
      <c r="K1" s="249" t="s">
        <v>10</v>
      </c>
      <c r="L1" s="282" t="s">
        <v>11</v>
      </c>
      <c r="M1" s="282"/>
      <c r="N1" s="282"/>
      <c r="O1" s="282"/>
      <c r="P1" s="282"/>
      <c r="Q1" s="282" t="s">
        <v>12</v>
      </c>
      <c r="R1" s="282"/>
      <c r="S1" s="282"/>
      <c r="T1" s="282"/>
      <c r="U1" s="282"/>
      <c r="V1" s="282" t="s">
        <v>13</v>
      </c>
      <c r="W1" s="282"/>
      <c r="X1" s="282"/>
      <c r="Y1" s="282"/>
      <c r="Z1" s="282"/>
      <c r="AA1" s="248" t="s">
        <v>14</v>
      </c>
      <c r="AB1" s="248"/>
      <c r="AC1" s="248"/>
      <c r="AD1" s="248" t="s">
        <v>15</v>
      </c>
      <c r="AE1" s="248"/>
      <c r="AF1" s="248"/>
      <c r="AG1" s="282" t="s">
        <v>16</v>
      </c>
      <c r="AH1" s="282"/>
      <c r="AI1" s="282"/>
      <c r="AJ1" s="282"/>
      <c r="AK1" s="282"/>
      <c r="AL1" s="248" t="s">
        <v>17</v>
      </c>
      <c r="AM1" s="248"/>
      <c r="AN1" s="248"/>
      <c r="AO1" s="248"/>
      <c r="AP1" s="248"/>
      <c r="AQ1" s="248" t="s">
        <v>18</v>
      </c>
      <c r="AR1" s="248"/>
      <c r="AS1" s="293" t="s">
        <v>19</v>
      </c>
      <c r="AT1" s="293"/>
      <c r="AU1" s="293"/>
      <c r="AV1" s="293"/>
      <c r="AW1" s="293"/>
      <c r="AX1" s="248" t="s">
        <v>20</v>
      </c>
      <c r="AY1" s="248"/>
      <c r="AZ1" s="248" t="s">
        <v>21</v>
      </c>
      <c r="BA1" s="248"/>
      <c r="BB1" s="248" t="s">
        <v>22</v>
      </c>
      <c r="BC1" s="248" t="s">
        <v>23</v>
      </c>
      <c r="BD1" s="304" t="s">
        <v>24</v>
      </c>
    </row>
    <row r="2" ht="22.5" customHeight="1" spans="1:56">
      <c r="A2" s="248"/>
      <c r="B2" s="250"/>
      <c r="C2" s="249"/>
      <c r="D2" s="248"/>
      <c r="E2" s="249"/>
      <c r="F2" s="251"/>
      <c r="G2" s="251"/>
      <c r="H2" s="249"/>
      <c r="I2" s="249"/>
      <c r="J2" s="249"/>
      <c r="K2" s="249"/>
      <c r="L2" s="283" t="s">
        <v>25</v>
      </c>
      <c r="M2" s="283" t="s">
        <v>26</v>
      </c>
      <c r="N2" s="283" t="s">
        <v>27</v>
      </c>
      <c r="O2" s="283" t="s">
        <v>28</v>
      </c>
      <c r="P2" s="283" t="s">
        <v>29</v>
      </c>
      <c r="Q2" s="283" t="s">
        <v>25</v>
      </c>
      <c r="R2" s="283" t="s">
        <v>26</v>
      </c>
      <c r="S2" s="283" t="s">
        <v>27</v>
      </c>
      <c r="T2" s="283" t="s">
        <v>28</v>
      </c>
      <c r="U2" s="283" t="s">
        <v>29</v>
      </c>
      <c r="V2" s="283" t="s">
        <v>25</v>
      </c>
      <c r="W2" s="283" t="s">
        <v>26</v>
      </c>
      <c r="X2" s="283" t="s">
        <v>27</v>
      </c>
      <c r="Y2" s="283" t="s">
        <v>28</v>
      </c>
      <c r="Z2" s="283" t="s">
        <v>29</v>
      </c>
      <c r="AA2" s="283" t="s">
        <v>25</v>
      </c>
      <c r="AB2" s="283" t="s">
        <v>30</v>
      </c>
      <c r="AC2" s="283" t="s">
        <v>31</v>
      </c>
      <c r="AD2" s="283" t="s">
        <v>25</v>
      </c>
      <c r="AE2" s="283" t="s">
        <v>30</v>
      </c>
      <c r="AF2" s="283" t="s">
        <v>31</v>
      </c>
      <c r="AG2" s="283" t="s">
        <v>25</v>
      </c>
      <c r="AH2" s="283" t="s">
        <v>26</v>
      </c>
      <c r="AI2" s="283" t="s">
        <v>27</v>
      </c>
      <c r="AJ2" s="283" t="s">
        <v>28</v>
      </c>
      <c r="AK2" s="283" t="s">
        <v>29</v>
      </c>
      <c r="AL2" s="283" t="s">
        <v>25</v>
      </c>
      <c r="AM2" s="283" t="s">
        <v>26</v>
      </c>
      <c r="AN2" s="283" t="s">
        <v>27</v>
      </c>
      <c r="AO2" s="283" t="s">
        <v>28</v>
      </c>
      <c r="AP2" s="283" t="s">
        <v>29</v>
      </c>
      <c r="AQ2" s="283" t="s">
        <v>32</v>
      </c>
      <c r="AR2" s="283" t="s">
        <v>33</v>
      </c>
      <c r="AS2" s="294" t="s">
        <v>34</v>
      </c>
      <c r="AT2" s="294" t="s">
        <v>35</v>
      </c>
      <c r="AU2" s="294" t="s">
        <v>36</v>
      </c>
      <c r="AV2" s="294" t="s">
        <v>37</v>
      </c>
      <c r="AW2" s="294" t="s">
        <v>38</v>
      </c>
      <c r="AX2" s="248"/>
      <c r="AY2" s="248"/>
      <c r="AZ2" s="248"/>
      <c r="BA2" s="248"/>
      <c r="BB2" s="248"/>
      <c r="BC2" s="248"/>
      <c r="BD2" s="304"/>
    </row>
    <row r="3" s="240" customFormat="1" ht="18" customHeight="1" spans="1:60">
      <c r="A3" s="252">
        <v>1</v>
      </c>
      <c r="B3" s="253" t="s">
        <v>39</v>
      </c>
      <c r="C3" s="254" t="s">
        <v>40</v>
      </c>
      <c r="D3" s="255" t="s">
        <v>41</v>
      </c>
      <c r="E3" s="253" t="s">
        <v>42</v>
      </c>
      <c r="F3" s="256" t="s">
        <v>43</v>
      </c>
      <c r="G3" s="257" t="s">
        <v>44</v>
      </c>
      <c r="H3" s="255" t="s">
        <v>45</v>
      </c>
      <c r="I3" s="255" t="s">
        <v>45</v>
      </c>
      <c r="J3" s="255" t="s">
        <v>46</v>
      </c>
      <c r="K3" s="255" t="s">
        <v>46</v>
      </c>
      <c r="L3" s="252">
        <v>3300</v>
      </c>
      <c r="M3" s="252">
        <v>0.16</v>
      </c>
      <c r="N3" s="252">
        <f t="shared" ref="N3:N8" si="0">ROUND(L3*M3,2)</f>
        <v>528</v>
      </c>
      <c r="O3" s="252">
        <v>0.08</v>
      </c>
      <c r="P3" s="252">
        <f t="shared" ref="P3:P8" si="1">ROUND(L3*O3,2)</f>
        <v>264</v>
      </c>
      <c r="Q3" s="252">
        <v>3300</v>
      </c>
      <c r="R3" s="252">
        <v>0.08</v>
      </c>
      <c r="S3" s="252">
        <f t="shared" ref="S3:S8" si="2">ROUND(Q3*R3,2)</f>
        <v>264</v>
      </c>
      <c r="T3" s="252">
        <v>0.02</v>
      </c>
      <c r="U3" s="252">
        <f t="shared" ref="U3:U8" si="3">ROUND(Q3*T3,2)</f>
        <v>66</v>
      </c>
      <c r="V3" s="252">
        <v>3300</v>
      </c>
      <c r="W3" s="252">
        <v>0.007</v>
      </c>
      <c r="X3" s="252">
        <f t="shared" ref="X3:X8" si="4">ROUND(V3*W3,2)</f>
        <v>23.1</v>
      </c>
      <c r="Y3" s="252">
        <v>0.003</v>
      </c>
      <c r="Z3" s="252">
        <f t="shared" ref="Z3:Z8" si="5">ROUND(V3*Y3,2)</f>
        <v>9.9</v>
      </c>
      <c r="AA3" s="252"/>
      <c r="AB3" s="252"/>
      <c r="AC3" s="252"/>
      <c r="AD3" s="252">
        <v>3300</v>
      </c>
      <c r="AE3" s="252">
        <v>0.002</v>
      </c>
      <c r="AF3" s="252">
        <f t="shared" ref="AF3:AF15" si="6">ROUND(AD3*AE3,2)</f>
        <v>6.6</v>
      </c>
      <c r="AG3" s="252">
        <v>3000</v>
      </c>
      <c r="AH3" s="252">
        <v>0.1</v>
      </c>
      <c r="AI3" s="252">
        <f>ROUND(AG3*AH3,2)</f>
        <v>300</v>
      </c>
      <c r="AJ3" s="252">
        <v>0.06</v>
      </c>
      <c r="AK3" s="252">
        <f>ROUND(AG3*AJ3,2)</f>
        <v>180</v>
      </c>
      <c r="AL3" s="290"/>
      <c r="AM3" s="252"/>
      <c r="AN3" s="252"/>
      <c r="AO3" s="252"/>
      <c r="AP3" s="253" t="s">
        <v>47</v>
      </c>
      <c r="AQ3" s="295">
        <v>5</v>
      </c>
      <c r="AR3" s="252"/>
      <c r="AS3" s="296">
        <f t="shared" ref="AS3:AS15" si="7">N3+S3+X3+AC3+AF3+AN3+AQ3</f>
        <v>826.7</v>
      </c>
      <c r="AT3" s="296">
        <f t="shared" ref="AT3:AT15" si="8">P3+U3+Z3</f>
        <v>339.9</v>
      </c>
      <c r="AU3" s="296">
        <f t="shared" ref="AU3:AU15" si="9">AI3</f>
        <v>300</v>
      </c>
      <c r="AV3" s="296">
        <f t="shared" ref="AV3:AV15" si="10">AK3</f>
        <v>180</v>
      </c>
      <c r="AW3" s="296">
        <f t="shared" ref="AW3:AW15" si="11">AV3+AS3+AT3+AU3</f>
        <v>1646.6</v>
      </c>
      <c r="AX3" s="305">
        <f t="shared" ref="AX3:AX15" si="12">AS3+AT3</f>
        <v>1166.6</v>
      </c>
      <c r="AY3" s="305"/>
      <c r="AZ3" s="305">
        <f t="shared" ref="AZ3:AZ8" si="13">AU3+AV3</f>
        <v>480</v>
      </c>
      <c r="BA3" s="305"/>
      <c r="BB3" s="306">
        <v>80</v>
      </c>
      <c r="BC3" s="305">
        <f t="shared" ref="BC3:BC15" si="14">AX3+AZ3+BB3</f>
        <v>1726.6</v>
      </c>
      <c r="BD3" s="307"/>
      <c r="BE3" s="321"/>
      <c r="BF3" s="322"/>
      <c r="BG3" s="322"/>
      <c r="BH3" s="323" t="s">
        <v>47</v>
      </c>
    </row>
    <row r="4" s="240" customFormat="1" ht="18" customHeight="1" spans="1:60">
      <c r="A4" s="252"/>
      <c r="B4" s="253" t="s">
        <v>39</v>
      </c>
      <c r="C4" s="254" t="s">
        <v>40</v>
      </c>
      <c r="D4" s="255" t="s">
        <v>41</v>
      </c>
      <c r="E4" s="253" t="s">
        <v>42</v>
      </c>
      <c r="F4" s="256" t="s">
        <v>43</v>
      </c>
      <c r="G4" s="257" t="s">
        <v>44</v>
      </c>
      <c r="H4" s="255" t="s">
        <v>45</v>
      </c>
      <c r="I4" s="255" t="s">
        <v>45</v>
      </c>
      <c r="J4" s="255" t="s">
        <v>48</v>
      </c>
      <c r="K4" s="255" t="s">
        <v>48</v>
      </c>
      <c r="L4" s="252">
        <v>3300</v>
      </c>
      <c r="M4" s="252">
        <v>0.16</v>
      </c>
      <c r="N4" s="252">
        <f t="shared" si="0"/>
        <v>528</v>
      </c>
      <c r="O4" s="252">
        <v>0.08</v>
      </c>
      <c r="P4" s="252">
        <f t="shared" si="1"/>
        <v>264</v>
      </c>
      <c r="Q4" s="252">
        <v>3300</v>
      </c>
      <c r="R4" s="252">
        <v>0.08</v>
      </c>
      <c r="S4" s="252">
        <f t="shared" si="2"/>
        <v>264</v>
      </c>
      <c r="T4" s="252">
        <v>0.02</v>
      </c>
      <c r="U4" s="252">
        <f t="shared" si="3"/>
        <v>66</v>
      </c>
      <c r="V4" s="252">
        <v>3300</v>
      </c>
      <c r="W4" s="252">
        <v>0.007</v>
      </c>
      <c r="X4" s="252">
        <f t="shared" si="4"/>
        <v>23.1</v>
      </c>
      <c r="Y4" s="252">
        <v>0.003</v>
      </c>
      <c r="Z4" s="252">
        <f t="shared" si="5"/>
        <v>9.9</v>
      </c>
      <c r="AA4" s="252"/>
      <c r="AB4" s="252"/>
      <c r="AC4" s="252"/>
      <c r="AD4" s="252">
        <v>3300</v>
      </c>
      <c r="AE4" s="252">
        <v>0.002</v>
      </c>
      <c r="AF4" s="252">
        <f t="shared" si="6"/>
        <v>6.6</v>
      </c>
      <c r="AG4" s="252">
        <v>3000</v>
      </c>
      <c r="AH4" s="252">
        <v>0.1</v>
      </c>
      <c r="AI4" s="252">
        <f>ROUND(AG4*AH4,2)</f>
        <v>300</v>
      </c>
      <c r="AJ4" s="252">
        <v>0.06</v>
      </c>
      <c r="AK4" s="252">
        <f>ROUND(AG4*AJ4,2)</f>
        <v>180</v>
      </c>
      <c r="AL4" s="290"/>
      <c r="AM4" s="252"/>
      <c r="AN4" s="252"/>
      <c r="AO4" s="252"/>
      <c r="AP4" s="253" t="s">
        <v>47</v>
      </c>
      <c r="AQ4" s="295">
        <v>5</v>
      </c>
      <c r="AR4" s="252"/>
      <c r="AS4" s="296">
        <f t="shared" si="7"/>
        <v>826.7</v>
      </c>
      <c r="AT4" s="296">
        <f t="shared" si="8"/>
        <v>339.9</v>
      </c>
      <c r="AU4" s="296">
        <f t="shared" si="9"/>
        <v>300</v>
      </c>
      <c r="AV4" s="296">
        <f t="shared" si="10"/>
        <v>180</v>
      </c>
      <c r="AW4" s="296">
        <f t="shared" si="11"/>
        <v>1646.6</v>
      </c>
      <c r="AX4" s="305">
        <f t="shared" si="12"/>
        <v>1166.6</v>
      </c>
      <c r="AY4" s="305"/>
      <c r="AZ4" s="305">
        <f t="shared" si="13"/>
        <v>480</v>
      </c>
      <c r="BA4" s="305"/>
      <c r="BB4" s="306">
        <v>80</v>
      </c>
      <c r="BC4" s="305">
        <f t="shared" si="14"/>
        <v>1726.6</v>
      </c>
      <c r="BD4" s="307"/>
      <c r="BE4" s="321"/>
      <c r="BF4" s="322"/>
      <c r="BG4" s="322"/>
      <c r="BH4" s="323" t="s">
        <v>47</v>
      </c>
    </row>
    <row r="5" s="240" customFormat="1" ht="18" customHeight="1" spans="1:60">
      <c r="A5" s="252"/>
      <c r="B5" s="253" t="s">
        <v>39</v>
      </c>
      <c r="C5" s="254" t="s">
        <v>40</v>
      </c>
      <c r="D5" s="255" t="s">
        <v>41</v>
      </c>
      <c r="E5" s="253" t="s">
        <v>42</v>
      </c>
      <c r="F5" s="256" t="s">
        <v>43</v>
      </c>
      <c r="G5" s="257" t="s">
        <v>44</v>
      </c>
      <c r="H5" s="255" t="s">
        <v>45</v>
      </c>
      <c r="I5" s="255" t="s">
        <v>45</v>
      </c>
      <c r="J5" s="255" t="s">
        <v>49</v>
      </c>
      <c r="K5" s="255" t="s">
        <v>49</v>
      </c>
      <c r="L5" s="252">
        <v>3300</v>
      </c>
      <c r="M5" s="252">
        <v>0.16</v>
      </c>
      <c r="N5" s="252">
        <f t="shared" si="0"/>
        <v>528</v>
      </c>
      <c r="O5" s="252">
        <v>0.08</v>
      </c>
      <c r="P5" s="252">
        <f t="shared" si="1"/>
        <v>264</v>
      </c>
      <c r="Q5" s="252">
        <v>3300</v>
      </c>
      <c r="R5" s="252">
        <v>0.08</v>
      </c>
      <c r="S5" s="252">
        <f t="shared" si="2"/>
        <v>264</v>
      </c>
      <c r="T5" s="252">
        <v>0.02</v>
      </c>
      <c r="U5" s="252">
        <f t="shared" si="3"/>
        <v>66</v>
      </c>
      <c r="V5" s="252">
        <v>3300</v>
      </c>
      <c r="W5" s="252">
        <v>0.007</v>
      </c>
      <c r="X5" s="252">
        <f t="shared" si="4"/>
        <v>23.1</v>
      </c>
      <c r="Y5" s="252">
        <v>0.003</v>
      </c>
      <c r="Z5" s="252">
        <f t="shared" si="5"/>
        <v>9.9</v>
      </c>
      <c r="AA5" s="252"/>
      <c r="AB5" s="252"/>
      <c r="AC5" s="252"/>
      <c r="AD5" s="252">
        <v>3300</v>
      </c>
      <c r="AE5" s="252">
        <v>0.002</v>
      </c>
      <c r="AF5" s="252">
        <f t="shared" si="6"/>
        <v>6.6</v>
      </c>
      <c r="AG5" s="252">
        <v>3000</v>
      </c>
      <c r="AH5" s="252">
        <v>0.1</v>
      </c>
      <c r="AI5" s="252">
        <f>ROUND(AG5*AH5,2)</f>
        <v>300</v>
      </c>
      <c r="AJ5" s="252">
        <v>0.06</v>
      </c>
      <c r="AK5" s="252">
        <f>ROUND(AG5*AJ5,2)</f>
        <v>180</v>
      </c>
      <c r="AL5" s="290"/>
      <c r="AM5" s="252"/>
      <c r="AN5" s="252"/>
      <c r="AO5" s="252"/>
      <c r="AP5" s="253" t="s">
        <v>47</v>
      </c>
      <c r="AQ5" s="295">
        <v>5</v>
      </c>
      <c r="AR5" s="252"/>
      <c r="AS5" s="296">
        <f t="shared" si="7"/>
        <v>826.7</v>
      </c>
      <c r="AT5" s="296">
        <f t="shared" si="8"/>
        <v>339.9</v>
      </c>
      <c r="AU5" s="296">
        <f t="shared" si="9"/>
        <v>300</v>
      </c>
      <c r="AV5" s="296">
        <f t="shared" si="10"/>
        <v>180</v>
      </c>
      <c r="AW5" s="296">
        <f t="shared" si="11"/>
        <v>1646.6</v>
      </c>
      <c r="AX5" s="305">
        <f t="shared" si="12"/>
        <v>1166.6</v>
      </c>
      <c r="AY5" s="305"/>
      <c r="AZ5" s="305">
        <f t="shared" si="13"/>
        <v>480</v>
      </c>
      <c r="BA5" s="305"/>
      <c r="BB5" s="306">
        <v>80</v>
      </c>
      <c r="BC5" s="305">
        <f t="shared" si="14"/>
        <v>1726.6</v>
      </c>
      <c r="BD5" s="307"/>
      <c r="BE5" s="321"/>
      <c r="BF5" s="322"/>
      <c r="BG5" s="322"/>
      <c r="BH5" s="323" t="s">
        <v>47</v>
      </c>
    </row>
    <row r="6" s="240" customFormat="1" ht="18" customHeight="1" spans="1:60">
      <c r="A6" s="252">
        <v>2</v>
      </c>
      <c r="B6" s="253" t="s">
        <v>39</v>
      </c>
      <c r="C6" s="254" t="s">
        <v>50</v>
      </c>
      <c r="D6" s="255" t="s">
        <v>41</v>
      </c>
      <c r="E6" s="253" t="s">
        <v>51</v>
      </c>
      <c r="F6" s="256" t="s">
        <v>52</v>
      </c>
      <c r="G6" s="326" t="s">
        <v>53</v>
      </c>
      <c r="H6" s="255" t="s">
        <v>45</v>
      </c>
      <c r="I6" s="255" t="s">
        <v>54</v>
      </c>
      <c r="J6" s="255" t="s">
        <v>46</v>
      </c>
      <c r="K6" s="255" t="s">
        <v>54</v>
      </c>
      <c r="L6" s="252">
        <v>3803</v>
      </c>
      <c r="M6" s="252">
        <v>0.14</v>
      </c>
      <c r="N6" s="252">
        <f t="shared" si="0"/>
        <v>532.42</v>
      </c>
      <c r="O6" s="252">
        <v>0.08</v>
      </c>
      <c r="P6" s="252">
        <f t="shared" si="1"/>
        <v>304.24</v>
      </c>
      <c r="Q6" s="252">
        <v>6175</v>
      </c>
      <c r="R6" s="252">
        <v>0.055</v>
      </c>
      <c r="S6" s="252">
        <f t="shared" si="2"/>
        <v>339.63</v>
      </c>
      <c r="T6" s="252">
        <v>0.02</v>
      </c>
      <c r="U6" s="252">
        <f t="shared" si="3"/>
        <v>123.5</v>
      </c>
      <c r="V6" s="252">
        <v>3803</v>
      </c>
      <c r="W6" s="252">
        <v>0.0032</v>
      </c>
      <c r="X6" s="252">
        <f t="shared" si="4"/>
        <v>12.17</v>
      </c>
      <c r="Y6" s="252">
        <v>0.002</v>
      </c>
      <c r="Z6" s="252">
        <f t="shared" si="5"/>
        <v>7.61</v>
      </c>
      <c r="AA6" s="252">
        <v>6175</v>
      </c>
      <c r="AB6" s="252">
        <v>0.0085</v>
      </c>
      <c r="AC6" s="252">
        <f t="shared" ref="AC6:AC8" si="15">ROUND(AA6*AB6,2)</f>
        <v>52.49</v>
      </c>
      <c r="AD6" s="252">
        <v>3803</v>
      </c>
      <c r="AE6" s="252">
        <v>0.0016</v>
      </c>
      <c r="AF6" s="252">
        <f t="shared" si="6"/>
        <v>6.08</v>
      </c>
      <c r="AG6" s="252"/>
      <c r="AH6" s="252"/>
      <c r="AI6" s="252"/>
      <c r="AJ6" s="252"/>
      <c r="AK6" s="252"/>
      <c r="AL6" s="290"/>
      <c r="AM6" s="252"/>
      <c r="AN6" s="252"/>
      <c r="AO6" s="252"/>
      <c r="AP6" s="253"/>
      <c r="AQ6" s="295">
        <v>26.76</v>
      </c>
      <c r="AR6" s="252"/>
      <c r="AS6" s="296">
        <f t="shared" si="7"/>
        <v>969.55</v>
      </c>
      <c r="AT6" s="296">
        <f t="shared" si="8"/>
        <v>435.35</v>
      </c>
      <c r="AU6" s="296">
        <f t="shared" si="9"/>
        <v>0</v>
      </c>
      <c r="AV6" s="296">
        <f t="shared" si="10"/>
        <v>0</v>
      </c>
      <c r="AW6" s="296">
        <f t="shared" si="11"/>
        <v>1404.9</v>
      </c>
      <c r="AX6" s="305">
        <f t="shared" si="12"/>
        <v>1404.9</v>
      </c>
      <c r="AY6" s="305"/>
      <c r="AZ6" s="305">
        <f t="shared" si="13"/>
        <v>0</v>
      </c>
      <c r="BA6" s="305"/>
      <c r="BB6" s="306">
        <v>80</v>
      </c>
      <c r="BC6" s="305">
        <f t="shared" si="14"/>
        <v>1484.9</v>
      </c>
      <c r="BD6" s="307"/>
      <c r="BE6" s="324"/>
      <c r="BF6" s="324"/>
      <c r="BG6" s="324"/>
      <c r="BH6" s="324"/>
    </row>
    <row r="7" s="240" customFormat="1" ht="18" customHeight="1" spans="1:60">
      <c r="A7" s="252"/>
      <c r="B7" s="253" t="s">
        <v>39</v>
      </c>
      <c r="C7" s="254" t="s">
        <v>50</v>
      </c>
      <c r="D7" s="255" t="s">
        <v>41</v>
      </c>
      <c r="E7" s="253" t="s">
        <v>51</v>
      </c>
      <c r="F7" s="256" t="s">
        <v>52</v>
      </c>
      <c r="G7" s="326" t="s">
        <v>53</v>
      </c>
      <c r="H7" s="255" t="s">
        <v>45</v>
      </c>
      <c r="I7" s="255" t="s">
        <v>54</v>
      </c>
      <c r="J7" s="255" t="s">
        <v>48</v>
      </c>
      <c r="K7" s="255" t="s">
        <v>54</v>
      </c>
      <c r="L7" s="252">
        <v>3803</v>
      </c>
      <c r="M7" s="252">
        <v>0.14</v>
      </c>
      <c r="N7" s="252">
        <f t="shared" si="0"/>
        <v>532.42</v>
      </c>
      <c r="O7" s="252">
        <v>0.08</v>
      </c>
      <c r="P7" s="252">
        <f t="shared" si="1"/>
        <v>304.24</v>
      </c>
      <c r="Q7" s="252">
        <v>6175</v>
      </c>
      <c r="R7" s="252">
        <v>0.055</v>
      </c>
      <c r="S7" s="252">
        <f t="shared" si="2"/>
        <v>339.63</v>
      </c>
      <c r="T7" s="252">
        <v>0.02</v>
      </c>
      <c r="U7" s="252">
        <f t="shared" si="3"/>
        <v>123.5</v>
      </c>
      <c r="V7" s="252">
        <v>3803</v>
      </c>
      <c r="W7" s="252">
        <v>0.0032</v>
      </c>
      <c r="X7" s="252">
        <f t="shared" si="4"/>
        <v>12.17</v>
      </c>
      <c r="Y7" s="252">
        <v>0.002</v>
      </c>
      <c r="Z7" s="252">
        <f t="shared" si="5"/>
        <v>7.61</v>
      </c>
      <c r="AA7" s="252">
        <v>6175</v>
      </c>
      <c r="AB7" s="252">
        <v>0.0085</v>
      </c>
      <c r="AC7" s="252">
        <f t="shared" si="15"/>
        <v>52.49</v>
      </c>
      <c r="AD7" s="252">
        <v>3803</v>
      </c>
      <c r="AE7" s="252">
        <v>0.0016</v>
      </c>
      <c r="AF7" s="252">
        <f t="shared" si="6"/>
        <v>6.08</v>
      </c>
      <c r="AG7" s="252"/>
      <c r="AH7" s="252"/>
      <c r="AI7" s="252"/>
      <c r="AJ7" s="252"/>
      <c r="AK7" s="252"/>
      <c r="AL7" s="290"/>
      <c r="AM7" s="252"/>
      <c r="AN7" s="252"/>
      <c r="AO7" s="252"/>
      <c r="AP7" s="253"/>
      <c r="AQ7" s="295">
        <v>26.76</v>
      </c>
      <c r="AR7" s="252"/>
      <c r="AS7" s="296">
        <f t="shared" si="7"/>
        <v>969.55</v>
      </c>
      <c r="AT7" s="296">
        <f t="shared" si="8"/>
        <v>435.35</v>
      </c>
      <c r="AU7" s="296">
        <f t="shared" si="9"/>
        <v>0</v>
      </c>
      <c r="AV7" s="296">
        <f t="shared" si="10"/>
        <v>0</v>
      </c>
      <c r="AW7" s="296">
        <f t="shared" si="11"/>
        <v>1404.9</v>
      </c>
      <c r="AX7" s="305">
        <f t="shared" si="12"/>
        <v>1404.9</v>
      </c>
      <c r="AY7" s="305"/>
      <c r="AZ7" s="305">
        <f t="shared" si="13"/>
        <v>0</v>
      </c>
      <c r="BA7" s="305"/>
      <c r="BB7" s="306">
        <v>80</v>
      </c>
      <c r="BC7" s="305">
        <f t="shared" si="14"/>
        <v>1484.9</v>
      </c>
      <c r="BD7" s="307"/>
      <c r="BE7" s="324"/>
      <c r="BF7" s="324"/>
      <c r="BG7" s="324"/>
      <c r="BH7" s="324"/>
    </row>
    <row r="8" s="240" customFormat="1" ht="18" customHeight="1" spans="1:60">
      <c r="A8" s="252"/>
      <c r="B8" s="253" t="s">
        <v>39</v>
      </c>
      <c r="C8" s="254" t="s">
        <v>50</v>
      </c>
      <c r="D8" s="255" t="s">
        <v>41</v>
      </c>
      <c r="E8" s="253" t="s">
        <v>51</v>
      </c>
      <c r="F8" s="256" t="s">
        <v>52</v>
      </c>
      <c r="G8" s="326" t="s">
        <v>53</v>
      </c>
      <c r="H8" s="255" t="s">
        <v>45</v>
      </c>
      <c r="I8" s="255" t="s">
        <v>54</v>
      </c>
      <c r="J8" s="255" t="s">
        <v>49</v>
      </c>
      <c r="K8" s="255" t="s">
        <v>54</v>
      </c>
      <c r="L8" s="252">
        <v>3803</v>
      </c>
      <c r="M8" s="252">
        <v>0.14</v>
      </c>
      <c r="N8" s="252">
        <f t="shared" si="0"/>
        <v>532.42</v>
      </c>
      <c r="O8" s="252">
        <v>0.08</v>
      </c>
      <c r="P8" s="252">
        <f t="shared" si="1"/>
        <v>304.24</v>
      </c>
      <c r="Q8" s="252">
        <v>6175</v>
      </c>
      <c r="R8" s="252">
        <v>0.055</v>
      </c>
      <c r="S8" s="252">
        <f t="shared" si="2"/>
        <v>339.63</v>
      </c>
      <c r="T8" s="252">
        <v>0.02</v>
      </c>
      <c r="U8" s="252">
        <f t="shared" si="3"/>
        <v>123.5</v>
      </c>
      <c r="V8" s="252">
        <v>3803</v>
      </c>
      <c r="W8" s="252">
        <v>0.0032</v>
      </c>
      <c r="X8" s="252">
        <f t="shared" si="4"/>
        <v>12.17</v>
      </c>
      <c r="Y8" s="252">
        <v>0.002</v>
      </c>
      <c r="Z8" s="252">
        <f t="shared" si="5"/>
        <v>7.61</v>
      </c>
      <c r="AA8" s="252">
        <v>6175</v>
      </c>
      <c r="AB8" s="252">
        <v>0.0085</v>
      </c>
      <c r="AC8" s="252">
        <f t="shared" si="15"/>
        <v>52.49</v>
      </c>
      <c r="AD8" s="252">
        <v>3803</v>
      </c>
      <c r="AE8" s="252">
        <v>0.0016</v>
      </c>
      <c r="AF8" s="252">
        <f t="shared" si="6"/>
        <v>6.08</v>
      </c>
      <c r="AG8" s="252"/>
      <c r="AH8" s="252"/>
      <c r="AI8" s="252"/>
      <c r="AJ8" s="252"/>
      <c r="AK8" s="252"/>
      <c r="AL8" s="290"/>
      <c r="AM8" s="252"/>
      <c r="AN8" s="252"/>
      <c r="AO8" s="252"/>
      <c r="AP8" s="253"/>
      <c r="AQ8" s="295">
        <v>26.76</v>
      </c>
      <c r="AR8" s="252"/>
      <c r="AS8" s="296">
        <f t="shared" si="7"/>
        <v>969.55</v>
      </c>
      <c r="AT8" s="296">
        <f t="shared" si="8"/>
        <v>435.35</v>
      </c>
      <c r="AU8" s="296">
        <f t="shared" si="9"/>
        <v>0</v>
      </c>
      <c r="AV8" s="296">
        <f t="shared" si="10"/>
        <v>0</v>
      </c>
      <c r="AW8" s="296">
        <f t="shared" si="11"/>
        <v>1404.9</v>
      </c>
      <c r="AX8" s="305">
        <f t="shared" si="12"/>
        <v>1404.9</v>
      </c>
      <c r="AY8" s="305"/>
      <c r="AZ8" s="305">
        <f t="shared" si="13"/>
        <v>0</v>
      </c>
      <c r="BA8" s="305"/>
      <c r="BB8" s="306">
        <v>80</v>
      </c>
      <c r="BC8" s="305">
        <f t="shared" si="14"/>
        <v>1484.9</v>
      </c>
      <c r="BD8" s="307"/>
      <c r="BE8" s="324"/>
      <c r="BF8" s="324"/>
      <c r="BG8" s="324"/>
      <c r="BH8" s="324"/>
    </row>
    <row r="9" s="241" customFormat="1" ht="18" customHeight="1" spans="1:60">
      <c r="A9" s="258" t="s">
        <v>55</v>
      </c>
      <c r="B9" s="259" t="s">
        <v>39</v>
      </c>
      <c r="C9" s="260" t="s">
        <v>50</v>
      </c>
      <c r="D9" s="261" t="s">
        <v>41</v>
      </c>
      <c r="E9" s="259" t="s">
        <v>51</v>
      </c>
      <c r="F9" s="262" t="s">
        <v>52</v>
      </c>
      <c r="G9" s="327" t="s">
        <v>53</v>
      </c>
      <c r="H9" s="261" t="s">
        <v>45</v>
      </c>
      <c r="I9" s="261" t="s">
        <v>54</v>
      </c>
      <c r="J9" s="261" t="s">
        <v>56</v>
      </c>
      <c r="K9" s="261" t="s">
        <v>54</v>
      </c>
      <c r="L9" s="258"/>
      <c r="M9" s="258"/>
      <c r="N9" s="258"/>
      <c r="O9" s="258"/>
      <c r="P9" s="258"/>
      <c r="Q9" s="258"/>
      <c r="R9" s="258"/>
      <c r="S9" s="258"/>
      <c r="T9" s="258"/>
      <c r="U9" s="258"/>
      <c r="V9" s="258"/>
      <c r="W9" s="258"/>
      <c r="X9" s="258"/>
      <c r="Y9" s="258"/>
      <c r="Z9" s="258"/>
      <c r="AA9" s="258"/>
      <c r="AB9" s="258"/>
      <c r="AC9" s="258"/>
      <c r="AD9" s="289">
        <f t="shared" ref="AD9:AD11" si="16">3803-3000</f>
        <v>803</v>
      </c>
      <c r="AE9" s="289">
        <v>0.0016</v>
      </c>
      <c r="AF9" s="289">
        <f t="shared" si="6"/>
        <v>1.28</v>
      </c>
      <c r="AG9" s="258"/>
      <c r="AH9" s="258"/>
      <c r="AI9" s="258"/>
      <c r="AJ9" s="258"/>
      <c r="AK9" s="258"/>
      <c r="AL9" s="291"/>
      <c r="AM9" s="258"/>
      <c r="AN9" s="258"/>
      <c r="AO9" s="258"/>
      <c r="AP9" s="259"/>
      <c r="AQ9" s="297"/>
      <c r="AR9" s="258"/>
      <c r="AS9" s="298">
        <f t="shared" si="7"/>
        <v>1.28</v>
      </c>
      <c r="AT9" s="298">
        <f t="shared" si="8"/>
        <v>0</v>
      </c>
      <c r="AU9" s="298">
        <f t="shared" si="9"/>
        <v>0</v>
      </c>
      <c r="AV9" s="298">
        <f t="shared" si="10"/>
        <v>0</v>
      </c>
      <c r="AW9" s="298">
        <f t="shared" si="11"/>
        <v>1.28</v>
      </c>
      <c r="AX9" s="308">
        <f t="shared" si="12"/>
        <v>1.28</v>
      </c>
      <c r="AY9" s="308"/>
      <c r="AZ9" s="308"/>
      <c r="BA9" s="308"/>
      <c r="BB9" s="309"/>
      <c r="BC9" s="308">
        <f t="shared" si="14"/>
        <v>1.28</v>
      </c>
      <c r="BD9" s="310" t="s">
        <v>57</v>
      </c>
      <c r="BE9" s="325"/>
      <c r="BF9" s="325"/>
      <c r="BG9" s="325"/>
      <c r="BH9" s="325"/>
    </row>
    <row r="10" s="241" customFormat="1" ht="18" customHeight="1" spans="1:60">
      <c r="A10" s="258" t="s">
        <v>55</v>
      </c>
      <c r="B10" s="259" t="s">
        <v>39</v>
      </c>
      <c r="C10" s="260" t="s">
        <v>50</v>
      </c>
      <c r="D10" s="261" t="s">
        <v>41</v>
      </c>
      <c r="E10" s="259" t="s">
        <v>51</v>
      </c>
      <c r="F10" s="262" t="s">
        <v>52</v>
      </c>
      <c r="G10" s="327" t="s">
        <v>53</v>
      </c>
      <c r="H10" s="261" t="s">
        <v>45</v>
      </c>
      <c r="I10" s="261" t="s">
        <v>54</v>
      </c>
      <c r="J10" s="261" t="s">
        <v>58</v>
      </c>
      <c r="K10" s="261" t="s">
        <v>54</v>
      </c>
      <c r="L10" s="258"/>
      <c r="M10" s="258"/>
      <c r="N10" s="258"/>
      <c r="O10" s="258"/>
      <c r="P10" s="258"/>
      <c r="Q10" s="258"/>
      <c r="R10" s="258"/>
      <c r="S10" s="258"/>
      <c r="T10" s="258"/>
      <c r="U10" s="258"/>
      <c r="V10" s="258"/>
      <c r="W10" s="258"/>
      <c r="X10" s="258"/>
      <c r="Y10" s="258"/>
      <c r="Z10" s="258"/>
      <c r="AA10" s="258"/>
      <c r="AB10" s="258"/>
      <c r="AC10" s="258"/>
      <c r="AD10" s="289">
        <f t="shared" si="16"/>
        <v>803</v>
      </c>
      <c r="AE10" s="289">
        <v>0.0016</v>
      </c>
      <c r="AF10" s="289">
        <f t="shared" si="6"/>
        <v>1.28</v>
      </c>
      <c r="AG10" s="258"/>
      <c r="AH10" s="258"/>
      <c r="AI10" s="258"/>
      <c r="AJ10" s="258"/>
      <c r="AK10" s="258"/>
      <c r="AL10" s="291"/>
      <c r="AM10" s="258"/>
      <c r="AN10" s="258"/>
      <c r="AO10" s="258"/>
      <c r="AP10" s="259"/>
      <c r="AQ10" s="297"/>
      <c r="AR10" s="258"/>
      <c r="AS10" s="298">
        <f t="shared" si="7"/>
        <v>1.28</v>
      </c>
      <c r="AT10" s="298">
        <f t="shared" si="8"/>
        <v>0</v>
      </c>
      <c r="AU10" s="298">
        <f t="shared" si="9"/>
        <v>0</v>
      </c>
      <c r="AV10" s="298">
        <f t="shared" si="10"/>
        <v>0</v>
      </c>
      <c r="AW10" s="298">
        <f t="shared" si="11"/>
        <v>1.28</v>
      </c>
      <c r="AX10" s="308">
        <f t="shared" si="12"/>
        <v>1.28</v>
      </c>
      <c r="AY10" s="308"/>
      <c r="AZ10" s="308"/>
      <c r="BA10" s="308"/>
      <c r="BB10" s="309"/>
      <c r="BC10" s="308">
        <f t="shared" si="14"/>
        <v>1.28</v>
      </c>
      <c r="BD10" s="310" t="s">
        <v>57</v>
      </c>
      <c r="BE10" s="325"/>
      <c r="BF10" s="325"/>
      <c r="BG10" s="325"/>
      <c r="BH10" s="325"/>
    </row>
    <row r="11" s="241" customFormat="1" ht="18" customHeight="1" spans="1:60">
      <c r="A11" s="258" t="s">
        <v>55</v>
      </c>
      <c r="B11" s="259" t="s">
        <v>39</v>
      </c>
      <c r="C11" s="260" t="s">
        <v>50</v>
      </c>
      <c r="D11" s="261" t="s">
        <v>41</v>
      </c>
      <c r="E11" s="259" t="s">
        <v>51</v>
      </c>
      <c r="F11" s="262" t="s">
        <v>52</v>
      </c>
      <c r="G11" s="327" t="s">
        <v>53</v>
      </c>
      <c r="H11" s="261" t="s">
        <v>45</v>
      </c>
      <c r="I11" s="261" t="s">
        <v>54</v>
      </c>
      <c r="J11" s="261" t="s">
        <v>59</v>
      </c>
      <c r="K11" s="261" t="s">
        <v>54</v>
      </c>
      <c r="L11" s="258"/>
      <c r="M11" s="258"/>
      <c r="N11" s="258"/>
      <c r="O11" s="258"/>
      <c r="P11" s="258"/>
      <c r="Q11" s="258"/>
      <c r="R11" s="258"/>
      <c r="S11" s="258"/>
      <c r="T11" s="258"/>
      <c r="U11" s="258"/>
      <c r="V11" s="258"/>
      <c r="W11" s="258"/>
      <c r="X11" s="258"/>
      <c r="Y11" s="258"/>
      <c r="Z11" s="258"/>
      <c r="AA11" s="258"/>
      <c r="AB11" s="258"/>
      <c r="AC11" s="258"/>
      <c r="AD11" s="289">
        <f t="shared" si="16"/>
        <v>803</v>
      </c>
      <c r="AE11" s="289">
        <v>0.0016</v>
      </c>
      <c r="AF11" s="289">
        <f t="shared" si="6"/>
        <v>1.28</v>
      </c>
      <c r="AG11" s="258"/>
      <c r="AH11" s="258"/>
      <c r="AI11" s="258"/>
      <c r="AJ11" s="258"/>
      <c r="AK11" s="258"/>
      <c r="AL11" s="291"/>
      <c r="AM11" s="258"/>
      <c r="AN11" s="258"/>
      <c r="AO11" s="258"/>
      <c r="AP11" s="259"/>
      <c r="AQ11" s="297"/>
      <c r="AR11" s="258"/>
      <c r="AS11" s="298">
        <f t="shared" si="7"/>
        <v>1.28</v>
      </c>
      <c r="AT11" s="298">
        <f t="shared" si="8"/>
        <v>0</v>
      </c>
      <c r="AU11" s="298">
        <f t="shared" si="9"/>
        <v>0</v>
      </c>
      <c r="AV11" s="298">
        <f t="shared" si="10"/>
        <v>0</v>
      </c>
      <c r="AW11" s="298">
        <f t="shared" si="11"/>
        <v>1.28</v>
      </c>
      <c r="AX11" s="308">
        <f t="shared" si="12"/>
        <v>1.28</v>
      </c>
      <c r="AY11" s="308"/>
      <c r="AZ11" s="308"/>
      <c r="BA11" s="308"/>
      <c r="BB11" s="309"/>
      <c r="BC11" s="308">
        <f t="shared" si="14"/>
        <v>1.28</v>
      </c>
      <c r="BD11" s="310" t="s">
        <v>57</v>
      </c>
      <c r="BE11" s="325"/>
      <c r="BF11" s="325"/>
      <c r="BG11" s="325"/>
      <c r="BH11" s="325"/>
    </row>
    <row r="12" s="240" customFormat="1" ht="18" customHeight="1" spans="1:60">
      <c r="A12" s="252">
        <v>3</v>
      </c>
      <c r="B12" s="253" t="s">
        <v>39</v>
      </c>
      <c r="C12" s="254" t="s">
        <v>60</v>
      </c>
      <c r="D12" s="255" t="s">
        <v>41</v>
      </c>
      <c r="E12" s="253" t="s">
        <v>51</v>
      </c>
      <c r="F12" s="256" t="s">
        <v>61</v>
      </c>
      <c r="G12" s="257" t="s">
        <v>62</v>
      </c>
      <c r="H12" s="255" t="s">
        <v>63</v>
      </c>
      <c r="I12" s="255" t="s">
        <v>63</v>
      </c>
      <c r="J12" s="255" t="s">
        <v>48</v>
      </c>
      <c r="K12" s="255" t="s">
        <v>48</v>
      </c>
      <c r="L12" s="252">
        <v>3053.05</v>
      </c>
      <c r="M12" s="252">
        <v>0.16</v>
      </c>
      <c r="N12" s="252">
        <f t="shared" ref="N12:N15" si="17">ROUND(L12*M12,2)</f>
        <v>488.49</v>
      </c>
      <c r="O12" s="252">
        <v>0.08</v>
      </c>
      <c r="P12" s="252">
        <f t="shared" ref="P12:P15" si="18">ROUND(L12*O12,2)</f>
        <v>244.24</v>
      </c>
      <c r="Q12" s="252">
        <v>3053.05</v>
      </c>
      <c r="R12" s="252">
        <v>0.06</v>
      </c>
      <c r="S12" s="252">
        <f t="shared" ref="S12:S15" si="19">ROUND(Q12*R12,2)</f>
        <v>183.18</v>
      </c>
      <c r="T12" s="252">
        <v>0.02</v>
      </c>
      <c r="U12" s="252">
        <f t="shared" ref="U12:U15" si="20">ROUND(Q12*T12,2)</f>
        <v>61.06</v>
      </c>
      <c r="V12" s="252">
        <v>3053.05</v>
      </c>
      <c r="W12" s="252">
        <v>0.007</v>
      </c>
      <c r="X12" s="252">
        <f t="shared" ref="X12:X15" si="21">ROUND(V12*W12,2)</f>
        <v>21.37</v>
      </c>
      <c r="Y12" s="252">
        <v>0.003</v>
      </c>
      <c r="Z12" s="252">
        <f t="shared" ref="Z12:Z15" si="22">ROUND(V12*Y12,2)</f>
        <v>9.16</v>
      </c>
      <c r="AA12" s="252">
        <v>3053.05</v>
      </c>
      <c r="AB12" s="252">
        <v>0.007</v>
      </c>
      <c r="AC12" s="252">
        <f t="shared" ref="AC12:AC15" si="23">ROUND(AA12*AB12,2)</f>
        <v>21.37</v>
      </c>
      <c r="AD12" s="252">
        <v>3053.05</v>
      </c>
      <c r="AE12" s="252">
        <v>0.002</v>
      </c>
      <c r="AF12" s="252">
        <f t="shared" si="6"/>
        <v>6.11</v>
      </c>
      <c r="AG12" s="252" t="s">
        <v>64</v>
      </c>
      <c r="AH12" s="252">
        <v>0.05</v>
      </c>
      <c r="AI12" s="252">
        <f t="shared" ref="AI12:AI15" si="24">ROUND(AG12*AH12,2)</f>
        <v>79</v>
      </c>
      <c r="AJ12" s="252">
        <v>0.05</v>
      </c>
      <c r="AK12" s="252">
        <f t="shared" ref="AK12:AK15" si="25">ROUND(AG12*AJ12,2)</f>
        <v>79</v>
      </c>
      <c r="AL12" s="290"/>
      <c r="AM12" s="252"/>
      <c r="AN12" s="252"/>
      <c r="AO12" s="252"/>
      <c r="AP12" s="253"/>
      <c r="AQ12" s="295"/>
      <c r="AR12" s="252">
        <v>96</v>
      </c>
      <c r="AS12" s="296">
        <f t="shared" si="7"/>
        <v>720.52</v>
      </c>
      <c r="AT12" s="296">
        <f t="shared" si="8"/>
        <v>314.46</v>
      </c>
      <c r="AU12" s="296">
        <f t="shared" si="9"/>
        <v>79</v>
      </c>
      <c r="AV12" s="296">
        <f t="shared" si="10"/>
        <v>79</v>
      </c>
      <c r="AW12" s="296">
        <f t="shared" si="11"/>
        <v>1192.98</v>
      </c>
      <c r="AX12" s="305">
        <f t="shared" si="12"/>
        <v>1034.98</v>
      </c>
      <c r="AY12" s="305"/>
      <c r="AZ12" s="305">
        <f t="shared" ref="AZ12:AZ15" si="26">AU12+AV12</f>
        <v>158</v>
      </c>
      <c r="BA12" s="305"/>
      <c r="BB12" s="306">
        <v>80</v>
      </c>
      <c r="BC12" s="305">
        <f t="shared" si="14"/>
        <v>1272.98</v>
      </c>
      <c r="BD12" s="307"/>
      <c r="BE12" s="324"/>
      <c r="BF12" s="324"/>
      <c r="BG12" s="324"/>
      <c r="BH12" s="324"/>
    </row>
    <row r="13" s="240" customFormat="1" ht="18" customHeight="1" spans="1:60">
      <c r="A13" s="252"/>
      <c r="B13" s="253" t="s">
        <v>39</v>
      </c>
      <c r="C13" s="254" t="s">
        <v>60</v>
      </c>
      <c r="D13" s="255" t="s">
        <v>41</v>
      </c>
      <c r="E13" s="253" t="s">
        <v>51</v>
      </c>
      <c r="F13" s="256" t="s">
        <v>61</v>
      </c>
      <c r="G13" s="257" t="s">
        <v>62</v>
      </c>
      <c r="H13" s="255" t="s">
        <v>63</v>
      </c>
      <c r="I13" s="255" t="s">
        <v>63</v>
      </c>
      <c r="J13" s="255" t="s">
        <v>49</v>
      </c>
      <c r="K13" s="255" t="s">
        <v>49</v>
      </c>
      <c r="L13" s="252">
        <v>3053.05</v>
      </c>
      <c r="M13" s="252">
        <v>0.16</v>
      </c>
      <c r="N13" s="252">
        <f t="shared" si="17"/>
        <v>488.49</v>
      </c>
      <c r="O13" s="252">
        <v>0.08</v>
      </c>
      <c r="P13" s="252">
        <f t="shared" si="18"/>
        <v>244.24</v>
      </c>
      <c r="Q13" s="252">
        <v>3053.05</v>
      </c>
      <c r="R13" s="252">
        <v>0.06</v>
      </c>
      <c r="S13" s="252">
        <f t="shared" si="19"/>
        <v>183.18</v>
      </c>
      <c r="T13" s="252">
        <v>0.02</v>
      </c>
      <c r="U13" s="252">
        <f t="shared" si="20"/>
        <v>61.06</v>
      </c>
      <c r="V13" s="252">
        <v>3053.05</v>
      </c>
      <c r="W13" s="252">
        <v>0.007</v>
      </c>
      <c r="X13" s="252">
        <f t="shared" si="21"/>
        <v>21.37</v>
      </c>
      <c r="Y13" s="252">
        <v>0.003</v>
      </c>
      <c r="Z13" s="252">
        <f t="shared" si="22"/>
        <v>9.16</v>
      </c>
      <c r="AA13" s="252">
        <v>3053.05</v>
      </c>
      <c r="AB13" s="252">
        <v>0.007</v>
      </c>
      <c r="AC13" s="252">
        <f t="shared" si="23"/>
        <v>21.37</v>
      </c>
      <c r="AD13" s="252">
        <v>3053.05</v>
      </c>
      <c r="AE13" s="252">
        <v>0.002</v>
      </c>
      <c r="AF13" s="252">
        <f t="shared" si="6"/>
        <v>6.11</v>
      </c>
      <c r="AG13" s="252" t="s">
        <v>64</v>
      </c>
      <c r="AH13" s="252">
        <v>0.05</v>
      </c>
      <c r="AI13" s="252">
        <f t="shared" si="24"/>
        <v>79</v>
      </c>
      <c r="AJ13" s="252">
        <v>0.05</v>
      </c>
      <c r="AK13" s="252">
        <f t="shared" si="25"/>
        <v>79</v>
      </c>
      <c r="AL13" s="290"/>
      <c r="AM13" s="252"/>
      <c r="AN13" s="252"/>
      <c r="AO13" s="252"/>
      <c r="AP13" s="253"/>
      <c r="AQ13" s="295"/>
      <c r="AR13" s="295"/>
      <c r="AS13" s="296">
        <f t="shared" si="7"/>
        <v>720.52</v>
      </c>
      <c r="AT13" s="296">
        <f t="shared" si="8"/>
        <v>314.46</v>
      </c>
      <c r="AU13" s="296">
        <f t="shared" si="9"/>
        <v>79</v>
      </c>
      <c r="AV13" s="296">
        <f t="shared" si="10"/>
        <v>79</v>
      </c>
      <c r="AW13" s="296">
        <f t="shared" si="11"/>
        <v>1192.98</v>
      </c>
      <c r="AX13" s="305">
        <f t="shared" si="12"/>
        <v>1034.98</v>
      </c>
      <c r="AY13" s="305"/>
      <c r="AZ13" s="305">
        <f t="shared" si="26"/>
        <v>158</v>
      </c>
      <c r="BA13" s="305"/>
      <c r="BB13" s="306">
        <v>80</v>
      </c>
      <c r="BC13" s="305">
        <f t="shared" si="14"/>
        <v>1272.98</v>
      </c>
      <c r="BD13" s="307"/>
      <c r="BE13" s="324"/>
      <c r="BF13" s="324"/>
      <c r="BG13" s="324"/>
      <c r="BH13" s="324"/>
    </row>
    <row r="14" s="240" customFormat="1" ht="18" customHeight="1" spans="1:60">
      <c r="A14" s="252"/>
      <c r="B14" s="253" t="s">
        <v>39</v>
      </c>
      <c r="C14" s="254" t="s">
        <v>60</v>
      </c>
      <c r="D14" s="255" t="s">
        <v>41</v>
      </c>
      <c r="E14" s="253" t="s">
        <v>51</v>
      </c>
      <c r="F14" s="256" t="s">
        <v>61</v>
      </c>
      <c r="G14" s="257" t="s">
        <v>62</v>
      </c>
      <c r="H14" s="255" t="s">
        <v>63</v>
      </c>
      <c r="I14" s="255" t="s">
        <v>63</v>
      </c>
      <c r="J14" s="255" t="s">
        <v>65</v>
      </c>
      <c r="K14" s="255" t="s">
        <v>65</v>
      </c>
      <c r="L14" s="252">
        <v>3053.05</v>
      </c>
      <c r="M14" s="252">
        <v>0.16</v>
      </c>
      <c r="N14" s="252">
        <f t="shared" si="17"/>
        <v>488.49</v>
      </c>
      <c r="O14" s="252">
        <v>0.08</v>
      </c>
      <c r="P14" s="252">
        <f t="shared" si="18"/>
        <v>244.24</v>
      </c>
      <c r="Q14" s="252">
        <v>3053.05</v>
      </c>
      <c r="R14" s="252">
        <v>0.06</v>
      </c>
      <c r="S14" s="252">
        <f t="shared" si="19"/>
        <v>183.18</v>
      </c>
      <c r="T14" s="252">
        <v>0.02</v>
      </c>
      <c r="U14" s="252">
        <f t="shared" si="20"/>
        <v>61.06</v>
      </c>
      <c r="V14" s="252">
        <v>3053.05</v>
      </c>
      <c r="W14" s="252">
        <v>0.007</v>
      </c>
      <c r="X14" s="252">
        <f t="shared" si="21"/>
        <v>21.37</v>
      </c>
      <c r="Y14" s="252">
        <v>0.003</v>
      </c>
      <c r="Z14" s="252">
        <f t="shared" si="22"/>
        <v>9.16</v>
      </c>
      <c r="AA14" s="252">
        <v>3053.05</v>
      </c>
      <c r="AB14" s="252">
        <v>0.007</v>
      </c>
      <c r="AC14" s="252">
        <f t="shared" si="23"/>
        <v>21.37</v>
      </c>
      <c r="AD14" s="252">
        <v>3053.05</v>
      </c>
      <c r="AE14" s="252">
        <v>0.002</v>
      </c>
      <c r="AF14" s="252">
        <f t="shared" si="6"/>
        <v>6.11</v>
      </c>
      <c r="AG14" s="252" t="s">
        <v>64</v>
      </c>
      <c r="AH14" s="252">
        <v>0.05</v>
      </c>
      <c r="AI14" s="252">
        <f t="shared" si="24"/>
        <v>79</v>
      </c>
      <c r="AJ14" s="252">
        <v>0.05</v>
      </c>
      <c r="AK14" s="252">
        <f t="shared" si="25"/>
        <v>79</v>
      </c>
      <c r="AL14" s="290"/>
      <c r="AM14" s="252"/>
      <c r="AN14" s="252"/>
      <c r="AO14" s="252"/>
      <c r="AP14" s="253"/>
      <c r="AQ14" s="295"/>
      <c r="AR14" s="295"/>
      <c r="AS14" s="296">
        <f t="shared" si="7"/>
        <v>720.52</v>
      </c>
      <c r="AT14" s="296">
        <f t="shared" si="8"/>
        <v>314.46</v>
      </c>
      <c r="AU14" s="296">
        <f t="shared" si="9"/>
        <v>79</v>
      </c>
      <c r="AV14" s="296">
        <f t="shared" si="10"/>
        <v>79</v>
      </c>
      <c r="AW14" s="296">
        <f t="shared" si="11"/>
        <v>1192.98</v>
      </c>
      <c r="AX14" s="305">
        <f t="shared" si="12"/>
        <v>1034.98</v>
      </c>
      <c r="AY14" s="305"/>
      <c r="AZ14" s="305">
        <f t="shared" si="26"/>
        <v>158</v>
      </c>
      <c r="BA14" s="305"/>
      <c r="BB14" s="306">
        <v>80</v>
      </c>
      <c r="BC14" s="305">
        <f t="shared" si="14"/>
        <v>1272.98</v>
      </c>
      <c r="BD14" s="307"/>
      <c r="BE14" s="324"/>
      <c r="BF14" s="324"/>
      <c r="BG14" s="324"/>
      <c r="BH14" s="324"/>
    </row>
    <row r="15" s="241" customFormat="1" ht="18" customHeight="1" spans="1:60">
      <c r="A15" s="258" t="s">
        <v>55</v>
      </c>
      <c r="B15" s="259" t="s">
        <v>39</v>
      </c>
      <c r="C15" s="260" t="s">
        <v>60</v>
      </c>
      <c r="D15" s="261" t="s">
        <v>41</v>
      </c>
      <c r="E15" s="259" t="s">
        <v>51</v>
      </c>
      <c r="F15" s="262" t="s">
        <v>61</v>
      </c>
      <c r="G15" s="263" t="s">
        <v>62</v>
      </c>
      <c r="H15" s="261" t="s">
        <v>63</v>
      </c>
      <c r="I15" s="261" t="s">
        <v>63</v>
      </c>
      <c r="J15" s="261" t="s">
        <v>63</v>
      </c>
      <c r="K15" s="261" t="s">
        <v>63</v>
      </c>
      <c r="L15" s="258">
        <v>3053.05</v>
      </c>
      <c r="M15" s="258">
        <v>0.16</v>
      </c>
      <c r="N15" s="258">
        <f t="shared" si="17"/>
        <v>488.49</v>
      </c>
      <c r="O15" s="258">
        <v>0.08</v>
      </c>
      <c r="P15" s="258">
        <f t="shared" si="18"/>
        <v>244.24</v>
      </c>
      <c r="Q15" s="258">
        <v>3053.05</v>
      </c>
      <c r="R15" s="258">
        <v>0.06</v>
      </c>
      <c r="S15" s="258">
        <f t="shared" si="19"/>
        <v>183.18</v>
      </c>
      <c r="T15" s="258">
        <v>0.02</v>
      </c>
      <c r="U15" s="258">
        <f t="shared" si="20"/>
        <v>61.06</v>
      </c>
      <c r="V15" s="258">
        <v>3053.05</v>
      </c>
      <c r="W15" s="258">
        <v>0.007</v>
      </c>
      <c r="X15" s="258">
        <f t="shared" si="21"/>
        <v>21.37</v>
      </c>
      <c r="Y15" s="258">
        <v>0.003</v>
      </c>
      <c r="Z15" s="258">
        <f t="shared" si="22"/>
        <v>9.16</v>
      </c>
      <c r="AA15" s="258">
        <v>3053.05</v>
      </c>
      <c r="AB15" s="258">
        <v>0.007</v>
      </c>
      <c r="AC15" s="258">
        <f t="shared" si="23"/>
        <v>21.37</v>
      </c>
      <c r="AD15" s="258">
        <v>3053.05</v>
      </c>
      <c r="AE15" s="258">
        <v>0.002</v>
      </c>
      <c r="AF15" s="258">
        <f t="shared" si="6"/>
        <v>6.11</v>
      </c>
      <c r="AG15" s="258" t="s">
        <v>64</v>
      </c>
      <c r="AH15" s="258">
        <v>0.05</v>
      </c>
      <c r="AI15" s="258">
        <f t="shared" si="24"/>
        <v>79</v>
      </c>
      <c r="AJ15" s="258">
        <v>0.05</v>
      </c>
      <c r="AK15" s="258">
        <f t="shared" si="25"/>
        <v>79</v>
      </c>
      <c r="AL15" s="291"/>
      <c r="AM15" s="258"/>
      <c r="AN15" s="258"/>
      <c r="AO15" s="258"/>
      <c r="AP15" s="259"/>
      <c r="AQ15" s="297"/>
      <c r="AR15" s="297"/>
      <c r="AS15" s="298">
        <f t="shared" si="7"/>
        <v>720.52</v>
      </c>
      <c r="AT15" s="298">
        <f t="shared" si="8"/>
        <v>314.46</v>
      </c>
      <c r="AU15" s="298">
        <f t="shared" si="9"/>
        <v>79</v>
      </c>
      <c r="AV15" s="298">
        <f t="shared" si="10"/>
        <v>79</v>
      </c>
      <c r="AW15" s="298">
        <f t="shared" si="11"/>
        <v>1192.98</v>
      </c>
      <c r="AX15" s="308">
        <f t="shared" si="12"/>
        <v>1034.98</v>
      </c>
      <c r="AY15" s="308"/>
      <c r="AZ15" s="308">
        <f t="shared" si="26"/>
        <v>158</v>
      </c>
      <c r="BA15" s="308"/>
      <c r="BB15" s="309">
        <v>80</v>
      </c>
      <c r="BC15" s="308">
        <f t="shared" si="14"/>
        <v>1272.98</v>
      </c>
      <c r="BD15" s="310"/>
      <c r="BE15" s="325"/>
      <c r="BF15" s="325"/>
      <c r="BG15" s="325"/>
      <c r="BH15" s="325"/>
    </row>
    <row r="16" s="242" customFormat="1" ht="18" customHeight="1" spans="1:60">
      <c r="A16" s="264"/>
      <c r="B16" s="265"/>
      <c r="C16" s="266"/>
      <c r="D16" s="267"/>
      <c r="E16" s="268"/>
      <c r="F16" s="269"/>
      <c r="G16" s="270"/>
      <c r="H16" s="271"/>
      <c r="I16" s="267"/>
      <c r="J16" s="271"/>
      <c r="K16" s="271"/>
      <c r="L16" s="284"/>
      <c r="M16" s="284"/>
      <c r="N16" s="285"/>
      <c r="O16" s="284"/>
      <c r="P16" s="284"/>
      <c r="Q16" s="284"/>
      <c r="R16" s="284"/>
      <c r="S16" s="284"/>
      <c r="T16" s="284"/>
      <c r="U16" s="284"/>
      <c r="V16" s="287"/>
      <c r="W16" s="287"/>
      <c r="X16" s="288"/>
      <c r="Y16" s="287"/>
      <c r="Z16" s="284"/>
      <c r="AA16" s="284"/>
      <c r="AB16" s="284"/>
      <c r="AC16" s="284"/>
      <c r="AD16" s="284"/>
      <c r="AE16" s="284"/>
      <c r="AF16" s="285"/>
      <c r="AG16" s="284"/>
      <c r="AH16" s="284"/>
      <c r="AI16" s="284"/>
      <c r="AJ16" s="284"/>
      <c r="AK16" s="284"/>
      <c r="AL16" s="292"/>
      <c r="AM16" s="284"/>
      <c r="AN16" s="284"/>
      <c r="AO16" s="284"/>
      <c r="AP16" s="299"/>
      <c r="AQ16" s="300"/>
      <c r="AR16" s="284"/>
      <c r="AS16" s="301"/>
      <c r="AT16" s="301"/>
      <c r="AU16" s="301"/>
      <c r="AV16" s="301"/>
      <c r="AW16" s="301"/>
      <c r="AX16" s="311"/>
      <c r="AY16" s="312"/>
      <c r="AZ16" s="311"/>
      <c r="BA16" s="312"/>
      <c r="BB16" s="313"/>
      <c r="BC16" s="311"/>
      <c r="BD16" s="314"/>
      <c r="BE16" s="245"/>
      <c r="BF16" s="245"/>
      <c r="BG16" s="245"/>
      <c r="BH16" s="245"/>
    </row>
    <row r="17" ht="14.25" spans="1:56">
      <c r="A17" s="272" t="s">
        <v>66</v>
      </c>
      <c r="B17" s="273"/>
      <c r="C17" s="274"/>
      <c r="D17" s="274"/>
      <c r="E17" s="275"/>
      <c r="F17" s="274"/>
      <c r="G17" s="274"/>
      <c r="H17" s="274"/>
      <c r="I17" s="274"/>
      <c r="J17" s="274"/>
      <c r="K17" s="274"/>
      <c r="L17" s="275">
        <f t="shared" ref="L17:BC17" si="27">SUM(L3:L15)</f>
        <v>33521.2</v>
      </c>
      <c r="M17" s="275">
        <f t="shared" si="27"/>
        <v>1.54</v>
      </c>
      <c r="N17" s="275">
        <f t="shared" si="27"/>
        <v>5135.22</v>
      </c>
      <c r="O17" s="275">
        <f t="shared" si="27"/>
        <v>0.8</v>
      </c>
      <c r="P17" s="275">
        <f t="shared" si="27"/>
        <v>2681.68</v>
      </c>
      <c r="Q17" s="275">
        <f t="shared" si="27"/>
        <v>40637.2</v>
      </c>
      <c r="R17" s="275">
        <f t="shared" si="27"/>
        <v>0.645</v>
      </c>
      <c r="S17" s="275">
        <f t="shared" si="27"/>
        <v>2543.61</v>
      </c>
      <c r="T17" s="275">
        <f t="shared" si="27"/>
        <v>0.2</v>
      </c>
      <c r="U17" s="275">
        <f t="shared" si="27"/>
        <v>812.74</v>
      </c>
      <c r="V17" s="275">
        <f t="shared" si="27"/>
        <v>33521.2</v>
      </c>
      <c r="W17" s="275">
        <f t="shared" si="27"/>
        <v>0.0586</v>
      </c>
      <c r="X17" s="275">
        <f t="shared" si="27"/>
        <v>191.29</v>
      </c>
      <c r="Y17" s="275">
        <f t="shared" si="27"/>
        <v>0.027</v>
      </c>
      <c r="Z17" s="275">
        <f t="shared" si="27"/>
        <v>89.17</v>
      </c>
      <c r="AA17" s="275">
        <f t="shared" si="27"/>
        <v>30737.2</v>
      </c>
      <c r="AB17" s="275">
        <f t="shared" si="27"/>
        <v>0.0535</v>
      </c>
      <c r="AC17" s="275">
        <f t="shared" si="27"/>
        <v>242.95</v>
      </c>
      <c r="AD17" s="275">
        <f t="shared" si="27"/>
        <v>35930.2</v>
      </c>
      <c r="AE17" s="275">
        <f t="shared" si="27"/>
        <v>0.0236</v>
      </c>
      <c r="AF17" s="275">
        <f t="shared" si="27"/>
        <v>66.32</v>
      </c>
      <c r="AG17" s="275">
        <f t="shared" si="27"/>
        <v>9000</v>
      </c>
      <c r="AH17" s="275">
        <f t="shared" si="27"/>
        <v>0.5</v>
      </c>
      <c r="AI17" s="275">
        <f t="shared" si="27"/>
        <v>1216</v>
      </c>
      <c r="AJ17" s="275">
        <f t="shared" si="27"/>
        <v>0.38</v>
      </c>
      <c r="AK17" s="275">
        <f t="shared" si="27"/>
        <v>856</v>
      </c>
      <c r="AL17" s="275">
        <f t="shared" si="27"/>
        <v>0</v>
      </c>
      <c r="AM17" s="275">
        <f t="shared" si="27"/>
        <v>0</v>
      </c>
      <c r="AN17" s="275">
        <f t="shared" si="27"/>
        <v>0</v>
      </c>
      <c r="AO17" s="275">
        <f t="shared" si="27"/>
        <v>0</v>
      </c>
      <c r="AP17" s="275">
        <f t="shared" si="27"/>
        <v>0</v>
      </c>
      <c r="AQ17" s="275">
        <f t="shared" si="27"/>
        <v>95.28</v>
      </c>
      <c r="AR17" s="275">
        <f t="shared" si="27"/>
        <v>96</v>
      </c>
      <c r="AS17" s="275">
        <f t="shared" si="27"/>
        <v>8274.67</v>
      </c>
      <c r="AT17" s="275">
        <f t="shared" si="27"/>
        <v>3583.59</v>
      </c>
      <c r="AU17" s="275">
        <f t="shared" si="27"/>
        <v>1216</v>
      </c>
      <c r="AV17" s="275">
        <f t="shared" si="27"/>
        <v>856</v>
      </c>
      <c r="AW17" s="275">
        <f t="shared" si="27"/>
        <v>13930.26</v>
      </c>
      <c r="AX17" s="275">
        <f t="shared" si="27"/>
        <v>11858.26</v>
      </c>
      <c r="AY17" s="275">
        <f t="shared" si="27"/>
        <v>0</v>
      </c>
      <c r="AZ17" s="275">
        <f t="shared" si="27"/>
        <v>2072</v>
      </c>
      <c r="BA17" s="275">
        <f t="shared" si="27"/>
        <v>0</v>
      </c>
      <c r="BB17" s="275">
        <f t="shared" si="27"/>
        <v>800</v>
      </c>
      <c r="BC17" s="275">
        <f t="shared" si="27"/>
        <v>14730.26</v>
      </c>
      <c r="BD17" s="315"/>
    </row>
    <row r="18" ht="15" spans="1:56">
      <c r="A18" s="276" t="s">
        <v>23</v>
      </c>
      <c r="B18" s="277"/>
      <c r="C18" s="278"/>
      <c r="D18" s="278"/>
      <c r="E18" s="279"/>
      <c r="F18" s="279"/>
      <c r="G18" s="279"/>
      <c r="H18" s="279"/>
      <c r="I18" s="279"/>
      <c r="J18" s="279"/>
      <c r="K18" s="279"/>
      <c r="L18" s="286">
        <f t="shared" ref="L18:AX18" si="28">SUM(L17:L17)</f>
        <v>33521.2</v>
      </c>
      <c r="M18" s="286">
        <f t="shared" si="28"/>
        <v>1.54</v>
      </c>
      <c r="N18" s="286">
        <f t="shared" si="28"/>
        <v>5135.22</v>
      </c>
      <c r="O18" s="286">
        <f t="shared" si="28"/>
        <v>0.8</v>
      </c>
      <c r="P18" s="286">
        <f t="shared" si="28"/>
        <v>2681.68</v>
      </c>
      <c r="Q18" s="286">
        <f t="shared" si="28"/>
        <v>40637.2</v>
      </c>
      <c r="R18" s="286">
        <f t="shared" si="28"/>
        <v>0.645</v>
      </c>
      <c r="S18" s="286">
        <f t="shared" si="28"/>
        <v>2543.61</v>
      </c>
      <c r="T18" s="286">
        <f t="shared" si="28"/>
        <v>0.2</v>
      </c>
      <c r="U18" s="286">
        <f t="shared" si="28"/>
        <v>812.74</v>
      </c>
      <c r="V18" s="286">
        <f t="shared" si="28"/>
        <v>33521.2</v>
      </c>
      <c r="W18" s="286">
        <f t="shared" si="28"/>
        <v>0.0586</v>
      </c>
      <c r="X18" s="286">
        <f t="shared" si="28"/>
        <v>191.29</v>
      </c>
      <c r="Y18" s="286">
        <f t="shared" si="28"/>
        <v>0.027</v>
      </c>
      <c r="Z18" s="286">
        <f t="shared" si="28"/>
        <v>89.17</v>
      </c>
      <c r="AA18" s="286">
        <f t="shared" si="28"/>
        <v>30737.2</v>
      </c>
      <c r="AB18" s="286">
        <f t="shared" si="28"/>
        <v>0.0535</v>
      </c>
      <c r="AC18" s="286">
        <f t="shared" si="28"/>
        <v>242.95</v>
      </c>
      <c r="AD18" s="286">
        <f t="shared" si="28"/>
        <v>35930.2</v>
      </c>
      <c r="AE18" s="286">
        <f t="shared" si="28"/>
        <v>0.0236</v>
      </c>
      <c r="AF18" s="286">
        <f t="shared" si="28"/>
        <v>66.32</v>
      </c>
      <c r="AG18" s="286">
        <f t="shared" si="28"/>
        <v>9000</v>
      </c>
      <c r="AH18" s="286">
        <f t="shared" si="28"/>
        <v>0.5</v>
      </c>
      <c r="AI18" s="286">
        <f t="shared" si="28"/>
        <v>1216</v>
      </c>
      <c r="AJ18" s="286">
        <f t="shared" si="28"/>
        <v>0.38</v>
      </c>
      <c r="AK18" s="286">
        <f t="shared" si="28"/>
        <v>856</v>
      </c>
      <c r="AL18" s="286">
        <f t="shared" si="28"/>
        <v>0</v>
      </c>
      <c r="AM18" s="286">
        <f t="shared" si="28"/>
        <v>0</v>
      </c>
      <c r="AN18" s="286">
        <f t="shared" si="28"/>
        <v>0</v>
      </c>
      <c r="AO18" s="286">
        <f t="shared" si="28"/>
        <v>0</v>
      </c>
      <c r="AP18" s="286">
        <f t="shared" si="28"/>
        <v>0</v>
      </c>
      <c r="AQ18" s="286">
        <f t="shared" si="28"/>
        <v>95.28</v>
      </c>
      <c r="AR18" s="286">
        <f t="shared" si="28"/>
        <v>96</v>
      </c>
      <c r="AS18" s="302">
        <f t="shared" si="28"/>
        <v>8274.67</v>
      </c>
      <c r="AT18" s="302">
        <f t="shared" si="28"/>
        <v>3583.59</v>
      </c>
      <c r="AU18" s="302">
        <f t="shared" si="28"/>
        <v>1216</v>
      </c>
      <c r="AV18" s="302">
        <f t="shared" si="28"/>
        <v>856</v>
      </c>
      <c r="AW18" s="302">
        <f t="shared" si="28"/>
        <v>13930.26</v>
      </c>
      <c r="AX18" s="316">
        <f t="shared" si="28"/>
        <v>11858.26</v>
      </c>
      <c r="AY18" s="316"/>
      <c r="AZ18" s="316">
        <f t="shared" ref="AZ18:BC18" si="29">SUM(AZ17:AZ17)</f>
        <v>2072</v>
      </c>
      <c r="BA18" s="316"/>
      <c r="BB18" s="286">
        <f t="shared" si="29"/>
        <v>800</v>
      </c>
      <c r="BC18" s="286">
        <f t="shared" si="29"/>
        <v>14730.26</v>
      </c>
      <c r="BD18" s="317"/>
    </row>
    <row r="19" s="243" customFormat="1" spans="1:56">
      <c r="A19" s="280"/>
      <c r="B19" s="280"/>
      <c r="C19" s="280"/>
      <c r="D19" s="280"/>
      <c r="E19" s="280"/>
      <c r="F19" s="281"/>
      <c r="G19" s="280"/>
      <c r="H19" s="280"/>
      <c r="I19" s="280"/>
      <c r="J19" s="280"/>
      <c r="K19" s="280"/>
      <c r="L19" s="280"/>
      <c r="M19" s="280"/>
      <c r="N19" s="280"/>
      <c r="O19" s="280"/>
      <c r="P19" s="280"/>
      <c r="Q19" s="280"/>
      <c r="R19" s="280"/>
      <c r="S19" s="280"/>
      <c r="T19" s="280"/>
      <c r="U19" s="280"/>
      <c r="V19" s="280"/>
      <c r="W19" s="280"/>
      <c r="X19" s="280"/>
      <c r="Y19" s="280"/>
      <c r="Z19" s="280"/>
      <c r="AA19" s="280"/>
      <c r="AB19" s="280"/>
      <c r="AC19" s="280"/>
      <c r="AD19" s="280"/>
      <c r="AE19" s="280"/>
      <c r="AF19" s="280"/>
      <c r="AG19" s="280"/>
      <c r="AH19" s="280"/>
      <c r="AI19" s="280"/>
      <c r="AJ19" s="280"/>
      <c r="AK19" s="280"/>
      <c r="AL19" s="280"/>
      <c r="AM19" s="280"/>
      <c r="AN19" s="280"/>
      <c r="AO19" s="280"/>
      <c r="AP19" s="280"/>
      <c r="AQ19" s="280"/>
      <c r="AR19" s="280"/>
      <c r="AS19" s="303"/>
      <c r="AT19" s="303"/>
      <c r="AU19" s="303"/>
      <c r="AV19" s="303"/>
      <c r="AW19" s="303"/>
      <c r="AX19" s="280"/>
      <c r="AY19" s="280"/>
      <c r="AZ19" s="280"/>
      <c r="BA19" s="280"/>
      <c r="BB19" s="280"/>
      <c r="BC19" s="280"/>
      <c r="BD19" s="318"/>
    </row>
    <row r="20" s="244" customFormat="1" spans="1:56">
      <c r="A20" s="245"/>
      <c r="B20" s="245"/>
      <c r="C20" s="245"/>
      <c r="D20" s="245"/>
      <c r="E20" s="245"/>
      <c r="F20" s="245"/>
      <c r="G20" s="245"/>
      <c r="H20" s="245"/>
      <c r="I20" s="245"/>
      <c r="J20" s="245"/>
      <c r="K20" s="245"/>
      <c r="L20" s="245"/>
      <c r="M20" s="245"/>
      <c r="N20" s="245"/>
      <c r="O20" s="245"/>
      <c r="P20" s="245"/>
      <c r="Q20" s="245"/>
      <c r="R20" s="245"/>
      <c r="S20" s="245"/>
      <c r="T20" s="245"/>
      <c r="U20" s="245"/>
      <c r="V20" s="245"/>
      <c r="W20" s="245"/>
      <c r="X20" s="245"/>
      <c r="Y20" s="245"/>
      <c r="Z20" s="280"/>
      <c r="AA20" s="280"/>
      <c r="AB20" s="280"/>
      <c r="AC20" s="280"/>
      <c r="AD20" s="280"/>
      <c r="AE20" s="280"/>
      <c r="AF20" s="280"/>
      <c r="AG20" s="280"/>
      <c r="AH20" s="280"/>
      <c r="AI20" s="280"/>
      <c r="AJ20" s="245"/>
      <c r="AK20" s="245"/>
      <c r="AL20" s="245"/>
      <c r="AM20" s="245"/>
      <c r="AN20" s="245"/>
      <c r="AO20" s="245"/>
      <c r="AP20" s="245"/>
      <c r="AQ20" s="245"/>
      <c r="AR20" s="245"/>
      <c r="AS20" s="246"/>
      <c r="AT20" s="246"/>
      <c r="AU20" s="246"/>
      <c r="AV20" s="246"/>
      <c r="AW20" s="246"/>
      <c r="AX20" s="245"/>
      <c r="AY20" s="245"/>
      <c r="AZ20" s="245"/>
      <c r="BA20" s="245"/>
      <c r="BB20" s="245"/>
      <c r="BC20" s="245"/>
      <c r="BD20" s="247"/>
    </row>
    <row r="22" spans="50:55">
      <c r="AX22" s="319"/>
      <c r="AY22" s="319"/>
      <c r="BC22" s="320"/>
    </row>
  </sheetData>
  <mergeCells count="54">
    <mergeCell ref="L1:P1"/>
    <mergeCell ref="Q1:U1"/>
    <mergeCell ref="V1:Z1"/>
    <mergeCell ref="AA1:AC1"/>
    <mergeCell ref="AD1:AF1"/>
    <mergeCell ref="AG1:AK1"/>
    <mergeCell ref="AL1:AP1"/>
    <mergeCell ref="AQ1:AR1"/>
    <mergeCell ref="AS1:AW1"/>
    <mergeCell ref="AX3:AY3"/>
    <mergeCell ref="AZ3:BA3"/>
    <mergeCell ref="AX4:AY4"/>
    <mergeCell ref="AZ4:BA4"/>
    <mergeCell ref="AX5:AY5"/>
    <mergeCell ref="AZ5:BA5"/>
    <mergeCell ref="AX6:AY6"/>
    <mergeCell ref="AZ6:BA6"/>
    <mergeCell ref="AX7:AY7"/>
    <mergeCell ref="AZ7:BA7"/>
    <mergeCell ref="AX8:AY8"/>
    <mergeCell ref="AZ8:BA8"/>
    <mergeCell ref="AX9:AY9"/>
    <mergeCell ref="AZ9:BA9"/>
    <mergeCell ref="AX10:AY10"/>
    <mergeCell ref="AZ10:BA10"/>
    <mergeCell ref="AX11:AY11"/>
    <mergeCell ref="AZ11:BA11"/>
    <mergeCell ref="AX12:AY12"/>
    <mergeCell ref="AZ12:BA12"/>
    <mergeCell ref="AX13:AY13"/>
    <mergeCell ref="AZ13:BA13"/>
    <mergeCell ref="AX14:AY14"/>
    <mergeCell ref="AZ14:BA14"/>
    <mergeCell ref="AX15:AY15"/>
    <mergeCell ref="AZ15:BA15"/>
    <mergeCell ref="AX18:AY18"/>
    <mergeCell ref="AZ18:BA18"/>
    <mergeCell ref="AX22:AY2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BB1:BB2"/>
    <mergeCell ref="BC1:BC2"/>
    <mergeCell ref="BD1:BD2"/>
    <mergeCell ref="AX1:AY2"/>
    <mergeCell ref="AZ1:BA2"/>
  </mergeCells>
  <conditionalFormatting sqref="H1:I1">
    <cfRule type="expression" dxfId="0" priority="1" stopIfTrue="1">
      <formula>AND(COUNTIF($J$1:$J$1,H1)&gt;1,NOT(ISBLANK(H1)))</formula>
    </cfRule>
  </conditionalFormatting>
  <conditionalFormatting sqref="J1">
    <cfRule type="duplicateValues" dxfId="1" priority="2" stopIfTrue="1"/>
  </conditionalFormatting>
  <conditionalFormatting sqref="K1:L1">
    <cfRule type="duplicateValues" dxfId="1" priority="3" stopIfTrue="1"/>
  </conditionalFormatting>
  <conditionalFormatting sqref="Q1">
    <cfRule type="duplicateValues" dxfId="1" priority="4" stopIfTrue="1"/>
  </conditionalFormatting>
  <conditionalFormatting sqref="V1">
    <cfRule type="duplicateValues" dxfId="1" priority="5" stopIfTrue="1"/>
  </conditionalFormatting>
  <conditionalFormatting sqref="AG1">
    <cfRule type="duplicateValues" dxfId="1" priority="6" stopIfTrue="1"/>
  </conditionalFormatting>
  <pageMargins left="0.75" right="0.75" top="1" bottom="1" header="0.5" footer="0.5"/>
  <headerFooter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tabColor rgb="FF00B050"/>
    <pageSetUpPr fitToPage="1"/>
  </sheetPr>
  <dimension ref="A1:AT35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4" sqref="$A4:$XFD16"/>
    </sheetView>
  </sheetViews>
  <sheetFormatPr defaultColWidth="9" defaultRowHeight="13.5"/>
  <cols>
    <col min="1" max="1" width="4.45" style="15" customWidth="1"/>
    <col min="2" max="2" width="14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hidden="1" customWidth="1"/>
    <col min="11" max="11" width="5.26666666666667" style="15" hidden="1" customWidth="1"/>
    <col min="12" max="12" width="11.725" style="15" customWidth="1"/>
    <col min="13" max="13" width="9.72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1.45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hidden="1" customWidth="1"/>
    <col min="41" max="41" width="19" style="15" hidden="1" customWidth="1"/>
    <col min="42" max="42" width="12.2666666666667" style="15" hidden="1" customWidth="1"/>
    <col min="43" max="43" width="9" style="15" hidden="1" customWidth="1"/>
    <col min="44" max="44" width="7" style="15" hidden="1" customWidth="1"/>
    <col min="45" max="45" width="6.725" style="15" hidden="1" customWidth="1"/>
    <col min="46" max="46" width="6.09166666666667" style="15" hidden="1" customWidth="1"/>
    <col min="47" max="16384" width="9" style="15"/>
  </cols>
  <sheetData>
    <row r="1" s="10" customFormat="1" ht="29.25" customHeight="1" spans="1:45">
      <c r="A1" s="20" t="s">
        <v>105</v>
      </c>
      <c r="B1" s="21"/>
      <c r="C1" s="22"/>
      <c r="D1" s="23"/>
      <c r="E1" s="24"/>
      <c r="F1" s="24"/>
      <c r="G1" s="25"/>
      <c r="J1" s="60"/>
      <c r="L1" s="61"/>
      <c r="M1" s="62" t="s">
        <v>106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107</v>
      </c>
      <c r="C2" s="28" t="s">
        <v>108</v>
      </c>
      <c r="D2" s="28" t="s">
        <v>109</v>
      </c>
      <c r="E2" s="29" t="s">
        <v>110</v>
      </c>
      <c r="F2" s="30" t="s">
        <v>111</v>
      </c>
      <c r="G2" s="29" t="s">
        <v>112</v>
      </c>
      <c r="H2" s="29" t="s">
        <v>113</v>
      </c>
      <c r="I2" s="29" t="s">
        <v>114</v>
      </c>
      <c r="J2" s="63" t="s">
        <v>115</v>
      </c>
      <c r="K2" s="29" t="s">
        <v>116</v>
      </c>
      <c r="L2" s="29" t="s">
        <v>117</v>
      </c>
      <c r="M2" s="64" t="s">
        <v>118</v>
      </c>
      <c r="N2" s="65"/>
      <c r="O2" s="65"/>
      <c r="P2" s="66"/>
      <c r="Q2" s="30" t="s">
        <v>119</v>
      </c>
      <c r="R2" s="29" t="s">
        <v>120</v>
      </c>
      <c r="S2" s="30" t="s">
        <v>121</v>
      </c>
      <c r="T2" s="84" t="s">
        <v>122</v>
      </c>
      <c r="U2" s="30" t="s">
        <v>123</v>
      </c>
      <c r="V2" s="85" t="s">
        <v>124</v>
      </c>
      <c r="W2" s="86"/>
      <c r="X2" s="86"/>
      <c r="Y2" s="86"/>
      <c r="Z2" s="86"/>
      <c r="AA2" s="94"/>
      <c r="AB2" s="30" t="s">
        <v>125</v>
      </c>
      <c r="AC2" s="30" t="s">
        <v>126</v>
      </c>
      <c r="AD2" s="84" t="s">
        <v>127</v>
      </c>
      <c r="AE2" s="84" t="s">
        <v>128</v>
      </c>
      <c r="AF2" s="84" t="s">
        <v>129</v>
      </c>
      <c r="AG2" s="84" t="s">
        <v>130</v>
      </c>
      <c r="AH2" s="103" t="s">
        <v>131</v>
      </c>
      <c r="AI2" s="104" t="s">
        <v>132</v>
      </c>
      <c r="AJ2" s="103" t="s">
        <v>133</v>
      </c>
      <c r="AK2" s="28" t="s">
        <v>22</v>
      </c>
      <c r="AL2" s="103" t="s">
        <v>134</v>
      </c>
      <c r="AM2" s="29" t="s">
        <v>201</v>
      </c>
      <c r="AN2" s="29" t="s">
        <v>202</v>
      </c>
      <c r="AO2" s="114" t="s">
        <v>203</v>
      </c>
      <c r="AP2" s="29" t="s">
        <v>204</v>
      </c>
      <c r="AQ2" s="29" t="s">
        <v>205</v>
      </c>
      <c r="AR2" s="30" t="s">
        <v>206</v>
      </c>
      <c r="AS2" s="30" t="s">
        <v>207</v>
      </c>
      <c r="AT2" s="30" t="s">
        <v>208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135</v>
      </c>
      <c r="N3" s="68" t="s">
        <v>136</v>
      </c>
      <c r="O3" s="68" t="s">
        <v>137</v>
      </c>
      <c r="P3" s="68" t="s">
        <v>37</v>
      </c>
      <c r="Q3" s="35"/>
      <c r="R3" s="34"/>
      <c r="S3" s="35"/>
      <c r="T3" s="87"/>
      <c r="U3" s="35"/>
      <c r="V3" s="88" t="s">
        <v>138</v>
      </c>
      <c r="W3" s="88" t="s">
        <v>139</v>
      </c>
      <c r="X3" s="88" t="s">
        <v>140</v>
      </c>
      <c r="Y3" s="88" t="s">
        <v>141</v>
      </c>
      <c r="Z3" s="88" t="s">
        <v>142</v>
      </c>
      <c r="AA3" s="88" t="s">
        <v>143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144</v>
      </c>
      <c r="C4" s="37" t="s">
        <v>61</v>
      </c>
      <c r="D4" s="37" t="s">
        <v>145</v>
      </c>
      <c r="E4" s="37" t="s">
        <v>62</v>
      </c>
      <c r="F4" s="38" t="s">
        <v>146</v>
      </c>
      <c r="G4" s="39">
        <v>13944441728</v>
      </c>
      <c r="H4" s="40"/>
      <c r="I4" s="40"/>
      <c r="J4" s="69"/>
      <c r="K4" s="40"/>
      <c r="L4" s="70">
        <v>8000</v>
      </c>
      <c r="M4" s="71">
        <v>344.57</v>
      </c>
      <c r="N4" s="71">
        <v>86.14</v>
      </c>
      <c r="O4" s="71">
        <v>12.92</v>
      </c>
      <c r="P4" s="71">
        <v>177.4</v>
      </c>
      <c r="Q4" s="70">
        <f>ROUND(SUM(M4:P4),2)</f>
        <v>621.03</v>
      </c>
      <c r="R4" s="70">
        <v>0</v>
      </c>
      <c r="S4" s="92">
        <f>L4</f>
        <v>8000</v>
      </c>
      <c r="T4" s="93">
        <v>5000</v>
      </c>
      <c r="U4" s="93">
        <f>Q4</f>
        <v>621.03</v>
      </c>
      <c r="V4" s="70"/>
      <c r="W4" s="70"/>
      <c r="X4" s="70"/>
      <c r="Y4" s="70"/>
      <c r="Z4" s="70"/>
      <c r="AA4" s="70"/>
      <c r="AB4" s="92">
        <f>ROUND(SUM(V4:AA4),2)</f>
        <v>0</v>
      </c>
      <c r="AC4" s="92">
        <f>R4</f>
        <v>0</v>
      </c>
      <c r="AD4" s="98">
        <f>ROUND(S4-T4-U4-AB4-AC4,2)</f>
        <v>2378.97</v>
      </c>
      <c r="AE4" s="99">
        <f>ROUND(MAX((AD4)*{0.03;0.1;0.2;0.25;0.3;0.35;0.45}-{0;2520;16920;31920;52920;85920;181920},0),2)</f>
        <v>71.37</v>
      </c>
      <c r="AF4" s="100">
        <v>0</v>
      </c>
      <c r="AG4" s="100">
        <f>IF((AE4-AF4)&lt;0,0,AE4-AF4)</f>
        <v>71.37</v>
      </c>
      <c r="AH4" s="109">
        <f>ROUND(IF((L4-Q4-AG4)&lt;0,0,(L4-Q4-AG4)),2)</f>
        <v>7307.6</v>
      </c>
      <c r="AI4" s="108"/>
      <c r="AJ4" s="109">
        <f>AH4+AI4</f>
        <v>7307.6</v>
      </c>
      <c r="AK4" s="109"/>
      <c r="AL4" s="109">
        <f>AJ4+AG4+AK4</f>
        <v>7378.97</v>
      </c>
      <c r="AM4" s="109"/>
      <c r="AN4" s="109"/>
      <c r="AO4" s="109"/>
      <c r="AP4" s="109"/>
      <c r="AQ4" s="109"/>
      <c r="AR4" s="117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7" t="str">
        <f>IF(SUMPRODUCT(N(E$1:E$18=E4))&gt;1,"重复","不")</f>
        <v>不</v>
      </c>
      <c r="AT4" s="117" t="str">
        <f>IF(SUMPRODUCT(N(AO$1:AO$18=AO4))&gt;1,"重复","不")</f>
        <v>重复</v>
      </c>
    </row>
    <row r="5" s="12" customFormat="1" ht="18" customHeight="1" spans="1:46">
      <c r="A5" s="36">
        <v>2</v>
      </c>
      <c r="B5" s="37" t="s">
        <v>144</v>
      </c>
      <c r="C5" s="37" t="s">
        <v>148</v>
      </c>
      <c r="D5" s="37" t="s">
        <v>145</v>
      </c>
      <c r="E5" s="329" t="s">
        <v>149</v>
      </c>
      <c r="F5" s="38" t="s">
        <v>150</v>
      </c>
      <c r="G5" s="39">
        <v>15360550807</v>
      </c>
      <c r="H5" s="40"/>
      <c r="I5" s="40"/>
      <c r="J5" s="69"/>
      <c r="K5" s="40"/>
      <c r="L5" s="70">
        <v>6100</v>
      </c>
      <c r="M5" s="71">
        <v>422.72</v>
      </c>
      <c r="N5" s="71">
        <v>119.92</v>
      </c>
      <c r="O5" s="71">
        <v>4.6</v>
      </c>
      <c r="P5" s="71">
        <v>115</v>
      </c>
      <c r="Q5" s="70">
        <f t="shared" ref="Q5:Q19" si="0">ROUND(SUM(M5:P5),2)</f>
        <v>662.24</v>
      </c>
      <c r="R5" s="70">
        <v>0</v>
      </c>
      <c r="S5" s="92">
        <f t="shared" ref="S5:S21" si="1">L5</f>
        <v>6100</v>
      </c>
      <c r="T5" s="93">
        <v>5000</v>
      </c>
      <c r="U5" s="93">
        <f t="shared" ref="U5:U21" si="2">Q5</f>
        <v>662.24</v>
      </c>
      <c r="V5" s="70"/>
      <c r="W5" s="70"/>
      <c r="X5" s="70"/>
      <c r="Y5" s="70"/>
      <c r="Z5" s="70"/>
      <c r="AA5" s="70"/>
      <c r="AB5" s="92">
        <f t="shared" ref="AB5:AB21" si="3">ROUND(SUM(V5:AA5),2)</f>
        <v>0</v>
      </c>
      <c r="AC5" s="92">
        <f t="shared" ref="AC5:AC21" si="4">R5</f>
        <v>0</v>
      </c>
      <c r="AD5" s="98">
        <f t="shared" ref="AD5:AD21" si="5">ROUND(S5-T5-U5-AB5-AC5,2)</f>
        <v>437.76</v>
      </c>
      <c r="AE5" s="99">
        <f>ROUND(MAX((AD5)*{0.03;0.1;0.2;0.25;0.3;0.35;0.45}-{0;2520;16920;31920;52920;85920;181920},0),2)</f>
        <v>13.13</v>
      </c>
      <c r="AF5" s="100">
        <v>0</v>
      </c>
      <c r="AG5" s="100">
        <f t="shared" ref="AG5:AG21" si="6">IF((AE5-AF5)&lt;0,0,AE5-AF5)</f>
        <v>13.13</v>
      </c>
      <c r="AH5" s="109">
        <f t="shared" ref="AH5:AH21" si="7">ROUND(IF((L5-Q5-AG5)&lt;0,0,(L5-Q5-AG5)),2)</f>
        <v>5424.63</v>
      </c>
      <c r="AI5" s="108"/>
      <c r="AJ5" s="109">
        <f t="shared" ref="AJ5:AJ21" si="8">AH5+AI5</f>
        <v>5424.63</v>
      </c>
      <c r="AK5" s="109"/>
      <c r="AL5" s="109">
        <f t="shared" ref="AL5:AL21" si="9">AJ5+AG5+AK5</f>
        <v>5437.76</v>
      </c>
      <c r="AM5" s="109"/>
      <c r="AN5" s="109"/>
      <c r="AO5" s="109"/>
      <c r="AP5" s="109"/>
      <c r="AQ5" s="109"/>
      <c r="AR5" s="117" t="str">
        <f t="shared" ref="AR5:AR21" si="10"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7" t="str">
        <f t="shared" ref="AS5:AS21" si="11">IF(SUMPRODUCT(N(E$1:E$18=E5))&gt;1,"重复","不")</f>
        <v>不</v>
      </c>
      <c r="AT5" s="117" t="str">
        <f t="shared" ref="AT5:AT21" si="12">IF(SUMPRODUCT(N(AO$1:AO$18=AO5))&gt;1,"重复","不")</f>
        <v>重复</v>
      </c>
    </row>
    <row r="6" s="12" customFormat="1" ht="18" customHeight="1" spans="1:46">
      <c r="A6" s="36">
        <v>3</v>
      </c>
      <c r="B6" s="37" t="s">
        <v>144</v>
      </c>
      <c r="C6" s="37" t="s">
        <v>151</v>
      </c>
      <c r="D6" s="37" t="s">
        <v>145</v>
      </c>
      <c r="E6" s="329" t="s">
        <v>152</v>
      </c>
      <c r="F6" s="38" t="s">
        <v>146</v>
      </c>
      <c r="G6" s="39" t="s">
        <v>153</v>
      </c>
      <c r="H6" s="40"/>
      <c r="I6" s="40"/>
      <c r="J6" s="69"/>
      <c r="K6" s="40"/>
      <c r="L6" s="70">
        <v>30060</v>
      </c>
      <c r="M6" s="71">
        <v>590.72</v>
      </c>
      <c r="N6" s="71">
        <v>147.68</v>
      </c>
      <c r="O6" s="71">
        <v>36.92</v>
      </c>
      <c r="P6" s="71">
        <v>188</v>
      </c>
      <c r="Q6" s="70">
        <f t="shared" si="0"/>
        <v>963.32</v>
      </c>
      <c r="R6" s="70">
        <v>0</v>
      </c>
      <c r="S6" s="92">
        <f t="shared" si="1"/>
        <v>30060</v>
      </c>
      <c r="T6" s="93">
        <v>5000</v>
      </c>
      <c r="U6" s="93">
        <f t="shared" si="2"/>
        <v>963.32</v>
      </c>
      <c r="V6" s="70"/>
      <c r="W6" s="70"/>
      <c r="X6" s="70"/>
      <c r="Y6" s="70"/>
      <c r="Z6" s="70"/>
      <c r="AA6" s="70"/>
      <c r="AB6" s="92">
        <f t="shared" si="3"/>
        <v>0</v>
      </c>
      <c r="AC6" s="92">
        <f t="shared" si="4"/>
        <v>0</v>
      </c>
      <c r="AD6" s="98">
        <f t="shared" si="5"/>
        <v>24096.68</v>
      </c>
      <c r="AE6" s="99">
        <f>ROUND(MAX((AD6)*{0.03;0.1;0.2;0.25;0.3;0.35;0.45}-{0;2520;16920;31920;52920;85920;181920},0),2)</f>
        <v>722.9</v>
      </c>
      <c r="AF6" s="100">
        <v>0</v>
      </c>
      <c r="AG6" s="100">
        <f t="shared" si="6"/>
        <v>722.9</v>
      </c>
      <c r="AH6" s="109">
        <f t="shared" si="7"/>
        <v>28373.78</v>
      </c>
      <c r="AI6" s="108"/>
      <c r="AJ6" s="109">
        <f t="shared" si="8"/>
        <v>28373.78</v>
      </c>
      <c r="AK6" s="109"/>
      <c r="AL6" s="109">
        <f t="shared" si="9"/>
        <v>29096.68</v>
      </c>
      <c r="AM6" s="109"/>
      <c r="AN6" s="109"/>
      <c r="AO6" s="109"/>
      <c r="AP6" s="109"/>
      <c r="AQ6" s="109"/>
      <c r="AR6" s="117" t="str">
        <f t="shared" si="10"/>
        <v>正确</v>
      </c>
      <c r="AS6" s="117" t="str">
        <f t="shared" si="11"/>
        <v>不</v>
      </c>
      <c r="AT6" s="117" t="str">
        <f t="shared" si="12"/>
        <v>重复</v>
      </c>
    </row>
    <row r="7" s="12" customFormat="1" ht="18" customHeight="1" spans="1:46">
      <c r="A7" s="36">
        <v>4</v>
      </c>
      <c r="B7" s="37" t="s">
        <v>144</v>
      </c>
      <c r="C7" s="37" t="s">
        <v>156</v>
      </c>
      <c r="D7" s="37" t="s">
        <v>145</v>
      </c>
      <c r="E7" s="329" t="s">
        <v>157</v>
      </c>
      <c r="F7" s="38" t="s">
        <v>146</v>
      </c>
      <c r="G7" s="39" t="s">
        <v>158</v>
      </c>
      <c r="H7" s="40"/>
      <c r="I7" s="40"/>
      <c r="J7" s="69"/>
      <c r="K7" s="40"/>
      <c r="L7" s="70">
        <v>9000</v>
      </c>
      <c r="M7" s="71">
        <v>338.16</v>
      </c>
      <c r="N7" s="71">
        <v>93.7</v>
      </c>
      <c r="O7" s="71">
        <v>21.14</v>
      </c>
      <c r="P7" s="71">
        <v>97</v>
      </c>
      <c r="Q7" s="70">
        <f t="shared" si="0"/>
        <v>550</v>
      </c>
      <c r="R7" s="70">
        <v>0</v>
      </c>
      <c r="S7" s="92">
        <f t="shared" si="1"/>
        <v>9000</v>
      </c>
      <c r="T7" s="93">
        <v>5000</v>
      </c>
      <c r="U7" s="93">
        <f t="shared" si="2"/>
        <v>550</v>
      </c>
      <c r="V7" s="70"/>
      <c r="W7" s="70"/>
      <c r="X7" s="70"/>
      <c r="Y7" s="70"/>
      <c r="Z7" s="70"/>
      <c r="AA7" s="70"/>
      <c r="AB7" s="92">
        <f t="shared" si="3"/>
        <v>0</v>
      </c>
      <c r="AC7" s="92">
        <f t="shared" si="4"/>
        <v>0</v>
      </c>
      <c r="AD7" s="98">
        <f t="shared" si="5"/>
        <v>3450</v>
      </c>
      <c r="AE7" s="99">
        <f>ROUND(MAX((AD7)*{0.03;0.1;0.2;0.25;0.3;0.35;0.45}-{0;2520;16920;31920;52920;85920;181920},0),2)</f>
        <v>103.5</v>
      </c>
      <c r="AF7" s="100">
        <v>0</v>
      </c>
      <c r="AG7" s="100">
        <f t="shared" si="6"/>
        <v>103.5</v>
      </c>
      <c r="AH7" s="109">
        <f t="shared" si="7"/>
        <v>8346.5</v>
      </c>
      <c r="AI7" s="108"/>
      <c r="AJ7" s="109">
        <f t="shared" si="8"/>
        <v>8346.5</v>
      </c>
      <c r="AK7" s="109"/>
      <c r="AL7" s="109">
        <f t="shared" si="9"/>
        <v>8450</v>
      </c>
      <c r="AM7" s="109"/>
      <c r="AN7" s="109"/>
      <c r="AO7" s="109"/>
      <c r="AP7" s="109"/>
      <c r="AQ7" s="109"/>
      <c r="AR7" s="117" t="str">
        <f t="shared" si="10"/>
        <v>正确</v>
      </c>
      <c r="AS7" s="117" t="str">
        <f t="shared" si="11"/>
        <v>不</v>
      </c>
      <c r="AT7" s="117" t="str">
        <f t="shared" si="12"/>
        <v>重复</v>
      </c>
    </row>
    <row r="8" s="12" customFormat="1" ht="18" customHeight="1" spans="1:46">
      <c r="A8" s="36">
        <v>5</v>
      </c>
      <c r="B8" s="37" t="s">
        <v>144</v>
      </c>
      <c r="C8" s="37" t="s">
        <v>160</v>
      </c>
      <c r="D8" s="37" t="s">
        <v>145</v>
      </c>
      <c r="E8" s="329" t="s">
        <v>161</v>
      </c>
      <c r="F8" s="38" t="s">
        <v>146</v>
      </c>
      <c r="G8" s="39">
        <v>19356875630</v>
      </c>
      <c r="H8" s="40"/>
      <c r="I8" s="40"/>
      <c r="J8" s="69"/>
      <c r="K8" s="40"/>
      <c r="L8" s="70">
        <v>10500</v>
      </c>
      <c r="M8" s="71">
        <v>338.16</v>
      </c>
      <c r="N8" s="71">
        <v>90.54</v>
      </c>
      <c r="O8" s="71">
        <v>21.14</v>
      </c>
      <c r="P8" s="71">
        <v>344</v>
      </c>
      <c r="Q8" s="70">
        <f t="shared" si="0"/>
        <v>793.84</v>
      </c>
      <c r="R8" s="70">
        <v>0</v>
      </c>
      <c r="S8" s="92">
        <f t="shared" si="1"/>
        <v>10500</v>
      </c>
      <c r="T8" s="93">
        <v>5000</v>
      </c>
      <c r="U8" s="93">
        <f t="shared" si="2"/>
        <v>793.84</v>
      </c>
      <c r="V8" s="70"/>
      <c r="W8" s="70"/>
      <c r="X8" s="70"/>
      <c r="Y8" s="70"/>
      <c r="Z8" s="70"/>
      <c r="AA8" s="70"/>
      <c r="AB8" s="92">
        <f t="shared" si="3"/>
        <v>0</v>
      </c>
      <c r="AC8" s="92">
        <f t="shared" si="4"/>
        <v>0</v>
      </c>
      <c r="AD8" s="98">
        <f t="shared" si="5"/>
        <v>4706.16</v>
      </c>
      <c r="AE8" s="99">
        <f>ROUND(MAX((AD8)*{0.03;0.1;0.2;0.25;0.3;0.35;0.45}-{0;2520;16920;31920;52920;85920;181920},0),2)</f>
        <v>141.18</v>
      </c>
      <c r="AF8" s="100">
        <v>0</v>
      </c>
      <c r="AG8" s="100">
        <f t="shared" si="6"/>
        <v>141.18</v>
      </c>
      <c r="AH8" s="109">
        <f t="shared" si="7"/>
        <v>9564.98</v>
      </c>
      <c r="AI8" s="108"/>
      <c r="AJ8" s="109">
        <f t="shared" si="8"/>
        <v>9564.98</v>
      </c>
      <c r="AK8" s="109"/>
      <c r="AL8" s="109">
        <f t="shared" si="9"/>
        <v>9706.16</v>
      </c>
      <c r="AM8" s="109"/>
      <c r="AN8" s="109"/>
      <c r="AO8" s="109"/>
      <c r="AP8" s="109"/>
      <c r="AQ8" s="109"/>
      <c r="AR8" s="117" t="str">
        <f t="shared" si="10"/>
        <v>正确</v>
      </c>
      <c r="AS8" s="117" t="str">
        <f t="shared" si="11"/>
        <v>不</v>
      </c>
      <c r="AT8" s="117" t="str">
        <f t="shared" si="12"/>
        <v>重复</v>
      </c>
    </row>
    <row r="9" s="12" customFormat="1" ht="18" customHeight="1" spans="1:46">
      <c r="A9" s="36">
        <v>6</v>
      </c>
      <c r="B9" s="37" t="s">
        <v>144</v>
      </c>
      <c r="C9" s="37" t="s">
        <v>162</v>
      </c>
      <c r="D9" s="37" t="s">
        <v>145</v>
      </c>
      <c r="E9" s="329" t="s">
        <v>163</v>
      </c>
      <c r="F9" s="38" t="s">
        <v>146</v>
      </c>
      <c r="G9" s="39">
        <v>13973652684</v>
      </c>
      <c r="H9" s="40"/>
      <c r="I9" s="40"/>
      <c r="J9" s="69"/>
      <c r="K9" s="40"/>
      <c r="L9" s="70">
        <v>6500</v>
      </c>
      <c r="M9" s="71">
        <v>322.16</v>
      </c>
      <c r="N9" s="71">
        <v>95.54</v>
      </c>
      <c r="O9" s="71">
        <v>12.08</v>
      </c>
      <c r="P9" s="71">
        <v>100</v>
      </c>
      <c r="Q9" s="70">
        <f t="shared" si="0"/>
        <v>529.78</v>
      </c>
      <c r="R9" s="70">
        <v>0</v>
      </c>
      <c r="S9" s="92">
        <f t="shared" si="1"/>
        <v>6500</v>
      </c>
      <c r="T9" s="93">
        <v>5000</v>
      </c>
      <c r="U9" s="93">
        <f t="shared" si="2"/>
        <v>529.78</v>
      </c>
      <c r="V9" s="70"/>
      <c r="W9" s="70"/>
      <c r="X9" s="70"/>
      <c r="Y9" s="70"/>
      <c r="Z9" s="70"/>
      <c r="AA9" s="70"/>
      <c r="AB9" s="92">
        <f t="shared" si="3"/>
        <v>0</v>
      </c>
      <c r="AC9" s="92">
        <f t="shared" si="4"/>
        <v>0</v>
      </c>
      <c r="AD9" s="98">
        <f t="shared" si="5"/>
        <v>970.22</v>
      </c>
      <c r="AE9" s="99">
        <f>ROUND(MAX((AD9)*{0.03;0.1;0.2;0.25;0.3;0.35;0.45}-{0;2520;16920;31920;52920;85920;181920},0),2)</f>
        <v>29.11</v>
      </c>
      <c r="AF9" s="100">
        <v>0</v>
      </c>
      <c r="AG9" s="100">
        <f t="shared" si="6"/>
        <v>29.11</v>
      </c>
      <c r="AH9" s="109">
        <f t="shared" si="7"/>
        <v>5941.11</v>
      </c>
      <c r="AI9" s="108"/>
      <c r="AJ9" s="109">
        <f t="shared" si="8"/>
        <v>5941.11</v>
      </c>
      <c r="AK9" s="109"/>
      <c r="AL9" s="109">
        <f t="shared" si="9"/>
        <v>5970.22</v>
      </c>
      <c r="AM9" s="109"/>
      <c r="AN9" s="109"/>
      <c r="AO9" s="109"/>
      <c r="AP9" s="109"/>
      <c r="AQ9" s="109"/>
      <c r="AR9" s="117" t="str">
        <f t="shared" si="10"/>
        <v>正确</v>
      </c>
      <c r="AS9" s="117" t="str">
        <f t="shared" si="11"/>
        <v>不</v>
      </c>
      <c r="AT9" s="117" t="str">
        <f t="shared" si="12"/>
        <v>重复</v>
      </c>
    </row>
    <row r="10" s="12" customFormat="1" ht="18" customHeight="1" spans="1:46">
      <c r="A10" s="36">
        <v>7</v>
      </c>
      <c r="B10" s="37" t="s">
        <v>144</v>
      </c>
      <c r="C10" s="37" t="s">
        <v>165</v>
      </c>
      <c r="D10" s="37" t="s">
        <v>145</v>
      </c>
      <c r="E10" s="329" t="s">
        <v>166</v>
      </c>
      <c r="F10" s="38" t="s">
        <v>150</v>
      </c>
      <c r="G10" s="39" t="s">
        <v>167</v>
      </c>
      <c r="H10" s="40"/>
      <c r="I10" s="40"/>
      <c r="J10" s="69"/>
      <c r="K10" s="40"/>
      <c r="L10" s="70">
        <v>4447.97</v>
      </c>
      <c r="M10" s="71">
        <v>401.04</v>
      </c>
      <c r="N10" s="71">
        <v>122.26</v>
      </c>
      <c r="O10" s="71">
        <v>25.07</v>
      </c>
      <c r="P10" s="71">
        <v>116</v>
      </c>
      <c r="Q10" s="70">
        <f t="shared" si="0"/>
        <v>664.37</v>
      </c>
      <c r="R10" s="70">
        <v>0</v>
      </c>
      <c r="S10" s="92">
        <f t="shared" si="1"/>
        <v>4447.97</v>
      </c>
      <c r="T10" s="93">
        <v>5000</v>
      </c>
      <c r="U10" s="93">
        <f t="shared" si="2"/>
        <v>664.37</v>
      </c>
      <c r="V10" s="70"/>
      <c r="W10" s="70"/>
      <c r="X10" s="70"/>
      <c r="Y10" s="70"/>
      <c r="Z10" s="70"/>
      <c r="AA10" s="70"/>
      <c r="AB10" s="92">
        <f t="shared" si="3"/>
        <v>0</v>
      </c>
      <c r="AC10" s="92">
        <f t="shared" si="4"/>
        <v>0</v>
      </c>
      <c r="AD10" s="98">
        <f t="shared" si="5"/>
        <v>-1216.4</v>
      </c>
      <c r="AE10" s="99">
        <f>ROUND(MAX((AD10)*{0.03;0.1;0.2;0.25;0.3;0.35;0.45}-{0;2520;16920;31920;52920;85920;181920},0),2)</f>
        <v>0</v>
      </c>
      <c r="AF10" s="100">
        <v>0</v>
      </c>
      <c r="AG10" s="100">
        <f t="shared" si="6"/>
        <v>0</v>
      </c>
      <c r="AH10" s="109">
        <f t="shared" si="7"/>
        <v>3783.6</v>
      </c>
      <c r="AI10" s="108"/>
      <c r="AJ10" s="109">
        <f t="shared" si="8"/>
        <v>3783.6</v>
      </c>
      <c r="AK10" s="109"/>
      <c r="AL10" s="109">
        <f t="shared" si="9"/>
        <v>3783.6</v>
      </c>
      <c r="AM10" s="109"/>
      <c r="AN10" s="109"/>
      <c r="AO10" s="109"/>
      <c r="AP10" s="109"/>
      <c r="AQ10" s="109"/>
      <c r="AR10" s="117" t="str">
        <f t="shared" si="10"/>
        <v>正确</v>
      </c>
      <c r="AS10" s="117" t="str">
        <f t="shared" si="11"/>
        <v>不</v>
      </c>
      <c r="AT10" s="117" t="str">
        <f t="shared" si="12"/>
        <v>重复</v>
      </c>
    </row>
    <row r="11" s="12" customFormat="1" ht="18" customHeight="1" spans="1:46">
      <c r="A11" s="36">
        <v>8</v>
      </c>
      <c r="B11" s="37" t="s">
        <v>144</v>
      </c>
      <c r="C11" s="37" t="s">
        <v>170</v>
      </c>
      <c r="D11" s="37" t="s">
        <v>145</v>
      </c>
      <c r="E11" s="329" t="s">
        <v>171</v>
      </c>
      <c r="F11" s="38" t="s">
        <v>146</v>
      </c>
      <c r="G11" s="39">
        <v>18356553626</v>
      </c>
      <c r="H11" s="40"/>
      <c r="I11" s="40"/>
      <c r="J11" s="69"/>
      <c r="K11" s="40"/>
      <c r="L11" s="70">
        <v>9000</v>
      </c>
      <c r="M11" s="71">
        <v>338.16</v>
      </c>
      <c r="N11" s="71">
        <v>124.54</v>
      </c>
      <c r="O11" s="71">
        <v>21.14</v>
      </c>
      <c r="P11" s="71">
        <v>97</v>
      </c>
      <c r="Q11" s="70">
        <f t="shared" si="0"/>
        <v>580.84</v>
      </c>
      <c r="R11" s="70">
        <v>0</v>
      </c>
      <c r="S11" s="92">
        <f t="shared" si="1"/>
        <v>9000</v>
      </c>
      <c r="T11" s="93">
        <v>5000</v>
      </c>
      <c r="U11" s="93">
        <f t="shared" si="2"/>
        <v>580.84</v>
      </c>
      <c r="V11" s="70"/>
      <c r="W11" s="70"/>
      <c r="X11" s="70"/>
      <c r="Y11" s="70"/>
      <c r="Z11" s="70"/>
      <c r="AA11" s="70"/>
      <c r="AB11" s="92">
        <f t="shared" si="3"/>
        <v>0</v>
      </c>
      <c r="AC11" s="92">
        <f t="shared" si="4"/>
        <v>0</v>
      </c>
      <c r="AD11" s="98">
        <f t="shared" si="5"/>
        <v>3419.16</v>
      </c>
      <c r="AE11" s="99">
        <f>ROUND(MAX((AD11)*{0.03;0.1;0.2;0.25;0.3;0.35;0.45}-{0;2520;16920;31920;52920;85920;181920},0),2)</f>
        <v>102.57</v>
      </c>
      <c r="AF11" s="100">
        <v>0</v>
      </c>
      <c r="AG11" s="100">
        <f t="shared" si="6"/>
        <v>102.57</v>
      </c>
      <c r="AH11" s="109">
        <f t="shared" si="7"/>
        <v>8316.59</v>
      </c>
      <c r="AI11" s="108"/>
      <c r="AJ11" s="109">
        <f t="shared" si="8"/>
        <v>8316.59</v>
      </c>
      <c r="AK11" s="109"/>
      <c r="AL11" s="109">
        <f t="shared" si="9"/>
        <v>8419.16</v>
      </c>
      <c r="AM11" s="109"/>
      <c r="AN11" s="109"/>
      <c r="AO11" s="109"/>
      <c r="AP11" s="109"/>
      <c r="AQ11" s="109"/>
      <c r="AR11" s="117" t="str">
        <f t="shared" si="10"/>
        <v>正确</v>
      </c>
      <c r="AS11" s="117" t="str">
        <f t="shared" si="11"/>
        <v>不</v>
      </c>
      <c r="AT11" s="117" t="str">
        <f t="shared" si="12"/>
        <v>重复</v>
      </c>
    </row>
    <row r="12" s="12" customFormat="1" ht="18" customHeight="1" spans="1:46">
      <c r="A12" s="36">
        <v>9</v>
      </c>
      <c r="B12" s="37" t="s">
        <v>144</v>
      </c>
      <c r="C12" s="37" t="s">
        <v>174</v>
      </c>
      <c r="D12" s="37" t="s">
        <v>145</v>
      </c>
      <c r="E12" s="329" t="s">
        <v>175</v>
      </c>
      <c r="F12" s="38" t="s">
        <v>146</v>
      </c>
      <c r="G12" s="39">
        <v>18326897140</v>
      </c>
      <c r="H12" s="40"/>
      <c r="I12" s="40"/>
      <c r="J12" s="69"/>
      <c r="K12" s="40"/>
      <c r="L12" s="70">
        <v>7500</v>
      </c>
      <c r="M12" s="71">
        <v>338.16</v>
      </c>
      <c r="N12" s="71">
        <v>90.54</v>
      </c>
      <c r="O12" s="71">
        <v>21.14</v>
      </c>
      <c r="P12" s="71">
        <v>344</v>
      </c>
      <c r="Q12" s="70">
        <f t="shared" si="0"/>
        <v>793.84</v>
      </c>
      <c r="R12" s="70">
        <v>0</v>
      </c>
      <c r="S12" s="92">
        <f t="shared" si="1"/>
        <v>7500</v>
      </c>
      <c r="T12" s="93">
        <v>5000</v>
      </c>
      <c r="U12" s="93">
        <f t="shared" si="2"/>
        <v>793.84</v>
      </c>
      <c r="V12" s="70"/>
      <c r="W12" s="70"/>
      <c r="X12" s="70"/>
      <c r="Y12" s="70"/>
      <c r="Z12" s="70"/>
      <c r="AA12" s="70"/>
      <c r="AB12" s="92">
        <f t="shared" si="3"/>
        <v>0</v>
      </c>
      <c r="AC12" s="92">
        <f t="shared" si="4"/>
        <v>0</v>
      </c>
      <c r="AD12" s="98">
        <f t="shared" si="5"/>
        <v>1706.16</v>
      </c>
      <c r="AE12" s="99">
        <f>ROUND(MAX((AD12)*{0.03;0.1;0.2;0.25;0.3;0.35;0.45}-{0;2520;16920;31920;52920;85920;181920},0),2)</f>
        <v>51.18</v>
      </c>
      <c r="AF12" s="100">
        <v>0</v>
      </c>
      <c r="AG12" s="100">
        <f t="shared" si="6"/>
        <v>51.18</v>
      </c>
      <c r="AH12" s="109">
        <f t="shared" si="7"/>
        <v>6654.98</v>
      </c>
      <c r="AI12" s="108"/>
      <c r="AJ12" s="109">
        <f t="shared" si="8"/>
        <v>6654.98</v>
      </c>
      <c r="AK12" s="109"/>
      <c r="AL12" s="109">
        <f t="shared" si="9"/>
        <v>6706.16</v>
      </c>
      <c r="AM12" s="109"/>
      <c r="AN12" s="109"/>
      <c r="AO12" s="109"/>
      <c r="AP12" s="109"/>
      <c r="AQ12" s="109"/>
      <c r="AR12" s="117" t="str">
        <f t="shared" si="10"/>
        <v>正确</v>
      </c>
      <c r="AS12" s="117" t="str">
        <f t="shared" si="11"/>
        <v>不</v>
      </c>
      <c r="AT12" s="117" t="str">
        <f t="shared" si="12"/>
        <v>重复</v>
      </c>
    </row>
    <row r="13" s="12" customFormat="1" ht="18" customHeight="1" spans="1:46">
      <c r="A13" s="36">
        <v>10</v>
      </c>
      <c r="B13" s="37" t="s">
        <v>144</v>
      </c>
      <c r="C13" s="37" t="s">
        <v>176</v>
      </c>
      <c r="D13" s="37" t="s">
        <v>145</v>
      </c>
      <c r="E13" s="329" t="s">
        <v>177</v>
      </c>
      <c r="F13" s="38" t="s">
        <v>146</v>
      </c>
      <c r="G13" s="39">
        <v>17201857014</v>
      </c>
      <c r="H13" s="40"/>
      <c r="I13" s="40"/>
      <c r="J13" s="69"/>
      <c r="K13" s="40"/>
      <c r="L13" s="70">
        <v>8000</v>
      </c>
      <c r="M13" s="71">
        <v>338.16</v>
      </c>
      <c r="N13" s="71">
        <v>90.54</v>
      </c>
      <c r="O13" s="71">
        <v>21.14</v>
      </c>
      <c r="P13" s="71">
        <v>344</v>
      </c>
      <c r="Q13" s="70">
        <f t="shared" si="0"/>
        <v>793.84</v>
      </c>
      <c r="R13" s="70">
        <v>0</v>
      </c>
      <c r="S13" s="92">
        <f t="shared" si="1"/>
        <v>8000</v>
      </c>
      <c r="T13" s="93">
        <v>5000</v>
      </c>
      <c r="U13" s="93">
        <f t="shared" si="2"/>
        <v>793.84</v>
      </c>
      <c r="V13" s="70"/>
      <c r="W13" s="70"/>
      <c r="X13" s="70"/>
      <c r="Y13" s="70"/>
      <c r="Z13" s="70"/>
      <c r="AA13" s="70"/>
      <c r="AB13" s="92">
        <f t="shared" si="3"/>
        <v>0</v>
      </c>
      <c r="AC13" s="92">
        <f t="shared" si="4"/>
        <v>0</v>
      </c>
      <c r="AD13" s="98">
        <f t="shared" si="5"/>
        <v>2206.16</v>
      </c>
      <c r="AE13" s="99">
        <f>ROUND(MAX((AD13)*{0.03;0.1;0.2;0.25;0.3;0.35;0.45}-{0;2520;16920;31920;52920;85920;181920},0),2)</f>
        <v>66.18</v>
      </c>
      <c r="AF13" s="100">
        <v>0</v>
      </c>
      <c r="AG13" s="100">
        <f t="shared" si="6"/>
        <v>66.18</v>
      </c>
      <c r="AH13" s="109">
        <f t="shared" si="7"/>
        <v>7139.98</v>
      </c>
      <c r="AI13" s="108"/>
      <c r="AJ13" s="109">
        <f t="shared" si="8"/>
        <v>7139.98</v>
      </c>
      <c r="AK13" s="109"/>
      <c r="AL13" s="109">
        <f t="shared" si="9"/>
        <v>7206.16</v>
      </c>
      <c r="AM13" s="109"/>
      <c r="AN13" s="109"/>
      <c r="AO13" s="109"/>
      <c r="AP13" s="109"/>
      <c r="AQ13" s="109"/>
      <c r="AR13" s="117" t="str">
        <f t="shared" si="10"/>
        <v>正确</v>
      </c>
      <c r="AS13" s="117" t="str">
        <f t="shared" si="11"/>
        <v>不</v>
      </c>
      <c r="AT13" s="117" t="str">
        <f t="shared" si="12"/>
        <v>重复</v>
      </c>
    </row>
    <row r="14" s="12" customFormat="1" ht="18" customHeight="1" spans="1:46">
      <c r="A14" s="36">
        <v>11</v>
      </c>
      <c r="B14" s="37" t="s">
        <v>144</v>
      </c>
      <c r="C14" s="37" t="s">
        <v>183</v>
      </c>
      <c r="D14" s="37" t="s">
        <v>145</v>
      </c>
      <c r="E14" s="329" t="s">
        <v>184</v>
      </c>
      <c r="F14" s="38" t="s">
        <v>150</v>
      </c>
      <c r="G14" s="39"/>
      <c r="H14" s="40"/>
      <c r="I14" s="40"/>
      <c r="J14" s="69"/>
      <c r="K14" s="40"/>
      <c r="L14" s="70">
        <v>6000</v>
      </c>
      <c r="M14" s="71">
        <v>338.16</v>
      </c>
      <c r="N14" s="71">
        <v>84.54</v>
      </c>
      <c r="O14" s="71">
        <v>21.14</v>
      </c>
      <c r="P14" s="71">
        <v>103</v>
      </c>
      <c r="Q14" s="70">
        <f t="shared" si="0"/>
        <v>546.84</v>
      </c>
      <c r="R14" s="70">
        <v>0</v>
      </c>
      <c r="S14" s="92">
        <f t="shared" si="1"/>
        <v>6000</v>
      </c>
      <c r="T14" s="93">
        <v>5000</v>
      </c>
      <c r="U14" s="93">
        <f t="shared" si="2"/>
        <v>546.84</v>
      </c>
      <c r="V14" s="70"/>
      <c r="W14" s="70"/>
      <c r="X14" s="70"/>
      <c r="Y14" s="70"/>
      <c r="Z14" s="70"/>
      <c r="AA14" s="70"/>
      <c r="AB14" s="92">
        <f t="shared" si="3"/>
        <v>0</v>
      </c>
      <c r="AC14" s="92">
        <f t="shared" si="4"/>
        <v>0</v>
      </c>
      <c r="AD14" s="98">
        <f t="shared" si="5"/>
        <v>453.16</v>
      </c>
      <c r="AE14" s="99">
        <f>ROUND(MAX((AD14)*{0.03;0.1;0.2;0.25;0.3;0.35;0.45}-{0;2520;16920;31920;52920;85920;181920},0),2)</f>
        <v>13.59</v>
      </c>
      <c r="AF14" s="100">
        <v>0</v>
      </c>
      <c r="AG14" s="100">
        <f t="shared" si="6"/>
        <v>13.59</v>
      </c>
      <c r="AH14" s="109">
        <f t="shared" si="7"/>
        <v>5439.57</v>
      </c>
      <c r="AI14" s="108"/>
      <c r="AJ14" s="109">
        <f t="shared" si="8"/>
        <v>5439.57</v>
      </c>
      <c r="AK14" s="109"/>
      <c r="AL14" s="109">
        <f t="shared" si="9"/>
        <v>5453.16</v>
      </c>
      <c r="AM14" s="109"/>
      <c r="AN14" s="109"/>
      <c r="AO14" s="109"/>
      <c r="AP14" s="109"/>
      <c r="AQ14" s="109"/>
      <c r="AR14" s="117" t="str">
        <f t="shared" si="10"/>
        <v>正确</v>
      </c>
      <c r="AS14" s="117" t="str">
        <f t="shared" si="11"/>
        <v>不</v>
      </c>
      <c r="AT14" s="117" t="str">
        <f t="shared" si="12"/>
        <v>重复</v>
      </c>
    </row>
    <row r="15" s="12" customFormat="1" ht="18" customHeight="1" spans="1:46">
      <c r="A15" s="36">
        <v>12</v>
      </c>
      <c r="B15" s="37" t="s">
        <v>144</v>
      </c>
      <c r="C15" s="37" t="s">
        <v>185</v>
      </c>
      <c r="D15" s="37" t="s">
        <v>145</v>
      </c>
      <c r="E15" s="329" t="s">
        <v>186</v>
      </c>
      <c r="F15" s="38" t="s">
        <v>146</v>
      </c>
      <c r="G15" s="39">
        <v>15056587375</v>
      </c>
      <c r="H15" s="40"/>
      <c r="I15" s="40"/>
      <c r="J15" s="69"/>
      <c r="K15" s="40"/>
      <c r="L15" s="70">
        <v>10000</v>
      </c>
      <c r="M15" s="71">
        <v>338.16</v>
      </c>
      <c r="N15" s="71">
        <v>93.7</v>
      </c>
      <c r="O15" s="71">
        <v>21.14</v>
      </c>
      <c r="P15" s="71">
        <v>97</v>
      </c>
      <c r="Q15" s="70">
        <f t="shared" si="0"/>
        <v>550</v>
      </c>
      <c r="R15" s="70">
        <v>0</v>
      </c>
      <c r="S15" s="92">
        <f t="shared" si="1"/>
        <v>10000</v>
      </c>
      <c r="T15" s="93">
        <v>5000</v>
      </c>
      <c r="U15" s="93">
        <f t="shared" si="2"/>
        <v>550</v>
      </c>
      <c r="V15" s="70"/>
      <c r="W15" s="70"/>
      <c r="X15" s="70"/>
      <c r="Y15" s="70"/>
      <c r="Z15" s="70"/>
      <c r="AA15" s="70"/>
      <c r="AB15" s="92">
        <f t="shared" si="3"/>
        <v>0</v>
      </c>
      <c r="AC15" s="92">
        <f t="shared" si="4"/>
        <v>0</v>
      </c>
      <c r="AD15" s="98">
        <f t="shared" si="5"/>
        <v>4450</v>
      </c>
      <c r="AE15" s="99">
        <f>ROUND(MAX((AD15)*{0.03;0.1;0.2;0.25;0.3;0.35;0.45}-{0;2520;16920;31920;52920;85920;181920},0),2)</f>
        <v>133.5</v>
      </c>
      <c r="AF15" s="100">
        <v>0</v>
      </c>
      <c r="AG15" s="100">
        <f t="shared" si="6"/>
        <v>133.5</v>
      </c>
      <c r="AH15" s="109">
        <f t="shared" si="7"/>
        <v>9316.5</v>
      </c>
      <c r="AI15" s="108"/>
      <c r="AJ15" s="109">
        <f t="shared" si="8"/>
        <v>9316.5</v>
      </c>
      <c r="AK15" s="109"/>
      <c r="AL15" s="109">
        <f t="shared" si="9"/>
        <v>9450</v>
      </c>
      <c r="AM15" s="109"/>
      <c r="AN15" s="109"/>
      <c r="AO15" s="109"/>
      <c r="AP15" s="109"/>
      <c r="AQ15" s="109"/>
      <c r="AR15" s="117" t="str">
        <f t="shared" si="10"/>
        <v>正确</v>
      </c>
      <c r="AS15" s="117" t="str">
        <f t="shared" si="11"/>
        <v>不</v>
      </c>
      <c r="AT15" s="117" t="str">
        <f t="shared" si="12"/>
        <v>重复</v>
      </c>
    </row>
    <row r="16" s="12" customFormat="1" ht="18" customHeight="1" spans="1:46">
      <c r="A16" s="36">
        <v>13</v>
      </c>
      <c r="B16" s="37" t="s">
        <v>144</v>
      </c>
      <c r="C16" s="37" t="s">
        <v>187</v>
      </c>
      <c r="D16" s="37" t="s">
        <v>145</v>
      </c>
      <c r="E16" s="37" t="s">
        <v>188</v>
      </c>
      <c r="F16" s="38" t="s">
        <v>146</v>
      </c>
      <c r="G16" s="39">
        <v>13711361074</v>
      </c>
      <c r="H16" s="40"/>
      <c r="I16" s="40"/>
      <c r="J16" s="69"/>
      <c r="K16" s="40"/>
      <c r="L16" s="70">
        <v>7392.73</v>
      </c>
      <c r="M16" s="71">
        <v>510.72</v>
      </c>
      <c r="N16" s="71">
        <v>102.28</v>
      </c>
      <c r="O16" s="71">
        <v>19.15</v>
      </c>
      <c r="P16" s="71">
        <v>110.5</v>
      </c>
      <c r="Q16" s="70">
        <f t="shared" si="0"/>
        <v>742.65</v>
      </c>
      <c r="R16" s="70">
        <v>0</v>
      </c>
      <c r="S16" s="92">
        <f t="shared" si="1"/>
        <v>7392.73</v>
      </c>
      <c r="T16" s="93">
        <v>5000</v>
      </c>
      <c r="U16" s="93">
        <f t="shared" si="2"/>
        <v>742.65</v>
      </c>
      <c r="V16" s="70"/>
      <c r="W16" s="70"/>
      <c r="X16" s="70"/>
      <c r="Y16" s="70"/>
      <c r="Z16" s="70"/>
      <c r="AA16" s="70"/>
      <c r="AB16" s="92">
        <f t="shared" si="3"/>
        <v>0</v>
      </c>
      <c r="AC16" s="92">
        <f t="shared" si="4"/>
        <v>0</v>
      </c>
      <c r="AD16" s="98">
        <f t="shared" si="5"/>
        <v>1650.08</v>
      </c>
      <c r="AE16" s="99">
        <f>ROUND(MAX((AD16)*{0.03;0.1;0.2;0.25;0.3;0.35;0.45}-{0;2520;16920;31920;52920;85920;181920},0),2)</f>
        <v>49.5</v>
      </c>
      <c r="AF16" s="100">
        <v>0</v>
      </c>
      <c r="AG16" s="100">
        <f t="shared" si="6"/>
        <v>49.5</v>
      </c>
      <c r="AH16" s="109">
        <f t="shared" si="7"/>
        <v>6600.58</v>
      </c>
      <c r="AI16" s="108"/>
      <c r="AJ16" s="109">
        <f t="shared" si="8"/>
        <v>6600.58</v>
      </c>
      <c r="AK16" s="109"/>
      <c r="AL16" s="109">
        <f t="shared" si="9"/>
        <v>6650.08</v>
      </c>
      <c r="AM16" s="109"/>
      <c r="AN16" s="109"/>
      <c r="AO16" s="109"/>
      <c r="AP16" s="109"/>
      <c r="AQ16" s="109"/>
      <c r="AR16" s="117" t="str">
        <f t="shared" si="10"/>
        <v>正确</v>
      </c>
      <c r="AS16" s="117" t="str">
        <f t="shared" si="11"/>
        <v>不</v>
      </c>
      <c r="AT16" s="117" t="str">
        <f t="shared" si="12"/>
        <v>重复</v>
      </c>
    </row>
    <row r="17" s="12" customFormat="1" ht="18" customHeight="1" spans="1:46">
      <c r="A17" s="36"/>
      <c r="B17" s="37"/>
      <c r="C17" s="37"/>
      <c r="D17" s="37"/>
      <c r="E17" s="37"/>
      <c r="F17" s="127"/>
      <c r="G17" s="39"/>
      <c r="H17" s="40"/>
      <c r="I17" s="40"/>
      <c r="J17" s="69"/>
      <c r="K17" s="40"/>
      <c r="L17" s="70"/>
      <c r="M17" s="71"/>
      <c r="N17" s="71"/>
      <c r="O17" s="71"/>
      <c r="P17" s="71"/>
      <c r="Q17" s="70"/>
      <c r="R17" s="70"/>
      <c r="S17" s="92"/>
      <c r="T17" s="93"/>
      <c r="U17" s="93"/>
      <c r="V17" s="70"/>
      <c r="W17" s="70"/>
      <c r="X17" s="70"/>
      <c r="Y17" s="70"/>
      <c r="Z17" s="70"/>
      <c r="AA17" s="70"/>
      <c r="AB17" s="92"/>
      <c r="AC17" s="92"/>
      <c r="AD17" s="98"/>
      <c r="AE17" s="99"/>
      <c r="AF17" s="100"/>
      <c r="AG17" s="100"/>
      <c r="AH17" s="109"/>
      <c r="AI17" s="108"/>
      <c r="AJ17" s="109"/>
      <c r="AK17" s="109"/>
      <c r="AL17" s="109"/>
      <c r="AM17" s="109"/>
      <c r="AN17" s="109"/>
      <c r="AO17" s="109"/>
      <c r="AP17" s="109"/>
      <c r="AQ17" s="109"/>
      <c r="AR17" s="117"/>
      <c r="AS17" s="117"/>
      <c r="AT17" s="117"/>
    </row>
    <row r="18" s="12" customFormat="1" ht="18" customHeight="1" spans="1:46">
      <c r="A18" s="36"/>
      <c r="B18" s="37"/>
      <c r="C18" s="37"/>
      <c r="D18" s="37"/>
      <c r="E18" s="37"/>
      <c r="F18" s="127"/>
      <c r="G18" s="39"/>
      <c r="H18" s="40"/>
      <c r="I18" s="40"/>
      <c r="J18" s="69"/>
      <c r="K18" s="40"/>
      <c r="L18" s="70"/>
      <c r="M18" s="71"/>
      <c r="N18" s="71"/>
      <c r="O18" s="71"/>
      <c r="P18" s="71"/>
      <c r="Q18" s="70"/>
      <c r="R18" s="70"/>
      <c r="S18" s="92"/>
      <c r="T18" s="93"/>
      <c r="U18" s="93"/>
      <c r="V18" s="70"/>
      <c r="W18" s="70"/>
      <c r="X18" s="70"/>
      <c r="Y18" s="70"/>
      <c r="Z18" s="70"/>
      <c r="AA18" s="70"/>
      <c r="AB18" s="92"/>
      <c r="AC18" s="92"/>
      <c r="AD18" s="98"/>
      <c r="AE18" s="99"/>
      <c r="AF18" s="100"/>
      <c r="AG18" s="100"/>
      <c r="AH18" s="109"/>
      <c r="AI18" s="108"/>
      <c r="AJ18" s="109"/>
      <c r="AK18" s="109"/>
      <c r="AL18" s="109"/>
      <c r="AM18" s="109"/>
      <c r="AN18" s="109"/>
      <c r="AO18" s="109"/>
      <c r="AP18" s="109"/>
      <c r="AQ18" s="109"/>
      <c r="AR18" s="117"/>
      <c r="AS18" s="117"/>
      <c r="AT18" s="117"/>
    </row>
    <row r="19" s="13" customFormat="1" ht="18" customHeight="1" spans="1:46">
      <c r="A19" s="41"/>
      <c r="B19" s="42" t="s">
        <v>189</v>
      </c>
      <c r="C19" s="42"/>
      <c r="D19" s="43"/>
      <c r="E19" s="44"/>
      <c r="F19" s="45"/>
      <c r="G19" s="46"/>
      <c r="H19" s="45"/>
      <c r="I19" s="72"/>
      <c r="J19" s="73"/>
      <c r="K19" s="72"/>
      <c r="L19" s="74">
        <f t="shared" ref="L19:AL19" si="13">SUM(L4:L18)</f>
        <v>122500.7</v>
      </c>
      <c r="M19" s="74">
        <f t="shared" si="13"/>
        <v>4959.05</v>
      </c>
      <c r="N19" s="74">
        <f t="shared" si="13"/>
        <v>1341.92</v>
      </c>
      <c r="O19" s="74">
        <f t="shared" si="13"/>
        <v>258.72</v>
      </c>
      <c r="P19" s="74">
        <f t="shared" si="13"/>
        <v>2232.9</v>
      </c>
      <c r="Q19" s="74">
        <f t="shared" si="13"/>
        <v>8792.59</v>
      </c>
      <c r="R19" s="74">
        <f t="shared" si="13"/>
        <v>0</v>
      </c>
      <c r="S19" s="74">
        <f t="shared" si="13"/>
        <v>122500.7</v>
      </c>
      <c r="T19" s="74">
        <f t="shared" si="13"/>
        <v>65000</v>
      </c>
      <c r="U19" s="74">
        <f t="shared" si="13"/>
        <v>8792.59</v>
      </c>
      <c r="V19" s="74">
        <f t="shared" si="13"/>
        <v>0</v>
      </c>
      <c r="W19" s="74">
        <f t="shared" si="13"/>
        <v>0</v>
      </c>
      <c r="X19" s="74">
        <f t="shared" si="13"/>
        <v>0</v>
      </c>
      <c r="Y19" s="74">
        <f t="shared" si="13"/>
        <v>0</v>
      </c>
      <c r="Z19" s="74">
        <f t="shared" si="13"/>
        <v>0</v>
      </c>
      <c r="AA19" s="74">
        <f t="shared" si="13"/>
        <v>0</v>
      </c>
      <c r="AB19" s="74">
        <f t="shared" si="13"/>
        <v>0</v>
      </c>
      <c r="AC19" s="74">
        <f t="shared" si="13"/>
        <v>0</v>
      </c>
      <c r="AD19" s="74">
        <f t="shared" si="13"/>
        <v>48708.11</v>
      </c>
      <c r="AE19" s="74">
        <f t="shared" si="13"/>
        <v>1497.71</v>
      </c>
      <c r="AF19" s="74">
        <f t="shared" si="13"/>
        <v>0</v>
      </c>
      <c r="AG19" s="74">
        <f t="shared" si="13"/>
        <v>1497.71</v>
      </c>
      <c r="AH19" s="74">
        <f t="shared" si="13"/>
        <v>112210.4</v>
      </c>
      <c r="AI19" s="126">
        <f t="shared" si="13"/>
        <v>0</v>
      </c>
      <c r="AJ19" s="74">
        <f t="shared" si="13"/>
        <v>112210.4</v>
      </c>
      <c r="AK19" s="74">
        <f t="shared" si="13"/>
        <v>0</v>
      </c>
      <c r="AL19" s="74">
        <f t="shared" si="13"/>
        <v>113708.11</v>
      </c>
      <c r="AM19" s="110"/>
      <c r="AN19" s="110"/>
      <c r="AO19" s="110"/>
      <c r="AP19" s="110"/>
      <c r="AQ19" s="110"/>
      <c r="AR19" s="45"/>
      <c r="AS19" s="45"/>
      <c r="AT19" s="118"/>
    </row>
    <row r="22" spans="30:30">
      <c r="AD22" s="101"/>
    </row>
    <row r="23" ht="18.75" customHeight="1" spans="2:30">
      <c r="B23" s="47" t="s">
        <v>133</v>
      </c>
      <c r="C23" s="47" t="s">
        <v>190</v>
      </c>
      <c r="D23" s="47" t="s">
        <v>22</v>
      </c>
      <c r="E23" s="47" t="s">
        <v>23</v>
      </c>
      <c r="AD23" s="10"/>
    </row>
    <row r="24" ht="18.75" customHeight="1" spans="2:5">
      <c r="B24" s="48">
        <f>AJ19</f>
        <v>112210.4</v>
      </c>
      <c r="C24" s="48">
        <f>AG19</f>
        <v>1497.71</v>
      </c>
      <c r="D24" s="48">
        <f>AK19</f>
        <v>0</v>
      </c>
      <c r="E24" s="48">
        <f>B24+C24+D24</f>
        <v>113708.11</v>
      </c>
    </row>
    <row r="25" spans="2:5">
      <c r="B25" s="49"/>
      <c r="C25" s="49"/>
      <c r="D25" s="49"/>
      <c r="E25" s="49"/>
    </row>
    <row r="26" s="14" customFormat="1" spans="1:35">
      <c r="A26" s="51" t="s">
        <v>191</v>
      </c>
      <c r="B26" s="52" t="s">
        <v>192</v>
      </c>
      <c r="C26" s="50"/>
      <c r="D26" s="50"/>
      <c r="E26" s="50"/>
      <c r="G26" s="53"/>
      <c r="J26" s="75"/>
      <c r="M26" s="76"/>
      <c r="AI26" s="112"/>
    </row>
    <row r="27" s="14" customFormat="1" spans="1:35">
      <c r="A27" s="54"/>
      <c r="B27" s="55" t="s">
        <v>193</v>
      </c>
      <c r="C27" s="50"/>
      <c r="D27" s="50"/>
      <c r="E27" s="50"/>
      <c r="G27" s="53"/>
      <c r="J27" s="75"/>
      <c r="M27" s="76"/>
      <c r="AI27" s="112"/>
    </row>
    <row r="28" s="14" customFormat="1" spans="1:35">
      <c r="A28" s="52"/>
      <c r="B28" s="55" t="s">
        <v>194</v>
      </c>
      <c r="C28" s="56"/>
      <c r="D28" s="56"/>
      <c r="E28" s="56"/>
      <c r="F28" s="56"/>
      <c r="G28" s="56"/>
      <c r="H28" s="56"/>
      <c r="I28" s="56"/>
      <c r="J28" s="77"/>
      <c r="K28" s="56"/>
      <c r="L28" s="56"/>
      <c r="M28" s="78"/>
      <c r="N28" s="56"/>
      <c r="O28" s="56"/>
      <c r="P28" s="56"/>
      <c r="AI28" s="112"/>
    </row>
    <row r="29" s="14" customFormat="1" customHeight="1" spans="1:35">
      <c r="A29" s="55"/>
      <c r="B29" s="55" t="s">
        <v>195</v>
      </c>
      <c r="C29" s="57"/>
      <c r="D29" s="57"/>
      <c r="E29" s="57"/>
      <c r="F29" s="57"/>
      <c r="G29" s="57"/>
      <c r="H29" s="57"/>
      <c r="I29" s="79"/>
      <c r="J29" s="80"/>
      <c r="K29" s="79"/>
      <c r="L29" s="79"/>
      <c r="M29" s="81"/>
      <c r="N29" s="79"/>
      <c r="O29" s="79"/>
      <c r="P29" s="79"/>
      <c r="AI29" s="112"/>
    </row>
    <row r="30" s="14" customFormat="1" customHeight="1" spans="1:35">
      <c r="A30" s="55"/>
      <c r="B30" s="55" t="s">
        <v>196</v>
      </c>
      <c r="C30" s="57"/>
      <c r="D30" s="57"/>
      <c r="E30" s="57"/>
      <c r="F30" s="57"/>
      <c r="G30" s="57"/>
      <c r="H30" s="57"/>
      <c r="I30" s="57"/>
      <c r="J30" s="82"/>
      <c r="K30" s="57"/>
      <c r="L30" s="79"/>
      <c r="M30" s="81"/>
      <c r="N30" s="79"/>
      <c r="O30" s="79"/>
      <c r="P30" s="79"/>
      <c r="AI30" s="112"/>
    </row>
    <row r="31" s="14" customFormat="1" customHeight="1" spans="1:35">
      <c r="A31" s="55"/>
      <c r="B31" s="55" t="s">
        <v>197</v>
      </c>
      <c r="C31" s="57"/>
      <c r="D31" s="57"/>
      <c r="E31" s="57"/>
      <c r="F31" s="57"/>
      <c r="G31" s="57"/>
      <c r="H31" s="57"/>
      <c r="I31" s="79"/>
      <c r="J31" s="80"/>
      <c r="K31" s="79"/>
      <c r="L31" s="79"/>
      <c r="M31" s="81"/>
      <c r="N31" s="79"/>
      <c r="O31" s="79"/>
      <c r="P31" s="79"/>
      <c r="AI31" s="112"/>
    </row>
    <row r="33" ht="11.25" customHeight="1" spans="2:2">
      <c r="B33" s="58" t="s">
        <v>198</v>
      </c>
    </row>
    <row r="34" spans="2:2">
      <c r="B34" s="59" t="s">
        <v>199</v>
      </c>
    </row>
    <row r="35" spans="2:2">
      <c r="B35" s="59" t="s">
        <v>200</v>
      </c>
    </row>
  </sheetData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1">
    <cfRule type="duplicateValues" dxfId="4" priority="10" stopIfTrue="1"/>
  </conditionalFormatting>
  <conditionalFormatting sqref="B26:B30">
    <cfRule type="duplicateValues" dxfId="4" priority="13" stopIfTrue="1"/>
  </conditionalFormatting>
  <conditionalFormatting sqref="B34:B35">
    <cfRule type="duplicateValues" dxfId="4" priority="1" stopIfTrue="1"/>
  </conditionalFormatting>
  <conditionalFormatting sqref="C23:C25">
    <cfRule type="duplicateValues" dxfId="4" priority="17" stopIfTrue="1"/>
    <cfRule type="expression" dxfId="5" priority="19" stopIfTrue="1">
      <formula>AND(COUNTIF($B$19:$B$65455,C23)+COUNTIF($B$1:$B$3,C23)&gt;1,NOT(ISBLANK(C23)))</formula>
    </cfRule>
    <cfRule type="expression" dxfId="5" priority="21" stopIfTrue="1">
      <formula>AND(COUNTIF($B$30:$B$65406,C23)+COUNTIF($B$1:$B$29,C23)&gt;1,NOT(ISBLANK(C23)))</formula>
    </cfRule>
    <cfRule type="expression" dxfId="5" priority="23" stopIfTrue="1">
      <formula>AND(COUNTIF($B$19:$B$65444,C23)+COUNTIF($B$1:$B$3,C23)&gt;1,NOT(ISBLANK(C23)))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tabColor rgb="FF00B050"/>
    <pageSetUpPr fitToPage="1"/>
  </sheetPr>
  <dimension ref="A1:AT34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16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2.375" style="17" customWidth="1"/>
    <col min="8" max="8" width="4.63333333333333" style="15" hidden="1" customWidth="1"/>
    <col min="9" max="9" width="5.26666666666667" style="15" hidden="1" customWidth="1"/>
    <col min="10" max="10" width="11.725" style="18" hidden="1" customWidth="1"/>
    <col min="11" max="11" width="5.26666666666667" style="15" hidden="1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3.3666666666667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hidden="1" customWidth="1"/>
    <col min="41" max="41" width="19" style="15" hidden="1" customWidth="1"/>
    <col min="42" max="42" width="12.2666666666667" style="15" hidden="1" customWidth="1"/>
    <col min="43" max="43" width="9" style="15" hidden="1" customWidth="1"/>
    <col min="44" max="44" width="7" style="15" hidden="1" customWidth="1"/>
    <col min="45" max="45" width="6.725" style="15" hidden="1" customWidth="1"/>
    <col min="46" max="46" width="6.09166666666667" style="15" hidden="1" customWidth="1"/>
    <col min="47" max="16384" width="9" style="15"/>
  </cols>
  <sheetData>
    <row r="1" s="10" customFormat="1" ht="29.25" customHeight="1" spans="1:45">
      <c r="A1" s="20" t="s">
        <v>105</v>
      </c>
      <c r="B1" s="21"/>
      <c r="C1" s="22"/>
      <c r="D1" s="23"/>
      <c r="E1" s="24"/>
      <c r="F1" s="24"/>
      <c r="G1" s="25"/>
      <c r="J1" s="60"/>
      <c r="L1" s="61"/>
      <c r="M1" s="62" t="s">
        <v>106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107</v>
      </c>
      <c r="C2" s="28" t="s">
        <v>108</v>
      </c>
      <c r="D2" s="28" t="s">
        <v>109</v>
      </c>
      <c r="E2" s="29" t="s">
        <v>110</v>
      </c>
      <c r="F2" s="30" t="s">
        <v>111</v>
      </c>
      <c r="G2" s="29" t="s">
        <v>112</v>
      </c>
      <c r="H2" s="29" t="s">
        <v>113</v>
      </c>
      <c r="I2" s="29" t="s">
        <v>114</v>
      </c>
      <c r="J2" s="63" t="s">
        <v>115</v>
      </c>
      <c r="K2" s="29" t="s">
        <v>116</v>
      </c>
      <c r="L2" s="29" t="s">
        <v>117</v>
      </c>
      <c r="M2" s="64" t="s">
        <v>118</v>
      </c>
      <c r="N2" s="65"/>
      <c r="O2" s="65"/>
      <c r="P2" s="66"/>
      <c r="Q2" s="30" t="s">
        <v>119</v>
      </c>
      <c r="R2" s="29" t="s">
        <v>120</v>
      </c>
      <c r="S2" s="30" t="s">
        <v>121</v>
      </c>
      <c r="T2" s="84" t="s">
        <v>122</v>
      </c>
      <c r="U2" s="30" t="s">
        <v>123</v>
      </c>
      <c r="V2" s="85" t="s">
        <v>124</v>
      </c>
      <c r="W2" s="86"/>
      <c r="X2" s="86"/>
      <c r="Y2" s="86"/>
      <c r="Z2" s="86"/>
      <c r="AA2" s="94"/>
      <c r="AB2" s="30" t="s">
        <v>125</v>
      </c>
      <c r="AC2" s="30" t="s">
        <v>126</v>
      </c>
      <c r="AD2" s="84" t="s">
        <v>127</v>
      </c>
      <c r="AE2" s="84" t="s">
        <v>128</v>
      </c>
      <c r="AF2" s="84" t="s">
        <v>129</v>
      </c>
      <c r="AG2" s="84" t="s">
        <v>130</v>
      </c>
      <c r="AH2" s="103" t="s">
        <v>131</v>
      </c>
      <c r="AI2" s="104" t="s">
        <v>132</v>
      </c>
      <c r="AJ2" s="103" t="s">
        <v>133</v>
      </c>
      <c r="AK2" s="28" t="s">
        <v>22</v>
      </c>
      <c r="AL2" s="103" t="s">
        <v>134</v>
      </c>
      <c r="AM2" s="29" t="s">
        <v>201</v>
      </c>
      <c r="AN2" s="29" t="s">
        <v>202</v>
      </c>
      <c r="AO2" s="114" t="s">
        <v>203</v>
      </c>
      <c r="AP2" s="29" t="s">
        <v>204</v>
      </c>
      <c r="AQ2" s="29" t="s">
        <v>205</v>
      </c>
      <c r="AR2" s="30" t="s">
        <v>206</v>
      </c>
      <c r="AS2" s="30" t="s">
        <v>207</v>
      </c>
      <c r="AT2" s="30" t="s">
        <v>208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135</v>
      </c>
      <c r="N3" s="68" t="s">
        <v>136</v>
      </c>
      <c r="O3" s="68" t="s">
        <v>137</v>
      </c>
      <c r="P3" s="68" t="s">
        <v>37</v>
      </c>
      <c r="Q3" s="35"/>
      <c r="R3" s="34"/>
      <c r="S3" s="35"/>
      <c r="T3" s="87"/>
      <c r="U3" s="35"/>
      <c r="V3" s="88" t="s">
        <v>138</v>
      </c>
      <c r="W3" s="88" t="s">
        <v>139</v>
      </c>
      <c r="X3" s="88" t="s">
        <v>140</v>
      </c>
      <c r="Y3" s="88" t="s">
        <v>141</v>
      </c>
      <c r="Z3" s="88" t="s">
        <v>142</v>
      </c>
      <c r="AA3" s="88" t="s">
        <v>143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144</v>
      </c>
      <c r="C4" s="37" t="s">
        <v>61</v>
      </c>
      <c r="D4" s="37" t="s">
        <v>145</v>
      </c>
      <c r="E4" s="37" t="s">
        <v>62</v>
      </c>
      <c r="F4" s="38" t="s">
        <v>146</v>
      </c>
      <c r="G4" s="39">
        <v>13944441728</v>
      </c>
      <c r="H4" s="40"/>
      <c r="I4" s="40"/>
      <c r="J4" s="69"/>
      <c r="K4" s="40"/>
      <c r="L4" s="70">
        <v>8000</v>
      </c>
      <c r="M4" s="71">
        <v>344.57</v>
      </c>
      <c r="N4" s="71">
        <v>86.14</v>
      </c>
      <c r="O4" s="71">
        <f>VLOOKUP(C4,[3]Sheet1!$B$2:$F$14,5,0)</f>
        <v>12.92</v>
      </c>
      <c r="P4" s="71">
        <v>177.4</v>
      </c>
      <c r="Q4" s="89">
        <f t="shared" ref="Q4:Q19" si="0">ROUND(SUM(M4:P4),2)</f>
        <v>621.03</v>
      </c>
      <c r="R4" s="70">
        <v>0</v>
      </c>
      <c r="S4" s="90">
        <f>L4+IFERROR(VLOOKUP($E:$E,'（居民）工资表-11月'!$E:$S,15,0),0)</f>
        <v>88000</v>
      </c>
      <c r="T4" s="91">
        <f>5000+IFERROR(VLOOKUP($E:$E,'（居民）工资表-11月'!$E:$T,16,0),0)</f>
        <v>55000</v>
      </c>
      <c r="U4" s="91">
        <f>Q4+IFERROR(VLOOKUP($E:$E,'（居民）工资表-11月'!$E:$U,17,0),0)</f>
        <v>6721.47</v>
      </c>
      <c r="V4" s="70">
        <v>12000</v>
      </c>
      <c r="W4" s="70"/>
      <c r="X4" s="70">
        <v>12000</v>
      </c>
      <c r="Y4" s="70"/>
      <c r="Z4" s="70">
        <v>4800</v>
      </c>
      <c r="AA4" s="70"/>
      <c r="AB4" s="90">
        <f t="shared" ref="AB4:AB19" si="1">ROUND(SUM(V4:AA4),2)</f>
        <v>28800</v>
      </c>
      <c r="AC4" s="90">
        <f>R4+IFERROR(VLOOKUP($E:$E,'（居民）工资表-11月'!$E:$AC,25,0),0)</f>
        <v>0</v>
      </c>
      <c r="AD4" s="95">
        <f t="shared" ref="AD4:AD19" si="2">ROUND(S4-T4-U4-AB4-AC4,2)</f>
        <v>-2521.47</v>
      </c>
      <c r="AE4" s="96">
        <f>ROUND(MAX((AD4)*{0.03;0.1;0.2;0.25;0.3;0.35;0.45}-{0;2520;16920;31920;52920;85920;181920},0),2)</f>
        <v>0</v>
      </c>
      <c r="AF4" s="97">
        <f>IFERROR(VLOOKUP(E:E,'（居民）工资表-11月'!E:AF,28,0)+VLOOKUP(E:E,'（居民）工资表-11月'!E:AG,29,0),0)</f>
        <v>716.99</v>
      </c>
      <c r="AG4" s="97">
        <f t="shared" ref="AG4:AG19" si="3">IF((AE4-AF4)&lt;0,0,AE4-AF4)</f>
        <v>0</v>
      </c>
      <c r="AH4" s="107">
        <f t="shared" ref="AH4:AH19" si="4">ROUND(IF((L4-Q4-AG4)&lt;0,0,(L4-Q4-AG4)),2)</f>
        <v>7378.97</v>
      </c>
      <c r="AI4" s="108"/>
      <c r="AJ4" s="107">
        <f t="shared" ref="AJ4:AJ19" si="5">AH4+AI4</f>
        <v>7378.97</v>
      </c>
      <c r="AK4" s="109"/>
      <c r="AL4" s="107">
        <f t="shared" ref="AL4:AL19" si="6">AJ4+AG4+AK4</f>
        <v>7378.97</v>
      </c>
      <c r="AM4" s="109"/>
      <c r="AN4" s="109"/>
      <c r="AO4" s="109"/>
      <c r="AP4" s="109"/>
      <c r="AQ4" s="109"/>
      <c r="AR4" s="116" t="str">
        <f t="shared" ref="AR4:AR19" si="7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>IF(SUMPRODUCT(N(E$1:E$17=E4))&gt;1,"重复","不")</f>
        <v>不</v>
      </c>
      <c r="AT4" s="116" t="str">
        <f>IF(SUMPRODUCT(N(AO$1:AO$17=AO4))&gt;1,"重复","不")</f>
        <v>重复</v>
      </c>
    </row>
    <row r="5" s="12" customFormat="1" ht="18" customHeight="1" spans="1:46">
      <c r="A5" s="36">
        <v>2</v>
      </c>
      <c r="B5" s="37" t="s">
        <v>144</v>
      </c>
      <c r="C5" s="37" t="s">
        <v>148</v>
      </c>
      <c r="D5" s="37" t="s">
        <v>145</v>
      </c>
      <c r="E5" s="329" t="s">
        <v>149</v>
      </c>
      <c r="F5" s="38" t="s">
        <v>150</v>
      </c>
      <c r="G5" s="39">
        <v>15360550807</v>
      </c>
      <c r="H5" s="40"/>
      <c r="I5" s="40"/>
      <c r="J5" s="69"/>
      <c r="K5" s="40"/>
      <c r="L5" s="70">
        <v>6100</v>
      </c>
      <c r="M5" s="71">
        <v>422.72</v>
      </c>
      <c r="N5" s="71">
        <v>119.92</v>
      </c>
      <c r="O5" s="71">
        <f>VLOOKUP(C5,[3]Sheet1!$B$2:$F$14,5,0)</f>
        <v>4.6</v>
      </c>
      <c r="P5" s="71">
        <v>115</v>
      </c>
      <c r="Q5" s="89">
        <f t="shared" si="0"/>
        <v>662.24</v>
      </c>
      <c r="R5" s="70">
        <v>0</v>
      </c>
      <c r="S5" s="90">
        <f>L5+IFERROR(VLOOKUP($E:$E,'（居民）工资表-11月'!$E:$S,15,0),0)</f>
        <v>66420</v>
      </c>
      <c r="T5" s="91">
        <f>5000+IFERROR(VLOOKUP($E:$E,'（居民）工资表-11月'!$E:$T,16,0),0)</f>
        <v>55000</v>
      </c>
      <c r="U5" s="91">
        <f>Q5+IFERROR(VLOOKUP($E:$E,'（居民）工资表-11月'!$E:$U,17,0),0)</f>
        <v>7454.56</v>
      </c>
      <c r="V5" s="70"/>
      <c r="W5" s="70"/>
      <c r="X5" s="70"/>
      <c r="Y5" s="70"/>
      <c r="Z5" s="70"/>
      <c r="AA5" s="70"/>
      <c r="AB5" s="90">
        <f t="shared" si="1"/>
        <v>0</v>
      </c>
      <c r="AC5" s="90">
        <f>R5+IFERROR(VLOOKUP($E:$E,'（居民）工资表-11月'!$E:$AC,25,0),0)</f>
        <v>0</v>
      </c>
      <c r="AD5" s="95">
        <f t="shared" si="2"/>
        <v>3965.44</v>
      </c>
      <c r="AE5" s="96">
        <f>ROUND(MAX((AD5)*{0.03;0.1;0.2;0.25;0.3;0.35;0.45}-{0;2520;16920;31920;52920;85920;181920},0),2)</f>
        <v>118.96</v>
      </c>
      <c r="AF5" s="97">
        <f>IFERROR(VLOOKUP(E:E,'（居民）工资表-11月'!E:AF,28,0)+VLOOKUP(E:E,'（居民）工资表-11月'!E:AG,29,0),0)</f>
        <v>105.83</v>
      </c>
      <c r="AG5" s="97">
        <f t="shared" si="3"/>
        <v>13.13</v>
      </c>
      <c r="AH5" s="107">
        <f t="shared" si="4"/>
        <v>5424.63</v>
      </c>
      <c r="AI5" s="108"/>
      <c r="AJ5" s="107">
        <f t="shared" si="5"/>
        <v>5424.63</v>
      </c>
      <c r="AK5" s="109"/>
      <c r="AL5" s="107">
        <f t="shared" si="6"/>
        <v>5437.76</v>
      </c>
      <c r="AM5" s="109"/>
      <c r="AN5" s="109"/>
      <c r="AO5" s="109"/>
      <c r="AP5" s="109"/>
      <c r="AQ5" s="109"/>
      <c r="AR5" s="116" t="str">
        <f t="shared" si="7"/>
        <v>正确</v>
      </c>
      <c r="AS5" s="116" t="str">
        <f>IF(SUMPRODUCT(N(E$1:E$17=E5))&gt;1,"重复","不")</f>
        <v>不</v>
      </c>
      <c r="AT5" s="116" t="str">
        <f>IF(SUMPRODUCT(N(AO$1:AO$17=AO5))&gt;1,"重复","不")</f>
        <v>重复</v>
      </c>
    </row>
    <row r="6" s="12" customFormat="1" ht="18" customHeight="1" spans="1:46">
      <c r="A6" s="36">
        <v>3</v>
      </c>
      <c r="B6" s="37" t="s">
        <v>144</v>
      </c>
      <c r="C6" s="37" t="s">
        <v>151</v>
      </c>
      <c r="D6" s="37" t="s">
        <v>145</v>
      </c>
      <c r="E6" s="329" t="s">
        <v>152</v>
      </c>
      <c r="F6" s="38" t="s">
        <v>146</v>
      </c>
      <c r="G6" s="39" t="s">
        <v>153</v>
      </c>
      <c r="H6" s="40"/>
      <c r="I6" s="40"/>
      <c r="J6" s="69"/>
      <c r="K6" s="40"/>
      <c r="L6" s="70">
        <v>30060</v>
      </c>
      <c r="M6" s="71">
        <v>590.72</v>
      </c>
      <c r="N6" s="71">
        <v>147.68</v>
      </c>
      <c r="O6" s="71">
        <f>VLOOKUP(C6,[3]Sheet1!$B$2:$F$14,5,0)</f>
        <v>36.92</v>
      </c>
      <c r="P6" s="71">
        <v>188</v>
      </c>
      <c r="Q6" s="89">
        <f t="shared" si="0"/>
        <v>963.32</v>
      </c>
      <c r="R6" s="70">
        <v>0</v>
      </c>
      <c r="S6" s="90">
        <f>L6+IFERROR(VLOOKUP($E:$E,'（居民）工资表-11月'!$E:$S,15,0),0)</f>
        <v>330660</v>
      </c>
      <c r="T6" s="91">
        <f>5000+IFERROR(VLOOKUP($E:$E,'（居民）工资表-11月'!$E:$T,16,0),0)</f>
        <v>55000</v>
      </c>
      <c r="U6" s="91">
        <f>Q6+IFERROR(VLOOKUP($E:$E,'（居民）工资表-11月'!$E:$U,17,0),0)</f>
        <v>10552.21</v>
      </c>
      <c r="V6" s="70"/>
      <c r="W6" s="70"/>
      <c r="X6" s="70"/>
      <c r="Y6" s="70"/>
      <c r="Z6" s="70"/>
      <c r="AA6" s="70"/>
      <c r="AB6" s="90">
        <f t="shared" si="1"/>
        <v>0</v>
      </c>
      <c r="AC6" s="90">
        <f>R6+IFERROR(VLOOKUP($E:$E,'（居民）工资表-11月'!$E:$AC,25,0),0)</f>
        <v>0</v>
      </c>
      <c r="AD6" s="95">
        <f t="shared" si="2"/>
        <v>265107.79</v>
      </c>
      <c r="AE6" s="96">
        <f>ROUND(MAX((AD6)*{0.03;0.1;0.2;0.25;0.3;0.35;0.45}-{0;2520;16920;31920;52920;85920;181920},0),2)</f>
        <v>36101.56</v>
      </c>
      <c r="AF6" s="97">
        <f>IFERROR(VLOOKUP(E:E,'（居民）工资表-11月'!E:AF,28,0)+VLOOKUP(E:E,'（居民）工资表-11月'!E:AG,29,0),0)</f>
        <v>31282.22</v>
      </c>
      <c r="AG6" s="97">
        <f t="shared" si="3"/>
        <v>4819.34</v>
      </c>
      <c r="AH6" s="107">
        <f t="shared" si="4"/>
        <v>24277.34</v>
      </c>
      <c r="AI6" s="108"/>
      <c r="AJ6" s="107">
        <f t="shared" si="5"/>
        <v>24277.34</v>
      </c>
      <c r="AK6" s="109"/>
      <c r="AL6" s="107">
        <f t="shared" si="6"/>
        <v>29096.68</v>
      </c>
      <c r="AM6" s="109"/>
      <c r="AN6" s="109"/>
      <c r="AO6" s="109"/>
      <c r="AP6" s="109"/>
      <c r="AQ6" s="109"/>
      <c r="AR6" s="116" t="str">
        <f t="shared" si="7"/>
        <v>正确</v>
      </c>
      <c r="AS6" s="116" t="str">
        <f>IF(SUMPRODUCT(N(E$1:E$17=E6))&gt;1,"重复","不")</f>
        <v>不</v>
      </c>
      <c r="AT6" s="116" t="str">
        <f>IF(SUMPRODUCT(N(AO$1:AO$17=AO6))&gt;1,"重复","不")</f>
        <v>重复</v>
      </c>
    </row>
    <row r="7" s="12" customFormat="1" ht="18" customHeight="1" spans="1:46">
      <c r="A7" s="36">
        <v>4</v>
      </c>
      <c r="B7" s="37" t="s">
        <v>144</v>
      </c>
      <c r="C7" s="37" t="s">
        <v>156</v>
      </c>
      <c r="D7" s="37" t="s">
        <v>145</v>
      </c>
      <c r="E7" s="329" t="s">
        <v>157</v>
      </c>
      <c r="F7" s="38" t="s">
        <v>146</v>
      </c>
      <c r="G7" s="39" t="s">
        <v>158</v>
      </c>
      <c r="H7" s="40"/>
      <c r="I7" s="40"/>
      <c r="J7" s="69"/>
      <c r="K7" s="40"/>
      <c r="L7" s="70">
        <v>9000</v>
      </c>
      <c r="M7" s="71">
        <v>338.16</v>
      </c>
      <c r="N7" s="71">
        <v>93.7</v>
      </c>
      <c r="O7" s="71">
        <f>VLOOKUP(C7,[3]Sheet1!$B$2:$F$14,5,0)</f>
        <v>21.14</v>
      </c>
      <c r="P7" s="71">
        <v>97</v>
      </c>
      <c r="Q7" s="89">
        <f t="shared" si="0"/>
        <v>550</v>
      </c>
      <c r="R7" s="70">
        <v>0</v>
      </c>
      <c r="S7" s="90">
        <f>L7+IFERROR(VLOOKUP($E:$E,'（居民）工资表-11月'!$E:$S,15,0),0)</f>
        <v>101000</v>
      </c>
      <c r="T7" s="91">
        <f>5000+IFERROR(VLOOKUP($E:$E,'（居民）工资表-11月'!$E:$T,16,0),0)</f>
        <v>55000</v>
      </c>
      <c r="U7" s="91">
        <f>Q7+IFERROR(VLOOKUP($E:$E,'（居民）工资表-11月'!$E:$U,17,0),0)</f>
        <v>6139.16</v>
      </c>
      <c r="V7" s="70"/>
      <c r="W7" s="70"/>
      <c r="X7" s="70"/>
      <c r="Y7" s="70"/>
      <c r="Z7" s="70"/>
      <c r="AA7" s="70"/>
      <c r="AB7" s="90">
        <f t="shared" si="1"/>
        <v>0</v>
      </c>
      <c r="AC7" s="90">
        <f>R7+IFERROR(VLOOKUP($E:$E,'（居民）工资表-11月'!$E:$AC,25,0),0)</f>
        <v>0</v>
      </c>
      <c r="AD7" s="95">
        <f t="shared" si="2"/>
        <v>39860.84</v>
      </c>
      <c r="AE7" s="96">
        <f>ROUND(MAX((AD7)*{0.03;0.1;0.2;0.25;0.3;0.35;0.45}-{0;2520;16920;31920;52920;85920;181920},0),2)</f>
        <v>1466.08</v>
      </c>
      <c r="AF7" s="97">
        <f>IFERROR(VLOOKUP(E:E,'（居民）工资表-11月'!E:AF,28,0)+VLOOKUP(E:E,'（居民）工资表-11月'!E:AG,29,0),0)</f>
        <v>1121.08</v>
      </c>
      <c r="AG7" s="97">
        <f t="shared" si="3"/>
        <v>345</v>
      </c>
      <c r="AH7" s="107">
        <f t="shared" si="4"/>
        <v>8105</v>
      </c>
      <c r="AI7" s="108"/>
      <c r="AJ7" s="107">
        <f t="shared" si="5"/>
        <v>8105</v>
      </c>
      <c r="AK7" s="109"/>
      <c r="AL7" s="107">
        <f t="shared" si="6"/>
        <v>8450</v>
      </c>
      <c r="AM7" s="109"/>
      <c r="AN7" s="109"/>
      <c r="AO7" s="109"/>
      <c r="AP7" s="109"/>
      <c r="AQ7" s="109"/>
      <c r="AR7" s="116" t="str">
        <f t="shared" si="7"/>
        <v>正确</v>
      </c>
      <c r="AS7" s="116" t="str">
        <f>IF(SUMPRODUCT(N(E$1:E$17=E7))&gt;1,"重复","不")</f>
        <v>不</v>
      </c>
      <c r="AT7" s="116" t="str">
        <f>IF(SUMPRODUCT(N(AO$1:AO$17=AO7))&gt;1,"重复","不")</f>
        <v>重复</v>
      </c>
    </row>
    <row r="8" s="12" customFormat="1" ht="18" customHeight="1" spans="1:46">
      <c r="A8" s="36">
        <v>5</v>
      </c>
      <c r="B8" s="37" t="s">
        <v>144</v>
      </c>
      <c r="C8" s="37" t="s">
        <v>160</v>
      </c>
      <c r="D8" s="37" t="s">
        <v>145</v>
      </c>
      <c r="E8" s="329" t="s">
        <v>161</v>
      </c>
      <c r="F8" s="38" t="s">
        <v>146</v>
      </c>
      <c r="G8" s="39">
        <v>19356875630</v>
      </c>
      <c r="H8" s="40"/>
      <c r="I8" s="40"/>
      <c r="J8" s="69"/>
      <c r="K8" s="40"/>
      <c r="L8" s="70">
        <v>10500</v>
      </c>
      <c r="M8" s="71">
        <v>338.16</v>
      </c>
      <c r="N8" s="71">
        <v>90.54</v>
      </c>
      <c r="O8" s="71">
        <f>VLOOKUP(C8,[3]Sheet1!$B$2:$F$14,5,0)</f>
        <v>21.14</v>
      </c>
      <c r="P8" s="71">
        <v>344</v>
      </c>
      <c r="Q8" s="89">
        <f t="shared" si="0"/>
        <v>793.84</v>
      </c>
      <c r="R8" s="70">
        <v>0</v>
      </c>
      <c r="S8" s="90">
        <f>L8+IFERROR(VLOOKUP($E:$E,'（居民）工资表-11月'!$E:$S,15,0),0)</f>
        <v>118500</v>
      </c>
      <c r="T8" s="91">
        <f>5000+IFERROR(VLOOKUP($E:$E,'（居民）工资表-11月'!$E:$T,16,0),0)</f>
        <v>55000</v>
      </c>
      <c r="U8" s="91">
        <f>Q8+IFERROR(VLOOKUP($E:$E,'（居民）工资表-11月'!$E:$U,17,0),0)</f>
        <v>8819.6</v>
      </c>
      <c r="V8" s="70"/>
      <c r="W8" s="70"/>
      <c r="X8" s="70"/>
      <c r="Y8" s="70"/>
      <c r="Z8" s="70"/>
      <c r="AA8" s="70"/>
      <c r="AB8" s="90">
        <f t="shared" si="1"/>
        <v>0</v>
      </c>
      <c r="AC8" s="90">
        <f>R8+IFERROR(VLOOKUP($E:$E,'（居民）工资表-11月'!$E:$AC,25,0),0)</f>
        <v>0</v>
      </c>
      <c r="AD8" s="95">
        <f t="shared" si="2"/>
        <v>54680.4</v>
      </c>
      <c r="AE8" s="96">
        <f>ROUND(MAX((AD8)*{0.03;0.1;0.2;0.25;0.3;0.35;0.45}-{0;2520;16920;31920;52920;85920;181920},0),2)</f>
        <v>2948.04</v>
      </c>
      <c r="AF8" s="97">
        <f>IFERROR(VLOOKUP(E:E,'（居民）工资表-11月'!E:AF,28,0)+VLOOKUP(E:E,'（居民）工资表-11月'!E:AG,29,0),0)</f>
        <v>2477.42</v>
      </c>
      <c r="AG8" s="97">
        <f t="shared" si="3"/>
        <v>470.62</v>
      </c>
      <c r="AH8" s="107">
        <f t="shared" si="4"/>
        <v>9235.54</v>
      </c>
      <c r="AI8" s="108"/>
      <c r="AJ8" s="107">
        <f t="shared" si="5"/>
        <v>9235.54</v>
      </c>
      <c r="AK8" s="109"/>
      <c r="AL8" s="107">
        <f t="shared" si="6"/>
        <v>9706.16</v>
      </c>
      <c r="AM8" s="109"/>
      <c r="AN8" s="109"/>
      <c r="AO8" s="109"/>
      <c r="AP8" s="109"/>
      <c r="AQ8" s="109"/>
      <c r="AR8" s="116" t="str">
        <f t="shared" si="7"/>
        <v>正确</v>
      </c>
      <c r="AS8" s="116" t="str">
        <f>IF(SUMPRODUCT(N(E$1:E$17=E8))&gt;1,"重复","不")</f>
        <v>不</v>
      </c>
      <c r="AT8" s="116" t="str">
        <f>IF(SUMPRODUCT(N(AO$1:AO$17=AO8))&gt;1,"重复","不")</f>
        <v>重复</v>
      </c>
    </row>
    <row r="9" s="12" customFormat="1" ht="18" customHeight="1" spans="1:46">
      <c r="A9" s="36">
        <v>6</v>
      </c>
      <c r="B9" s="37" t="s">
        <v>144</v>
      </c>
      <c r="C9" s="37" t="s">
        <v>162</v>
      </c>
      <c r="D9" s="37" t="s">
        <v>145</v>
      </c>
      <c r="E9" s="329" t="s">
        <v>163</v>
      </c>
      <c r="F9" s="38" t="s">
        <v>146</v>
      </c>
      <c r="G9" s="39">
        <v>13973652684</v>
      </c>
      <c r="H9" s="40"/>
      <c r="I9" s="40"/>
      <c r="J9" s="69"/>
      <c r="K9" s="40"/>
      <c r="L9" s="70">
        <v>6500</v>
      </c>
      <c r="M9" s="71">
        <v>322.16</v>
      </c>
      <c r="N9" s="71">
        <v>95.54</v>
      </c>
      <c r="O9" s="71">
        <f>VLOOKUP(C9,[3]Sheet1!$B$2:$F$14,5,0)</f>
        <v>12.08</v>
      </c>
      <c r="P9" s="71">
        <v>100</v>
      </c>
      <c r="Q9" s="89">
        <f t="shared" si="0"/>
        <v>529.78</v>
      </c>
      <c r="R9" s="70">
        <v>0</v>
      </c>
      <c r="S9" s="90">
        <f>L9+IFERROR(VLOOKUP($E:$E,'（居民）工资表-11月'!$E:$S,15,0),0)</f>
        <v>71500</v>
      </c>
      <c r="T9" s="91">
        <f>5000+IFERROR(VLOOKUP($E:$E,'（居民）工资表-11月'!$E:$T,16,0),0)</f>
        <v>55000</v>
      </c>
      <c r="U9" s="91">
        <f>Q9+IFERROR(VLOOKUP($E:$E,'（居民）工资表-11月'!$E:$U,17,0),0)</f>
        <v>5891.69</v>
      </c>
      <c r="V9" s="70"/>
      <c r="W9" s="70"/>
      <c r="X9" s="70"/>
      <c r="Y9" s="70"/>
      <c r="Z9" s="70"/>
      <c r="AA9" s="70"/>
      <c r="AB9" s="90">
        <f t="shared" si="1"/>
        <v>0</v>
      </c>
      <c r="AC9" s="90">
        <f>R9+IFERROR(VLOOKUP($E:$E,'（居民）工资表-11月'!$E:$AC,25,0),0)</f>
        <v>0</v>
      </c>
      <c r="AD9" s="95">
        <f t="shared" si="2"/>
        <v>10608.31</v>
      </c>
      <c r="AE9" s="96">
        <f>ROUND(MAX((AD9)*{0.03;0.1;0.2;0.25;0.3;0.35;0.45}-{0;2520;16920;31920;52920;85920;181920},0),2)</f>
        <v>318.25</v>
      </c>
      <c r="AF9" s="97">
        <f>IFERROR(VLOOKUP(E:E,'（居民）工资表-11月'!E:AF,28,0)+VLOOKUP(E:E,'（居民）工资表-11月'!E:AG,29,0),0)</f>
        <v>289.14</v>
      </c>
      <c r="AG9" s="97">
        <f t="shared" si="3"/>
        <v>29.11</v>
      </c>
      <c r="AH9" s="107">
        <f t="shared" si="4"/>
        <v>5941.11</v>
      </c>
      <c r="AI9" s="108"/>
      <c r="AJ9" s="107">
        <f t="shared" si="5"/>
        <v>5941.11</v>
      </c>
      <c r="AK9" s="109"/>
      <c r="AL9" s="107">
        <f t="shared" si="6"/>
        <v>5970.22</v>
      </c>
      <c r="AM9" s="109"/>
      <c r="AN9" s="109"/>
      <c r="AO9" s="109"/>
      <c r="AP9" s="109"/>
      <c r="AQ9" s="109"/>
      <c r="AR9" s="116" t="str">
        <f t="shared" si="7"/>
        <v>正确</v>
      </c>
      <c r="AS9" s="116" t="str">
        <f>IF(SUMPRODUCT(N(E$1:E$17=E9))&gt;1,"重复","不")</f>
        <v>不</v>
      </c>
      <c r="AT9" s="116" t="str">
        <f>IF(SUMPRODUCT(N(AO$1:AO$17=AO9))&gt;1,"重复","不")</f>
        <v>重复</v>
      </c>
    </row>
    <row r="10" s="12" customFormat="1" ht="18" customHeight="1" spans="1:46">
      <c r="A10" s="36">
        <v>7</v>
      </c>
      <c r="B10" s="37" t="s">
        <v>144</v>
      </c>
      <c r="C10" s="37" t="s">
        <v>165</v>
      </c>
      <c r="D10" s="37" t="s">
        <v>145</v>
      </c>
      <c r="E10" s="329" t="s">
        <v>166</v>
      </c>
      <c r="F10" s="38" t="s">
        <v>150</v>
      </c>
      <c r="G10" s="39" t="s">
        <v>167</v>
      </c>
      <c r="H10" s="40"/>
      <c r="I10" s="40"/>
      <c r="J10" s="69"/>
      <c r="K10" s="40"/>
      <c r="L10" s="70">
        <v>4447.97</v>
      </c>
      <c r="M10" s="71">
        <v>401.04</v>
      </c>
      <c r="N10" s="71">
        <v>122.26</v>
      </c>
      <c r="O10" s="71">
        <f>VLOOKUP(C10,[3]Sheet1!$B$2:$F$14,5,0)</f>
        <v>25.07</v>
      </c>
      <c r="P10" s="71">
        <v>116</v>
      </c>
      <c r="Q10" s="89">
        <f t="shared" si="0"/>
        <v>664.37</v>
      </c>
      <c r="R10" s="70">
        <v>0</v>
      </c>
      <c r="S10" s="90">
        <f>L10+IFERROR(VLOOKUP($E:$E,'（居民）工资表-11月'!$E:$S,15,0),0)</f>
        <v>49182.01</v>
      </c>
      <c r="T10" s="91">
        <f>5000+IFERROR(VLOOKUP($E:$E,'（居民）工资表-11月'!$E:$T,16,0),0)</f>
        <v>55000</v>
      </c>
      <c r="U10" s="91">
        <f>Q10+IFERROR(VLOOKUP($E:$E,'（居民）工资表-11月'!$E:$U,17,0),0)</f>
        <v>7177.03</v>
      </c>
      <c r="V10" s="70"/>
      <c r="W10" s="70"/>
      <c r="X10" s="70"/>
      <c r="Y10" s="70"/>
      <c r="Z10" s="70"/>
      <c r="AA10" s="70"/>
      <c r="AB10" s="90">
        <f t="shared" si="1"/>
        <v>0</v>
      </c>
      <c r="AC10" s="90">
        <f>R10+IFERROR(VLOOKUP($E:$E,'（居民）工资表-11月'!$E:$AC,25,0),0)</f>
        <v>0</v>
      </c>
      <c r="AD10" s="95">
        <f t="shared" si="2"/>
        <v>-12995.02</v>
      </c>
      <c r="AE10" s="96">
        <f>ROUND(MAX((AD10)*{0.03;0.1;0.2;0.25;0.3;0.35;0.45}-{0;2520;16920;31920;52920;85920;181920},0),2)</f>
        <v>0</v>
      </c>
      <c r="AF10" s="97">
        <f>IFERROR(VLOOKUP(E:E,'（居民）工资表-11月'!E:AF,28,0)+VLOOKUP(E:E,'（居民）工资表-11月'!E:AG,29,0),0)</f>
        <v>0</v>
      </c>
      <c r="AG10" s="97">
        <f t="shared" si="3"/>
        <v>0</v>
      </c>
      <c r="AH10" s="107">
        <f t="shared" si="4"/>
        <v>3783.6</v>
      </c>
      <c r="AI10" s="108"/>
      <c r="AJ10" s="107">
        <f t="shared" si="5"/>
        <v>3783.6</v>
      </c>
      <c r="AK10" s="109"/>
      <c r="AL10" s="107">
        <f t="shared" si="6"/>
        <v>3783.6</v>
      </c>
      <c r="AM10" s="109"/>
      <c r="AN10" s="109"/>
      <c r="AO10" s="109"/>
      <c r="AP10" s="109"/>
      <c r="AQ10" s="109"/>
      <c r="AR10" s="116" t="str">
        <f t="shared" si="7"/>
        <v>正确</v>
      </c>
      <c r="AS10" s="116" t="str">
        <f>IF(SUMPRODUCT(N(E$1:E$17=E10))&gt;1,"重复","不")</f>
        <v>不</v>
      </c>
      <c r="AT10" s="116" t="str">
        <f>IF(SUMPRODUCT(N(AO$1:AO$17=AO10))&gt;1,"重复","不")</f>
        <v>重复</v>
      </c>
    </row>
    <row r="11" s="12" customFormat="1" ht="18" customHeight="1" spans="1:46">
      <c r="A11" s="36">
        <v>8</v>
      </c>
      <c r="B11" s="37" t="s">
        <v>144</v>
      </c>
      <c r="C11" s="37" t="s">
        <v>170</v>
      </c>
      <c r="D11" s="37" t="s">
        <v>145</v>
      </c>
      <c r="E11" s="329" t="s">
        <v>171</v>
      </c>
      <c r="F11" s="38" t="s">
        <v>146</v>
      </c>
      <c r="G11" s="39">
        <v>18356553626</v>
      </c>
      <c r="H11" s="40"/>
      <c r="I11" s="40"/>
      <c r="J11" s="69"/>
      <c r="K11" s="40"/>
      <c r="L11" s="70">
        <v>9000</v>
      </c>
      <c r="M11" s="71">
        <v>338.16</v>
      </c>
      <c r="N11" s="71">
        <v>124.54</v>
      </c>
      <c r="O11" s="71">
        <f>VLOOKUP(C11,[3]Sheet1!$B$2:$F$14,5,0)</f>
        <v>21.14</v>
      </c>
      <c r="P11" s="71">
        <v>97</v>
      </c>
      <c r="Q11" s="89">
        <f t="shared" si="0"/>
        <v>580.84</v>
      </c>
      <c r="R11" s="70">
        <v>0</v>
      </c>
      <c r="S11" s="90">
        <f>L11+IFERROR(VLOOKUP($E:$E,'（居民）工资表-11月'!$E:$S,15,0),0)</f>
        <v>98000</v>
      </c>
      <c r="T11" s="91">
        <f>5000+IFERROR(VLOOKUP($E:$E,'（居民）工资表-11月'!$E:$T,16,0),0)</f>
        <v>55000</v>
      </c>
      <c r="U11" s="91">
        <f>Q11+IFERROR(VLOOKUP($E:$E,'（居民）工资表-11月'!$E:$U,17,0),0)</f>
        <v>6476.6</v>
      </c>
      <c r="V11" s="70"/>
      <c r="W11" s="70"/>
      <c r="X11" s="70"/>
      <c r="Y11" s="70"/>
      <c r="Z11" s="70"/>
      <c r="AA11" s="70"/>
      <c r="AB11" s="90">
        <f t="shared" si="1"/>
        <v>0</v>
      </c>
      <c r="AC11" s="90">
        <f>R11+IFERROR(VLOOKUP($E:$E,'（居民）工资表-11月'!$E:$AC,25,0),0)</f>
        <v>0</v>
      </c>
      <c r="AD11" s="95">
        <f t="shared" si="2"/>
        <v>36523.4</v>
      </c>
      <c r="AE11" s="96">
        <f>ROUND(MAX((AD11)*{0.03;0.1;0.2;0.25;0.3;0.35;0.45}-{0;2520;16920;31920;52920;85920;181920},0),2)</f>
        <v>1132.34</v>
      </c>
      <c r="AF11" s="97">
        <f>IFERROR(VLOOKUP(E:E,'（居民）工资表-11月'!E:AF,28,0)+VLOOKUP(E:E,'（居民）工资表-11月'!E:AG,29,0),0)</f>
        <v>993.13</v>
      </c>
      <c r="AG11" s="97">
        <f t="shared" si="3"/>
        <v>139.21</v>
      </c>
      <c r="AH11" s="107">
        <f t="shared" si="4"/>
        <v>8279.95</v>
      </c>
      <c r="AI11" s="108"/>
      <c r="AJ11" s="107">
        <f t="shared" si="5"/>
        <v>8279.95</v>
      </c>
      <c r="AK11" s="109"/>
      <c r="AL11" s="107">
        <f t="shared" si="6"/>
        <v>8419.16</v>
      </c>
      <c r="AM11" s="109"/>
      <c r="AN11" s="109"/>
      <c r="AO11" s="109"/>
      <c r="AP11" s="109"/>
      <c r="AQ11" s="109"/>
      <c r="AR11" s="116" t="str">
        <f t="shared" si="7"/>
        <v>正确</v>
      </c>
      <c r="AS11" s="116" t="str">
        <f>IF(SUMPRODUCT(N(E$1:E$17=E11))&gt;1,"重复","不")</f>
        <v>不</v>
      </c>
      <c r="AT11" s="116" t="str">
        <f>IF(SUMPRODUCT(N(AO$1:AO$17=AO11))&gt;1,"重复","不")</f>
        <v>重复</v>
      </c>
    </row>
    <row r="12" s="12" customFormat="1" ht="18" customHeight="1" spans="1:46">
      <c r="A12" s="36">
        <v>9</v>
      </c>
      <c r="B12" s="37" t="s">
        <v>144</v>
      </c>
      <c r="C12" s="37" t="s">
        <v>174</v>
      </c>
      <c r="D12" s="37" t="s">
        <v>145</v>
      </c>
      <c r="E12" s="329" t="s">
        <v>175</v>
      </c>
      <c r="F12" s="38" t="s">
        <v>146</v>
      </c>
      <c r="G12" s="39">
        <v>18326897140</v>
      </c>
      <c r="H12" s="40"/>
      <c r="I12" s="40"/>
      <c r="J12" s="69"/>
      <c r="K12" s="40"/>
      <c r="L12" s="70">
        <v>7500</v>
      </c>
      <c r="M12" s="71">
        <v>338.16</v>
      </c>
      <c r="N12" s="71">
        <v>90.54</v>
      </c>
      <c r="O12" s="71">
        <f>VLOOKUP(C12,[3]Sheet1!$B$2:$F$14,5,0)</f>
        <v>21.14</v>
      </c>
      <c r="P12" s="71">
        <v>344</v>
      </c>
      <c r="Q12" s="89">
        <f t="shared" si="0"/>
        <v>793.84</v>
      </c>
      <c r="R12" s="70">
        <v>0</v>
      </c>
      <c r="S12" s="90">
        <f>L12+IFERROR(VLOOKUP($E:$E,'（居民）工资表-11月'!$E:$S,15,0),0)</f>
        <v>81500</v>
      </c>
      <c r="T12" s="91">
        <f>5000+IFERROR(VLOOKUP($E:$E,'（居民）工资表-11月'!$E:$T,16,0),0)</f>
        <v>55000</v>
      </c>
      <c r="U12" s="91">
        <f>Q12+IFERROR(VLOOKUP($E:$E,'（居民）工资表-11月'!$E:$U,17,0),0)</f>
        <v>8819.6</v>
      </c>
      <c r="V12" s="70"/>
      <c r="W12" s="70"/>
      <c r="X12" s="70"/>
      <c r="Y12" s="70"/>
      <c r="Z12" s="70"/>
      <c r="AA12" s="70"/>
      <c r="AB12" s="90">
        <f t="shared" si="1"/>
        <v>0</v>
      </c>
      <c r="AC12" s="90">
        <f>R12+IFERROR(VLOOKUP($E:$E,'（居民）工资表-11月'!$E:$AC,25,0),0)</f>
        <v>0</v>
      </c>
      <c r="AD12" s="95">
        <f t="shared" si="2"/>
        <v>17680.4</v>
      </c>
      <c r="AE12" s="96">
        <f>ROUND(MAX((AD12)*{0.03;0.1;0.2;0.25;0.3;0.35;0.45}-{0;2520;16920;31920;52920;85920;181920},0),2)</f>
        <v>530.41</v>
      </c>
      <c r="AF12" s="97">
        <f>IFERROR(VLOOKUP(E:E,'（居民）工资表-11月'!E:AF,28,0)+VLOOKUP(E:E,'（居民）工资表-11月'!E:AG,29,0),0)</f>
        <v>479.23</v>
      </c>
      <c r="AG12" s="97">
        <f t="shared" si="3"/>
        <v>51.1799999999999</v>
      </c>
      <c r="AH12" s="107">
        <f t="shared" si="4"/>
        <v>6654.98</v>
      </c>
      <c r="AI12" s="108"/>
      <c r="AJ12" s="107">
        <f t="shared" si="5"/>
        <v>6654.98</v>
      </c>
      <c r="AK12" s="109"/>
      <c r="AL12" s="107">
        <f t="shared" si="6"/>
        <v>6706.16</v>
      </c>
      <c r="AM12" s="109"/>
      <c r="AN12" s="109"/>
      <c r="AO12" s="109"/>
      <c r="AP12" s="109"/>
      <c r="AQ12" s="109"/>
      <c r="AR12" s="116" t="str">
        <f t="shared" si="7"/>
        <v>正确</v>
      </c>
      <c r="AS12" s="116" t="str">
        <f>IF(SUMPRODUCT(N(E$1:E$17=E12))&gt;1,"重复","不")</f>
        <v>不</v>
      </c>
      <c r="AT12" s="116" t="str">
        <f>IF(SUMPRODUCT(N(AO$1:AO$17=AO12))&gt;1,"重复","不")</f>
        <v>重复</v>
      </c>
    </row>
    <row r="13" s="12" customFormat="1" ht="18" customHeight="1" spans="1:46">
      <c r="A13" s="36">
        <v>10</v>
      </c>
      <c r="B13" s="37" t="s">
        <v>144</v>
      </c>
      <c r="C13" s="37" t="s">
        <v>176</v>
      </c>
      <c r="D13" s="37" t="s">
        <v>145</v>
      </c>
      <c r="E13" s="329" t="s">
        <v>177</v>
      </c>
      <c r="F13" s="38" t="s">
        <v>146</v>
      </c>
      <c r="G13" s="39">
        <v>17201857014</v>
      </c>
      <c r="H13" s="40"/>
      <c r="I13" s="40"/>
      <c r="J13" s="69"/>
      <c r="K13" s="40"/>
      <c r="L13" s="70">
        <v>8000</v>
      </c>
      <c r="M13" s="71">
        <v>338.16</v>
      </c>
      <c r="N13" s="71">
        <v>90.54</v>
      </c>
      <c r="O13" s="71">
        <f>VLOOKUP(C13,[3]Sheet1!$B$2:$F$14,5,0)</f>
        <v>21.14</v>
      </c>
      <c r="P13" s="71">
        <v>344</v>
      </c>
      <c r="Q13" s="89">
        <f t="shared" si="0"/>
        <v>793.84</v>
      </c>
      <c r="R13" s="70">
        <v>0</v>
      </c>
      <c r="S13" s="90">
        <f>L13+IFERROR(VLOOKUP($E:$E,'（居民）工资表-11月'!$E:$S,15,0),0)</f>
        <v>86000</v>
      </c>
      <c r="T13" s="91">
        <f>5000+IFERROR(VLOOKUP($E:$E,'（居民）工资表-11月'!$E:$T,16,0),0)</f>
        <v>55000</v>
      </c>
      <c r="U13" s="91">
        <f>Q13+IFERROR(VLOOKUP($E:$E,'（居民）工资表-11月'!$E:$U,17,0),0)</f>
        <v>8829.3</v>
      </c>
      <c r="V13" s="70"/>
      <c r="W13" s="70"/>
      <c r="X13" s="70"/>
      <c r="Y13" s="70"/>
      <c r="Z13" s="70"/>
      <c r="AA13" s="70"/>
      <c r="AB13" s="90">
        <f t="shared" si="1"/>
        <v>0</v>
      </c>
      <c r="AC13" s="90">
        <f>R13+IFERROR(VLOOKUP($E:$E,'（居民）工资表-11月'!$E:$AC,25,0),0)</f>
        <v>0</v>
      </c>
      <c r="AD13" s="95">
        <f t="shared" si="2"/>
        <v>22170.7</v>
      </c>
      <c r="AE13" s="96">
        <f>ROUND(MAX((AD13)*{0.03;0.1;0.2;0.25;0.3;0.35;0.45}-{0;2520;16920;31920;52920;85920;181920},0),2)</f>
        <v>665.12</v>
      </c>
      <c r="AF13" s="97">
        <f>IFERROR(VLOOKUP(E:E,'（居民）工资表-11月'!E:AF,28,0)+VLOOKUP(E:E,'（居民）工资表-11月'!E:AG,29,0),0)</f>
        <v>598.94</v>
      </c>
      <c r="AG13" s="97">
        <f t="shared" si="3"/>
        <v>66.1799999999999</v>
      </c>
      <c r="AH13" s="107">
        <f t="shared" si="4"/>
        <v>7139.98</v>
      </c>
      <c r="AI13" s="108"/>
      <c r="AJ13" s="107">
        <f t="shared" si="5"/>
        <v>7139.98</v>
      </c>
      <c r="AK13" s="109"/>
      <c r="AL13" s="107">
        <f t="shared" si="6"/>
        <v>7206.16</v>
      </c>
      <c r="AM13" s="109"/>
      <c r="AN13" s="109"/>
      <c r="AO13" s="109"/>
      <c r="AP13" s="109"/>
      <c r="AQ13" s="109"/>
      <c r="AR13" s="116" t="str">
        <f t="shared" si="7"/>
        <v>正确</v>
      </c>
      <c r="AS13" s="116" t="str">
        <f>IF(SUMPRODUCT(N(E$1:E$17=E13))&gt;1,"重复","不")</f>
        <v>不</v>
      </c>
      <c r="AT13" s="116" t="str">
        <f>IF(SUMPRODUCT(N(AO$1:AO$17=AO13))&gt;1,"重复","不")</f>
        <v>重复</v>
      </c>
    </row>
    <row r="14" s="12" customFormat="1" ht="18" customHeight="1" spans="1:46">
      <c r="A14" s="36">
        <v>11</v>
      </c>
      <c r="B14" s="37" t="s">
        <v>144</v>
      </c>
      <c r="C14" s="37" t="s">
        <v>183</v>
      </c>
      <c r="D14" s="37" t="s">
        <v>145</v>
      </c>
      <c r="E14" s="329" t="s">
        <v>184</v>
      </c>
      <c r="F14" s="38" t="s">
        <v>150</v>
      </c>
      <c r="G14" s="39"/>
      <c r="H14" s="40"/>
      <c r="I14" s="40"/>
      <c r="J14" s="69"/>
      <c r="K14" s="40"/>
      <c r="L14" s="70">
        <v>6000</v>
      </c>
      <c r="M14" s="71">
        <v>338.16</v>
      </c>
      <c r="N14" s="71">
        <v>84.54</v>
      </c>
      <c r="O14" s="71">
        <f>VLOOKUP(C14,[3]Sheet1!$B$2:$F$14,5,0)</f>
        <v>21.14</v>
      </c>
      <c r="P14" s="71">
        <v>103</v>
      </c>
      <c r="Q14" s="89">
        <f t="shared" si="0"/>
        <v>546.84</v>
      </c>
      <c r="R14" s="70">
        <v>0</v>
      </c>
      <c r="S14" s="90">
        <f>L14+IFERROR(VLOOKUP($E:$E,'（居民）工资表-11月'!$E:$S,15,0),0)</f>
        <v>66000</v>
      </c>
      <c r="T14" s="91">
        <f>5000+IFERROR(VLOOKUP($E:$E,'（居民）工资表-11月'!$E:$T,16,0),0)</f>
        <v>55000</v>
      </c>
      <c r="U14" s="91">
        <f>Q14+IFERROR(VLOOKUP($E:$E,'（居民）工资表-11月'!$E:$U,17,0),0)</f>
        <v>6102.6</v>
      </c>
      <c r="V14" s="70"/>
      <c r="W14" s="70"/>
      <c r="X14" s="70"/>
      <c r="Y14" s="70"/>
      <c r="Z14" s="70"/>
      <c r="AA14" s="70"/>
      <c r="AB14" s="90">
        <f t="shared" si="1"/>
        <v>0</v>
      </c>
      <c r="AC14" s="90">
        <f>R14+IFERROR(VLOOKUP($E:$E,'（居民）工资表-11月'!$E:$AC,25,0),0)</f>
        <v>0</v>
      </c>
      <c r="AD14" s="95">
        <f t="shared" si="2"/>
        <v>4897.4</v>
      </c>
      <c r="AE14" s="96">
        <f>ROUND(MAX((AD14)*{0.03;0.1;0.2;0.25;0.3;0.35;0.45}-{0;2520;16920;31920;52920;85920;181920},0),2)</f>
        <v>146.92</v>
      </c>
      <c r="AF14" s="97">
        <f>IFERROR(VLOOKUP(E:E,'（居民）工资表-11月'!E:AF,28,0)+VLOOKUP(E:E,'（居民）工资表-11月'!E:AG,29,0),0)</f>
        <v>133.33</v>
      </c>
      <c r="AG14" s="97">
        <f t="shared" si="3"/>
        <v>13.59</v>
      </c>
      <c r="AH14" s="107">
        <f t="shared" si="4"/>
        <v>5439.57</v>
      </c>
      <c r="AI14" s="108"/>
      <c r="AJ14" s="107">
        <f t="shared" si="5"/>
        <v>5439.57</v>
      </c>
      <c r="AK14" s="109"/>
      <c r="AL14" s="107">
        <f t="shared" si="6"/>
        <v>5453.16</v>
      </c>
      <c r="AM14" s="109"/>
      <c r="AN14" s="109"/>
      <c r="AO14" s="109"/>
      <c r="AP14" s="109"/>
      <c r="AQ14" s="109"/>
      <c r="AR14" s="116" t="str">
        <f t="shared" si="7"/>
        <v>正确</v>
      </c>
      <c r="AS14" s="116" t="str">
        <f>IF(SUMPRODUCT(N(E$1:E$17=E14))&gt;1,"重复","不")</f>
        <v>不</v>
      </c>
      <c r="AT14" s="116" t="str">
        <f>IF(SUMPRODUCT(N(AO$1:AO$17=AO14))&gt;1,"重复","不")</f>
        <v>重复</v>
      </c>
    </row>
    <row r="15" s="12" customFormat="1" ht="18" customHeight="1" spans="1:46">
      <c r="A15" s="36">
        <v>12</v>
      </c>
      <c r="B15" s="37" t="s">
        <v>144</v>
      </c>
      <c r="C15" s="37" t="s">
        <v>185</v>
      </c>
      <c r="D15" s="37" t="s">
        <v>145</v>
      </c>
      <c r="E15" s="329" t="s">
        <v>186</v>
      </c>
      <c r="F15" s="38" t="s">
        <v>146</v>
      </c>
      <c r="G15" s="39">
        <v>15056587375</v>
      </c>
      <c r="H15" s="40"/>
      <c r="I15" s="40"/>
      <c r="J15" s="69"/>
      <c r="K15" s="40"/>
      <c r="L15" s="70">
        <v>10000</v>
      </c>
      <c r="M15" s="71">
        <v>338.16</v>
      </c>
      <c r="N15" s="71">
        <v>93.7</v>
      </c>
      <c r="O15" s="71">
        <f>VLOOKUP(C15,[3]Sheet1!$B$2:$F$14,5,0)</f>
        <v>21.14</v>
      </c>
      <c r="P15" s="71">
        <v>97</v>
      </c>
      <c r="Q15" s="89">
        <f t="shared" si="0"/>
        <v>550</v>
      </c>
      <c r="R15" s="70">
        <v>0</v>
      </c>
      <c r="S15" s="90">
        <f>L15+IFERROR(VLOOKUP($E:$E,'（居民）工资表-11月'!$E:$S,15,0),0)</f>
        <v>110000</v>
      </c>
      <c r="T15" s="91">
        <f>5000+IFERROR(VLOOKUP($E:$E,'（居民）工资表-11月'!$E:$T,16,0),0)</f>
        <v>55000</v>
      </c>
      <c r="U15" s="91">
        <f>Q15+IFERROR(VLOOKUP($E:$E,'（居民）工资表-11月'!$E:$U,17,0),0)</f>
        <v>6139.16</v>
      </c>
      <c r="V15" s="70"/>
      <c r="W15" s="70"/>
      <c r="X15" s="70"/>
      <c r="Y15" s="70"/>
      <c r="Z15" s="70"/>
      <c r="AA15" s="70"/>
      <c r="AB15" s="90">
        <f t="shared" si="1"/>
        <v>0</v>
      </c>
      <c r="AC15" s="90">
        <f>R15+IFERROR(VLOOKUP($E:$E,'（居民）工资表-11月'!$E:$AC,25,0),0)</f>
        <v>0</v>
      </c>
      <c r="AD15" s="95">
        <f t="shared" si="2"/>
        <v>48860.84</v>
      </c>
      <c r="AE15" s="96">
        <f>ROUND(MAX((AD15)*{0.03;0.1;0.2;0.25;0.3;0.35;0.45}-{0;2520;16920;31920;52920;85920;181920},0),2)</f>
        <v>2366.08</v>
      </c>
      <c r="AF15" s="97">
        <f>IFERROR(VLOOKUP(E:E,'（居民）工资表-11月'!E:AF,28,0)+VLOOKUP(E:E,'（居民）工资表-11月'!E:AG,29,0),0)</f>
        <v>1921.08</v>
      </c>
      <c r="AG15" s="97">
        <f t="shared" si="3"/>
        <v>445</v>
      </c>
      <c r="AH15" s="107">
        <f t="shared" si="4"/>
        <v>9005</v>
      </c>
      <c r="AI15" s="108"/>
      <c r="AJ15" s="107">
        <f t="shared" si="5"/>
        <v>9005</v>
      </c>
      <c r="AK15" s="109"/>
      <c r="AL15" s="107">
        <f t="shared" si="6"/>
        <v>9450</v>
      </c>
      <c r="AM15" s="109"/>
      <c r="AN15" s="109"/>
      <c r="AO15" s="109"/>
      <c r="AP15" s="109"/>
      <c r="AQ15" s="109"/>
      <c r="AR15" s="116" t="str">
        <f t="shared" si="7"/>
        <v>正确</v>
      </c>
      <c r="AS15" s="116" t="str">
        <f>IF(SUMPRODUCT(N(E$1:E$17=E15))&gt;1,"重复","不")</f>
        <v>不</v>
      </c>
      <c r="AT15" s="116" t="str">
        <f>IF(SUMPRODUCT(N(AO$1:AO$17=AO15))&gt;1,"重复","不")</f>
        <v>重复</v>
      </c>
    </row>
    <row r="16" s="12" customFormat="1" ht="18" customHeight="1" spans="1:46">
      <c r="A16" s="36">
        <v>12</v>
      </c>
      <c r="B16" s="37" t="s">
        <v>144</v>
      </c>
      <c r="C16" s="37" t="s">
        <v>187</v>
      </c>
      <c r="D16" s="37" t="s">
        <v>145</v>
      </c>
      <c r="E16" s="37" t="s">
        <v>188</v>
      </c>
      <c r="F16" s="38" t="s">
        <v>146</v>
      </c>
      <c r="G16" s="39">
        <v>13711361074</v>
      </c>
      <c r="H16" s="40"/>
      <c r="I16" s="40"/>
      <c r="J16" s="69"/>
      <c r="K16" s="40"/>
      <c r="L16" s="70">
        <v>7600</v>
      </c>
      <c r="M16" s="71">
        <v>337.92</v>
      </c>
      <c r="N16" s="71">
        <v>91.48</v>
      </c>
      <c r="O16" s="71">
        <f>VLOOKUP(C16,[3]Sheet1!$B$2:$F$14,5,0)</f>
        <v>12.67</v>
      </c>
      <c r="P16" s="71">
        <v>110.5</v>
      </c>
      <c r="Q16" s="89">
        <f t="shared" si="0"/>
        <v>552.57</v>
      </c>
      <c r="R16" s="70">
        <v>0</v>
      </c>
      <c r="S16" s="90">
        <f>L16+IFERROR(VLOOKUP($E:$E,'（居民）工资表-11月'!$E:$S,15,0),0)</f>
        <v>66310.65</v>
      </c>
      <c r="T16" s="91">
        <f>5000+IFERROR(VLOOKUP($E:$E,'（居民）工资表-11月'!$E:$T,16,0),0)</f>
        <v>50000</v>
      </c>
      <c r="U16" s="91">
        <f>Q16+IFERROR(VLOOKUP($E:$E,'（居民）工资表-11月'!$E:$U,17,0),0)</f>
        <v>5553.51</v>
      </c>
      <c r="V16" s="70"/>
      <c r="W16" s="70"/>
      <c r="X16" s="70"/>
      <c r="Y16" s="70"/>
      <c r="Z16" s="70"/>
      <c r="AA16" s="70"/>
      <c r="AB16" s="90">
        <f t="shared" si="1"/>
        <v>0</v>
      </c>
      <c r="AC16" s="90">
        <f>R16+IFERROR(VLOOKUP($E:$E,'（居民）工资表-11月'!$E:$AC,25,0),0)</f>
        <v>0</v>
      </c>
      <c r="AD16" s="95">
        <f t="shared" si="2"/>
        <v>10757.14</v>
      </c>
      <c r="AE16" s="96">
        <f>ROUND(MAX((AD16)*{0.03;0.1;0.2;0.25;0.3;0.35;0.45}-{0;2520;16920;31920;52920;85920;181920},0),2)</f>
        <v>322.71</v>
      </c>
      <c r="AF16" s="97">
        <f>IFERROR(VLOOKUP(E:E,'（居民）工资表-11月'!E:AF,28,0)+VLOOKUP(E:E,'（居民）工资表-11月'!E:AG,29,0),0)</f>
        <v>261.29</v>
      </c>
      <c r="AG16" s="97">
        <f t="shared" si="3"/>
        <v>61.42</v>
      </c>
      <c r="AH16" s="107">
        <f t="shared" si="4"/>
        <v>6986.01</v>
      </c>
      <c r="AI16" s="108"/>
      <c r="AJ16" s="107">
        <f t="shared" si="5"/>
        <v>6986.01</v>
      </c>
      <c r="AK16" s="109"/>
      <c r="AL16" s="107">
        <f t="shared" si="6"/>
        <v>7047.43</v>
      </c>
      <c r="AM16" s="109"/>
      <c r="AN16" s="109"/>
      <c r="AO16" s="109"/>
      <c r="AP16" s="109"/>
      <c r="AQ16" s="109"/>
      <c r="AR16" s="116" t="str">
        <f t="shared" si="7"/>
        <v>正确</v>
      </c>
      <c r="AS16" s="116" t="str">
        <f>IF(SUMPRODUCT(N(E$1:E$17=E16))&gt;1,"重复","不")</f>
        <v>不</v>
      </c>
      <c r="AT16" s="116" t="str">
        <f>IF(SUMPRODUCT(N(AO$1:AO$17=AO16))&gt;1,"重复","不")</f>
        <v>重复</v>
      </c>
    </row>
    <row r="17" s="12" customFormat="1" ht="18" customHeight="1" spans="1:46">
      <c r="A17" s="36"/>
      <c r="B17" s="37"/>
      <c r="C17" s="37"/>
      <c r="D17" s="37"/>
      <c r="E17" s="37"/>
      <c r="F17" s="38"/>
      <c r="G17" s="39"/>
      <c r="H17" s="40"/>
      <c r="I17" s="40"/>
      <c r="J17" s="69"/>
      <c r="K17" s="40"/>
      <c r="L17" s="70"/>
      <c r="M17" s="71"/>
      <c r="N17" s="71"/>
      <c r="O17" s="71"/>
      <c r="P17" s="71"/>
      <c r="Q17" s="89"/>
      <c r="R17" s="70"/>
      <c r="S17" s="90"/>
      <c r="T17" s="91"/>
      <c r="U17" s="91"/>
      <c r="V17" s="70"/>
      <c r="W17" s="70"/>
      <c r="X17" s="70"/>
      <c r="Y17" s="70"/>
      <c r="Z17" s="70"/>
      <c r="AA17" s="70"/>
      <c r="AB17" s="90"/>
      <c r="AC17" s="90"/>
      <c r="AD17" s="95"/>
      <c r="AE17" s="96"/>
      <c r="AF17" s="97"/>
      <c r="AG17" s="97"/>
      <c r="AH17" s="107"/>
      <c r="AI17" s="108"/>
      <c r="AJ17" s="107"/>
      <c r="AK17" s="109"/>
      <c r="AL17" s="107"/>
      <c r="AM17" s="109"/>
      <c r="AN17" s="109"/>
      <c r="AO17" s="109"/>
      <c r="AP17" s="109"/>
      <c r="AQ17" s="109"/>
      <c r="AR17" s="116"/>
      <c r="AS17" s="116"/>
      <c r="AT17" s="116"/>
    </row>
    <row r="18" s="13" customFormat="1" ht="18" customHeight="1" spans="1:46">
      <c r="A18" s="41"/>
      <c r="B18" s="42" t="s">
        <v>189</v>
      </c>
      <c r="C18" s="42"/>
      <c r="D18" s="43"/>
      <c r="E18" s="44"/>
      <c r="F18" s="45"/>
      <c r="G18" s="46"/>
      <c r="H18" s="45"/>
      <c r="I18" s="72"/>
      <c r="J18" s="73"/>
      <c r="K18" s="72"/>
      <c r="L18" s="74">
        <f t="shared" ref="L18:AL18" si="8">SUM(L4:L17)</f>
        <v>122707.97</v>
      </c>
      <c r="M18" s="74">
        <f t="shared" si="8"/>
        <v>4786.25</v>
      </c>
      <c r="N18" s="74">
        <f t="shared" si="8"/>
        <v>1331.12</v>
      </c>
      <c r="O18" s="74">
        <f t="shared" si="8"/>
        <v>252.24</v>
      </c>
      <c r="P18" s="74">
        <f t="shared" si="8"/>
        <v>2232.9</v>
      </c>
      <c r="Q18" s="74">
        <f t="shared" si="8"/>
        <v>8602.51</v>
      </c>
      <c r="R18" s="74">
        <f t="shared" si="8"/>
        <v>0</v>
      </c>
      <c r="S18" s="74">
        <f t="shared" si="8"/>
        <v>1333072.66</v>
      </c>
      <c r="T18" s="74">
        <f t="shared" si="8"/>
        <v>710000</v>
      </c>
      <c r="U18" s="74">
        <f t="shared" si="8"/>
        <v>94676.49</v>
      </c>
      <c r="V18" s="74">
        <f t="shared" si="8"/>
        <v>12000</v>
      </c>
      <c r="W18" s="74">
        <f t="shared" si="8"/>
        <v>0</v>
      </c>
      <c r="X18" s="74">
        <f t="shared" si="8"/>
        <v>12000</v>
      </c>
      <c r="Y18" s="74">
        <f t="shared" si="8"/>
        <v>0</v>
      </c>
      <c r="Z18" s="74">
        <f t="shared" si="8"/>
        <v>4800</v>
      </c>
      <c r="AA18" s="74">
        <f t="shared" si="8"/>
        <v>0</v>
      </c>
      <c r="AB18" s="74">
        <f t="shared" si="8"/>
        <v>28800</v>
      </c>
      <c r="AC18" s="74">
        <f t="shared" si="8"/>
        <v>0</v>
      </c>
      <c r="AD18" s="74">
        <f t="shared" si="8"/>
        <v>499596.17</v>
      </c>
      <c r="AE18" s="74">
        <f t="shared" si="8"/>
        <v>46116.47</v>
      </c>
      <c r="AF18" s="74">
        <f t="shared" si="8"/>
        <v>40379.68</v>
      </c>
      <c r="AG18" s="74">
        <f t="shared" si="8"/>
        <v>6453.78</v>
      </c>
      <c r="AH18" s="74">
        <f t="shared" si="8"/>
        <v>107651.68</v>
      </c>
      <c r="AI18" s="126">
        <f t="shared" si="8"/>
        <v>0</v>
      </c>
      <c r="AJ18" s="74">
        <f t="shared" si="8"/>
        <v>107651.68</v>
      </c>
      <c r="AK18" s="74">
        <f t="shared" si="8"/>
        <v>0</v>
      </c>
      <c r="AL18" s="74">
        <f t="shared" si="8"/>
        <v>114105.46</v>
      </c>
      <c r="AM18" s="110"/>
      <c r="AN18" s="110"/>
      <c r="AO18" s="110"/>
      <c r="AP18" s="110"/>
      <c r="AQ18" s="110"/>
      <c r="AR18" s="45"/>
      <c r="AS18" s="45"/>
      <c r="AT18" s="118"/>
    </row>
    <row r="21" spans="30:30">
      <c r="AD21" s="101"/>
    </row>
    <row r="22" ht="18.75" customHeight="1" spans="2:30">
      <c r="B22" s="47" t="s">
        <v>133</v>
      </c>
      <c r="C22" s="47" t="s">
        <v>190</v>
      </c>
      <c r="D22" s="47" t="s">
        <v>22</v>
      </c>
      <c r="E22" s="47" t="s">
        <v>23</v>
      </c>
      <c r="AD22" s="10"/>
    </row>
    <row r="23" ht="18.75" customHeight="1" spans="2:5">
      <c r="B23" s="48">
        <f>AJ18</f>
        <v>107651.68</v>
      </c>
      <c r="C23" s="48">
        <f>AG18</f>
        <v>6453.78</v>
      </c>
      <c r="D23" s="48">
        <f>AK18</f>
        <v>0</v>
      </c>
      <c r="E23" s="48">
        <f>B23+C23+D23</f>
        <v>114105.46</v>
      </c>
    </row>
    <row r="24" spans="2:5">
      <c r="B24" s="49"/>
      <c r="C24" s="49"/>
      <c r="D24" s="49"/>
      <c r="E24" s="49"/>
    </row>
    <row r="25" s="14" customFormat="1" spans="1:35">
      <c r="A25" s="51" t="s">
        <v>191</v>
      </c>
      <c r="B25" s="52" t="s">
        <v>192</v>
      </c>
      <c r="C25" s="50"/>
      <c r="D25" s="50"/>
      <c r="E25" s="50"/>
      <c r="G25" s="53"/>
      <c r="J25" s="75"/>
      <c r="M25" s="76"/>
      <c r="AI25" s="112"/>
    </row>
    <row r="26" s="14" customFormat="1" spans="1:35">
      <c r="A26" s="54"/>
      <c r="B26" s="55" t="s">
        <v>193</v>
      </c>
      <c r="C26" s="50"/>
      <c r="D26" s="50"/>
      <c r="E26" s="50"/>
      <c r="G26" s="53"/>
      <c r="J26" s="75"/>
      <c r="M26" s="76"/>
      <c r="AI26" s="112"/>
    </row>
    <row r="27" s="14" customFormat="1" spans="1:35">
      <c r="A27" s="52"/>
      <c r="B27" s="55" t="s">
        <v>194</v>
      </c>
      <c r="C27" s="56"/>
      <c r="D27" s="56"/>
      <c r="E27" s="56"/>
      <c r="F27" s="56"/>
      <c r="G27" s="56"/>
      <c r="H27" s="56"/>
      <c r="I27" s="56"/>
      <c r="J27" s="77"/>
      <c r="K27" s="56"/>
      <c r="L27" s="56"/>
      <c r="M27" s="78"/>
      <c r="N27" s="56"/>
      <c r="O27" s="56"/>
      <c r="P27" s="56"/>
      <c r="AI27" s="112"/>
    </row>
    <row r="28" s="14" customFormat="1" customHeight="1" spans="1:35">
      <c r="A28" s="55"/>
      <c r="B28" s="55" t="s">
        <v>195</v>
      </c>
      <c r="C28" s="57"/>
      <c r="D28" s="57"/>
      <c r="E28" s="57"/>
      <c r="F28" s="57"/>
      <c r="G28" s="57"/>
      <c r="H28" s="57"/>
      <c r="I28" s="79"/>
      <c r="J28" s="80"/>
      <c r="K28" s="79"/>
      <c r="L28" s="79"/>
      <c r="M28" s="81"/>
      <c r="N28" s="79"/>
      <c r="O28" s="79"/>
      <c r="P28" s="79"/>
      <c r="AI28" s="112"/>
    </row>
    <row r="29" s="14" customFormat="1" customHeight="1" spans="1:35">
      <c r="A29" s="55"/>
      <c r="B29" s="55" t="s">
        <v>196</v>
      </c>
      <c r="C29" s="57"/>
      <c r="D29" s="57"/>
      <c r="E29" s="57"/>
      <c r="F29" s="57"/>
      <c r="G29" s="57"/>
      <c r="H29" s="57"/>
      <c r="I29" s="57"/>
      <c r="J29" s="82"/>
      <c r="K29" s="57"/>
      <c r="L29" s="79"/>
      <c r="M29" s="81"/>
      <c r="N29" s="79"/>
      <c r="O29" s="79"/>
      <c r="P29" s="79"/>
      <c r="AI29" s="112"/>
    </row>
    <row r="30" s="14" customFormat="1" customHeight="1" spans="1:35">
      <c r="A30" s="55"/>
      <c r="B30" s="55" t="s">
        <v>197</v>
      </c>
      <c r="C30" s="57"/>
      <c r="D30" s="57"/>
      <c r="E30" s="57"/>
      <c r="F30" s="57"/>
      <c r="G30" s="57"/>
      <c r="H30" s="57"/>
      <c r="I30" s="79"/>
      <c r="J30" s="80"/>
      <c r="K30" s="79"/>
      <c r="L30" s="79"/>
      <c r="M30" s="81"/>
      <c r="N30" s="79"/>
      <c r="O30" s="79"/>
      <c r="P30" s="79"/>
      <c r="AI30" s="112"/>
    </row>
    <row r="32" ht="11.25" customHeight="1" spans="2:2">
      <c r="B32" s="58" t="s">
        <v>198</v>
      </c>
    </row>
    <row r="33" spans="2:2">
      <c r="B33" s="59" t="s">
        <v>199</v>
      </c>
    </row>
    <row r="34" spans="2:2">
      <c r="B34" s="59" t="s">
        <v>200</v>
      </c>
    </row>
  </sheetData>
  <autoFilter xmlns:etc="http://www.wps.cn/officeDocument/2017/etCustomData" ref="A3:AT18" etc:filterBottomFollowUsedRange="0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0">
    <cfRule type="duplicateValues" dxfId="4" priority="2" stopIfTrue="1"/>
  </conditionalFormatting>
  <conditionalFormatting sqref="B25:B29">
    <cfRule type="duplicateValues" dxfId="4" priority="3" stopIfTrue="1"/>
  </conditionalFormatting>
  <conditionalFormatting sqref="B33:B34">
    <cfRule type="duplicateValues" dxfId="4" priority="1" stopIfTrue="1"/>
  </conditionalFormatting>
  <conditionalFormatting sqref="C22:C24">
    <cfRule type="duplicateValues" dxfId="4" priority="4" stopIfTrue="1"/>
    <cfRule type="expression" dxfId="5" priority="5" stopIfTrue="1">
      <formula>AND(COUNTIF($B$18:$B$65454,C22)+COUNTIF($B$1:$B$3,C22)&gt;1,NOT(ISBLANK(C22)))</formula>
    </cfRule>
    <cfRule type="expression" dxfId="5" priority="6" stopIfTrue="1">
      <formula>AND(COUNTIF($B$29:$B$65405,C22)+COUNTIF($B$1:$B$28,C22)&gt;1,NOT(ISBLANK(C22)))</formula>
    </cfRule>
    <cfRule type="expression" dxfId="5" priority="7" stopIfTrue="1">
      <formula>AND(COUNTIF($B$18:$B$65443,C22)+COUNTIF($B$1:$B$3,C22)&gt;1,NOT(ISBLANK(C22)))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tabColor rgb="FF00B050"/>
  </sheetPr>
  <dimension ref="A1:AT34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16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hidden="1" customWidth="1"/>
    <col min="11" max="11" width="5.26666666666667" style="15" hidden="1" customWidth="1"/>
    <col min="12" max="12" width="11.725" style="15" customWidth="1"/>
    <col min="13" max="13" width="9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1.45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25" style="15" customWidth="1"/>
    <col min="39" max="39" width="0.75" style="15" hidden="1" customWidth="1"/>
    <col min="40" max="40" width="9" style="15" hidden="1" customWidth="1"/>
    <col min="41" max="41" width="19" style="15" hidden="1" customWidth="1"/>
    <col min="42" max="42" width="12.2666666666667" style="15" hidden="1" customWidth="1"/>
    <col min="43" max="43" width="9" style="15" hidden="1" customWidth="1"/>
    <col min="44" max="44" width="7" style="15" hidden="1" customWidth="1"/>
    <col min="45" max="45" width="6.725" style="15" hidden="1" customWidth="1"/>
    <col min="46" max="46" width="6.09166666666667" style="15" hidden="1" customWidth="1"/>
    <col min="47" max="16384" width="9" style="15"/>
  </cols>
  <sheetData>
    <row r="1" s="10" customFormat="1" ht="29.25" customHeight="1" spans="1:45">
      <c r="A1" s="20" t="s">
        <v>105</v>
      </c>
      <c r="B1" s="21"/>
      <c r="C1" s="22"/>
      <c r="D1" s="23"/>
      <c r="E1" s="24"/>
      <c r="F1" s="24"/>
      <c r="G1" s="25"/>
      <c r="J1" s="60"/>
      <c r="L1" s="61"/>
      <c r="M1" s="62" t="s">
        <v>106</v>
      </c>
      <c r="N1" s="62"/>
      <c r="O1" s="62"/>
      <c r="P1" s="62"/>
      <c r="Q1" s="83"/>
      <c r="R1" s="83"/>
      <c r="S1" s="83"/>
      <c r="T1" s="83"/>
      <c r="U1" s="83">
        <f>U4/2</f>
        <v>310.515</v>
      </c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107</v>
      </c>
      <c r="C2" s="28" t="s">
        <v>108</v>
      </c>
      <c r="D2" s="28" t="s">
        <v>109</v>
      </c>
      <c r="E2" s="29" t="s">
        <v>110</v>
      </c>
      <c r="F2" s="30" t="s">
        <v>111</v>
      </c>
      <c r="G2" s="29" t="s">
        <v>112</v>
      </c>
      <c r="H2" s="29" t="s">
        <v>113</v>
      </c>
      <c r="I2" s="29" t="s">
        <v>114</v>
      </c>
      <c r="J2" s="63" t="s">
        <v>115</v>
      </c>
      <c r="K2" s="29" t="s">
        <v>116</v>
      </c>
      <c r="L2" s="29" t="s">
        <v>117</v>
      </c>
      <c r="M2" s="64" t="s">
        <v>118</v>
      </c>
      <c r="N2" s="65"/>
      <c r="O2" s="65"/>
      <c r="P2" s="66"/>
      <c r="Q2" s="30" t="s">
        <v>119</v>
      </c>
      <c r="R2" s="29" t="s">
        <v>120</v>
      </c>
      <c r="S2" s="30" t="s">
        <v>121</v>
      </c>
      <c r="T2" s="84" t="s">
        <v>122</v>
      </c>
      <c r="U2" s="30" t="s">
        <v>123</v>
      </c>
      <c r="V2" s="85" t="s">
        <v>124</v>
      </c>
      <c r="W2" s="86"/>
      <c r="X2" s="86"/>
      <c r="Y2" s="86"/>
      <c r="Z2" s="86"/>
      <c r="AA2" s="94"/>
      <c r="AB2" s="30" t="s">
        <v>125</v>
      </c>
      <c r="AC2" s="30" t="s">
        <v>126</v>
      </c>
      <c r="AD2" s="84" t="s">
        <v>127</v>
      </c>
      <c r="AE2" s="84" t="s">
        <v>128</v>
      </c>
      <c r="AF2" s="84" t="s">
        <v>129</v>
      </c>
      <c r="AG2" s="84" t="s">
        <v>130</v>
      </c>
      <c r="AH2" s="103" t="s">
        <v>131</v>
      </c>
      <c r="AI2" s="104" t="s">
        <v>132</v>
      </c>
      <c r="AJ2" s="103" t="s">
        <v>133</v>
      </c>
      <c r="AK2" s="28" t="s">
        <v>210</v>
      </c>
      <c r="AL2" s="103" t="s">
        <v>134</v>
      </c>
      <c r="AM2" s="29" t="s">
        <v>201</v>
      </c>
      <c r="AN2" s="29" t="s">
        <v>202</v>
      </c>
      <c r="AO2" s="114" t="s">
        <v>203</v>
      </c>
      <c r="AP2" s="29" t="s">
        <v>204</v>
      </c>
      <c r="AQ2" s="29" t="s">
        <v>205</v>
      </c>
      <c r="AR2" s="30" t="s">
        <v>206</v>
      </c>
      <c r="AS2" s="30" t="s">
        <v>207</v>
      </c>
      <c r="AT2" s="30" t="s">
        <v>208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135</v>
      </c>
      <c r="N3" s="68" t="s">
        <v>136</v>
      </c>
      <c r="O3" s="68" t="s">
        <v>137</v>
      </c>
      <c r="P3" s="68" t="s">
        <v>37</v>
      </c>
      <c r="Q3" s="35"/>
      <c r="R3" s="34"/>
      <c r="S3" s="35"/>
      <c r="T3" s="87"/>
      <c r="U3" s="35"/>
      <c r="V3" s="88" t="s">
        <v>138</v>
      </c>
      <c r="W3" s="88" t="s">
        <v>139</v>
      </c>
      <c r="X3" s="88" t="s">
        <v>140</v>
      </c>
      <c r="Y3" s="88" t="s">
        <v>141</v>
      </c>
      <c r="Z3" s="88" t="s">
        <v>142</v>
      </c>
      <c r="AA3" s="88" t="s">
        <v>143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144</v>
      </c>
      <c r="C4" s="37" t="s">
        <v>61</v>
      </c>
      <c r="D4" s="37" t="s">
        <v>145</v>
      </c>
      <c r="E4" s="37" t="s">
        <v>62</v>
      </c>
      <c r="F4" s="38" t="s">
        <v>146</v>
      </c>
      <c r="G4" s="39">
        <v>13944441728</v>
      </c>
      <c r="H4" s="40"/>
      <c r="I4" s="40"/>
      <c r="J4" s="69"/>
      <c r="K4" s="40"/>
      <c r="L4" s="70">
        <v>8000</v>
      </c>
      <c r="M4" s="71">
        <v>344.57</v>
      </c>
      <c r="N4" s="71">
        <v>86.14</v>
      </c>
      <c r="O4" s="71">
        <v>12.92</v>
      </c>
      <c r="P4" s="71">
        <v>177.4</v>
      </c>
      <c r="Q4" s="70">
        <f t="shared" ref="Q4:Q16" si="0">ROUND(SUM(M4:P4),2)</f>
        <v>621.03</v>
      </c>
      <c r="R4" s="70">
        <v>0</v>
      </c>
      <c r="S4" s="92">
        <f t="shared" ref="S4:S16" si="1">L4</f>
        <v>8000</v>
      </c>
      <c r="T4" s="93">
        <v>5000</v>
      </c>
      <c r="U4" s="93">
        <f t="shared" ref="U4:U16" si="2">Q4</f>
        <v>621.03</v>
      </c>
      <c r="V4" s="70"/>
      <c r="W4" s="70"/>
      <c r="X4" s="70"/>
      <c r="Y4" s="70"/>
      <c r="Z4" s="70"/>
      <c r="AA4" s="70"/>
      <c r="AB4" s="92">
        <f t="shared" ref="AB4:AB16" si="3">ROUND(SUM(V4:AA4),2)</f>
        <v>0</v>
      </c>
      <c r="AC4" s="92">
        <f t="shared" ref="AC4:AC16" si="4">R4</f>
        <v>0</v>
      </c>
      <c r="AD4" s="98">
        <f t="shared" ref="AD4:AD16" si="5">ROUND(S4-T4-U4-AB4-AC4,2)</f>
        <v>2378.97</v>
      </c>
      <c r="AE4" s="99">
        <f>ROUND(MAX((AD4)*{0.03;0.1;0.2;0.25;0.3;0.35;0.45}-{0;2520;16920;31920;52920;85920;181920},0),2)</f>
        <v>71.37</v>
      </c>
      <c r="AF4" s="100">
        <v>0</v>
      </c>
      <c r="AG4" s="100">
        <f t="shared" ref="AG4:AG16" si="6">IF((AE4-AF4)&lt;0,0,AE4-AF4)</f>
        <v>71.37</v>
      </c>
      <c r="AH4" s="109">
        <f t="shared" ref="AH4:AH16" si="7">ROUND(IF((L4-Q4-AG4)&lt;0,0,(L4-Q4-AG4)),2)</f>
        <v>7307.6</v>
      </c>
      <c r="AI4" s="108"/>
      <c r="AJ4" s="109">
        <f t="shared" ref="AJ4:AJ16" si="8">AH4+AI4</f>
        <v>7307.6</v>
      </c>
      <c r="AK4" s="109"/>
      <c r="AL4" s="109">
        <f t="shared" ref="AL4:AL16" si="9">AJ4+AG4+AK4</f>
        <v>7378.97</v>
      </c>
      <c r="AM4" s="109"/>
      <c r="AN4" s="109"/>
      <c r="AO4" s="109"/>
      <c r="AP4" s="109"/>
      <c r="AQ4" s="109"/>
      <c r="AR4" s="117" t="str">
        <f t="shared" ref="AR4:AR16" si="10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7" t="str">
        <f>IF(SUMPRODUCT(N(E$1:E$17=E4))&gt;1,"重复","不")</f>
        <v>不</v>
      </c>
      <c r="AT4" s="117" t="str">
        <f>IF(SUMPRODUCT(N(AO$1:AO$17=AO4))&gt;1,"重复","不")</f>
        <v>重复</v>
      </c>
    </row>
    <row r="5" s="12" customFormat="1" ht="18" customHeight="1" spans="1:46">
      <c r="A5" s="36">
        <v>2</v>
      </c>
      <c r="B5" s="37" t="s">
        <v>144</v>
      </c>
      <c r="C5" s="37" t="s">
        <v>148</v>
      </c>
      <c r="D5" s="37" t="s">
        <v>145</v>
      </c>
      <c r="E5" s="329" t="s">
        <v>149</v>
      </c>
      <c r="F5" s="38" t="s">
        <v>150</v>
      </c>
      <c r="G5" s="39">
        <v>15360550807</v>
      </c>
      <c r="H5" s="40"/>
      <c r="I5" s="40"/>
      <c r="J5" s="69"/>
      <c r="K5" s="40"/>
      <c r="L5" s="70">
        <v>6160</v>
      </c>
      <c r="M5" s="71">
        <v>560.96</v>
      </c>
      <c r="N5" s="71">
        <v>133.12</v>
      </c>
      <c r="O5" s="71">
        <v>4.6</v>
      </c>
      <c r="P5" s="71">
        <v>115</v>
      </c>
      <c r="Q5" s="70">
        <f t="shared" si="0"/>
        <v>813.68</v>
      </c>
      <c r="R5" s="70">
        <v>0</v>
      </c>
      <c r="S5" s="92">
        <f t="shared" si="1"/>
        <v>6160</v>
      </c>
      <c r="T5" s="93">
        <v>5000</v>
      </c>
      <c r="U5" s="93">
        <f t="shared" si="2"/>
        <v>813.68</v>
      </c>
      <c r="V5" s="70"/>
      <c r="W5" s="70"/>
      <c r="X5" s="70"/>
      <c r="Y5" s="70"/>
      <c r="Z5" s="70"/>
      <c r="AA5" s="70"/>
      <c r="AB5" s="92">
        <f t="shared" si="3"/>
        <v>0</v>
      </c>
      <c r="AC5" s="92">
        <f t="shared" si="4"/>
        <v>0</v>
      </c>
      <c r="AD5" s="98">
        <f t="shared" si="5"/>
        <v>346.32</v>
      </c>
      <c r="AE5" s="99">
        <f>ROUND(MAX((AD5)*{0.03;0.1;0.2;0.25;0.3;0.35;0.45}-{0;2520;16920;31920;52920;85920;181920},0),2)</f>
        <v>10.39</v>
      </c>
      <c r="AF5" s="100">
        <v>0</v>
      </c>
      <c r="AG5" s="100">
        <f t="shared" si="6"/>
        <v>10.39</v>
      </c>
      <c r="AH5" s="109">
        <f t="shared" si="7"/>
        <v>5335.93</v>
      </c>
      <c r="AI5" s="108"/>
      <c r="AJ5" s="109">
        <f t="shared" si="8"/>
        <v>5335.93</v>
      </c>
      <c r="AK5" s="109"/>
      <c r="AL5" s="109">
        <f t="shared" si="9"/>
        <v>5346.32</v>
      </c>
      <c r="AM5" s="109"/>
      <c r="AN5" s="109"/>
      <c r="AO5" s="109"/>
      <c r="AP5" s="109"/>
      <c r="AQ5" s="109"/>
      <c r="AR5" s="117" t="str">
        <f t="shared" si="10"/>
        <v>正确</v>
      </c>
      <c r="AS5" s="117" t="str">
        <f>IF(SUMPRODUCT(N(E$1:E$17=E5))&gt;1,"重复","不")</f>
        <v>不</v>
      </c>
      <c r="AT5" s="117" t="str">
        <f>IF(SUMPRODUCT(N(AO$1:AO$17=AO5))&gt;1,"重复","不")</f>
        <v>重复</v>
      </c>
    </row>
    <row r="6" s="12" customFormat="1" ht="18" customHeight="1" spans="1:46">
      <c r="A6" s="36">
        <v>3</v>
      </c>
      <c r="B6" s="37" t="s">
        <v>144</v>
      </c>
      <c r="C6" s="37" t="s">
        <v>151</v>
      </c>
      <c r="D6" s="37" t="s">
        <v>145</v>
      </c>
      <c r="E6" s="329" t="s">
        <v>152</v>
      </c>
      <c r="F6" s="38" t="s">
        <v>146</v>
      </c>
      <c r="G6" s="39" t="s">
        <v>153</v>
      </c>
      <c r="H6" s="40"/>
      <c r="I6" s="40"/>
      <c r="J6" s="69"/>
      <c r="K6" s="40"/>
      <c r="L6" s="70">
        <v>30060</v>
      </c>
      <c r="M6" s="71">
        <v>590.72</v>
      </c>
      <c r="N6" s="71">
        <v>147.68</v>
      </c>
      <c r="O6" s="71">
        <v>36.92</v>
      </c>
      <c r="P6" s="71">
        <v>188</v>
      </c>
      <c r="Q6" s="70">
        <f t="shared" si="0"/>
        <v>963.32</v>
      </c>
      <c r="R6" s="70">
        <v>0</v>
      </c>
      <c r="S6" s="92">
        <f t="shared" si="1"/>
        <v>30060</v>
      </c>
      <c r="T6" s="93">
        <v>5000</v>
      </c>
      <c r="U6" s="93">
        <f t="shared" si="2"/>
        <v>963.32</v>
      </c>
      <c r="V6" s="70"/>
      <c r="W6" s="70"/>
      <c r="X6" s="70"/>
      <c r="Y6" s="70"/>
      <c r="Z6" s="70"/>
      <c r="AA6" s="70"/>
      <c r="AB6" s="92">
        <f t="shared" si="3"/>
        <v>0</v>
      </c>
      <c r="AC6" s="92">
        <f t="shared" si="4"/>
        <v>0</v>
      </c>
      <c r="AD6" s="98">
        <f t="shared" si="5"/>
        <v>24096.68</v>
      </c>
      <c r="AE6" s="99">
        <f>ROUND(MAX((AD6)*{0.03;0.1;0.2;0.25;0.3;0.35;0.45}-{0;2520;16920;31920;52920;85920;181920},0),2)</f>
        <v>722.9</v>
      </c>
      <c r="AF6" s="100">
        <v>0</v>
      </c>
      <c r="AG6" s="100">
        <f t="shared" si="6"/>
        <v>722.9</v>
      </c>
      <c r="AH6" s="109">
        <f t="shared" si="7"/>
        <v>28373.78</v>
      </c>
      <c r="AI6" s="108"/>
      <c r="AJ6" s="109">
        <f t="shared" si="8"/>
        <v>28373.78</v>
      </c>
      <c r="AK6" s="109"/>
      <c r="AL6" s="109">
        <f t="shared" si="9"/>
        <v>29096.68</v>
      </c>
      <c r="AM6" s="109"/>
      <c r="AN6" s="109"/>
      <c r="AO6" s="109"/>
      <c r="AP6" s="109"/>
      <c r="AQ6" s="109"/>
      <c r="AR6" s="117" t="str">
        <f t="shared" si="10"/>
        <v>正确</v>
      </c>
      <c r="AS6" s="117" t="str">
        <f>IF(SUMPRODUCT(N(E$1:E$17=E6))&gt;1,"重复","不")</f>
        <v>不</v>
      </c>
      <c r="AT6" s="117" t="str">
        <f>IF(SUMPRODUCT(N(AO$1:AO$17=AO6))&gt;1,"重复","不")</f>
        <v>重复</v>
      </c>
    </row>
    <row r="7" s="12" customFormat="1" ht="18" customHeight="1" spans="1:46">
      <c r="A7" s="36">
        <v>4</v>
      </c>
      <c r="B7" s="37" t="s">
        <v>144</v>
      </c>
      <c r="C7" s="37" t="s">
        <v>156</v>
      </c>
      <c r="D7" s="37" t="s">
        <v>145</v>
      </c>
      <c r="E7" s="329" t="s">
        <v>157</v>
      </c>
      <c r="F7" s="38" t="s">
        <v>146</v>
      </c>
      <c r="G7" s="39" t="s">
        <v>158</v>
      </c>
      <c r="H7" s="40"/>
      <c r="I7" s="40"/>
      <c r="J7" s="69"/>
      <c r="K7" s="40"/>
      <c r="L7" s="70">
        <v>9000</v>
      </c>
      <c r="M7" s="71">
        <v>338.16</v>
      </c>
      <c r="N7" s="71">
        <v>93.7</v>
      </c>
      <c r="O7" s="71">
        <v>21.14</v>
      </c>
      <c r="P7" s="71">
        <v>97</v>
      </c>
      <c r="Q7" s="70">
        <f t="shared" si="0"/>
        <v>550</v>
      </c>
      <c r="R7" s="70">
        <v>0</v>
      </c>
      <c r="S7" s="92">
        <f t="shared" si="1"/>
        <v>9000</v>
      </c>
      <c r="T7" s="93">
        <v>5000</v>
      </c>
      <c r="U7" s="93">
        <f t="shared" si="2"/>
        <v>550</v>
      </c>
      <c r="V7" s="70"/>
      <c r="W7" s="70"/>
      <c r="X7" s="70"/>
      <c r="Y7" s="70"/>
      <c r="Z7" s="70"/>
      <c r="AA7" s="70"/>
      <c r="AB7" s="92">
        <f t="shared" si="3"/>
        <v>0</v>
      </c>
      <c r="AC7" s="92">
        <f t="shared" si="4"/>
        <v>0</v>
      </c>
      <c r="AD7" s="98">
        <f t="shared" si="5"/>
        <v>3450</v>
      </c>
      <c r="AE7" s="99">
        <f>ROUND(MAX((AD7)*{0.03;0.1;0.2;0.25;0.3;0.35;0.45}-{0;2520;16920;31920;52920;85920;181920},0),2)</f>
        <v>103.5</v>
      </c>
      <c r="AF7" s="100">
        <v>0</v>
      </c>
      <c r="AG7" s="100">
        <f t="shared" si="6"/>
        <v>103.5</v>
      </c>
      <c r="AH7" s="109">
        <f t="shared" si="7"/>
        <v>8346.5</v>
      </c>
      <c r="AI7" s="108"/>
      <c r="AJ7" s="109">
        <f t="shared" si="8"/>
        <v>8346.5</v>
      </c>
      <c r="AK7" s="109"/>
      <c r="AL7" s="109">
        <f t="shared" si="9"/>
        <v>8450</v>
      </c>
      <c r="AM7" s="109"/>
      <c r="AN7" s="109"/>
      <c r="AO7" s="109"/>
      <c r="AP7" s="109"/>
      <c r="AQ7" s="109"/>
      <c r="AR7" s="117" t="str">
        <f t="shared" si="10"/>
        <v>正确</v>
      </c>
      <c r="AS7" s="117" t="str">
        <f>IF(SUMPRODUCT(N(E$1:E$17=E7))&gt;1,"重复","不")</f>
        <v>不</v>
      </c>
      <c r="AT7" s="117" t="str">
        <f>IF(SUMPRODUCT(N(AO$1:AO$17=AO7))&gt;1,"重复","不")</f>
        <v>重复</v>
      </c>
    </row>
    <row r="8" s="12" customFormat="1" ht="18" customHeight="1" spans="1:46">
      <c r="A8" s="36">
        <v>5</v>
      </c>
      <c r="B8" s="37" t="s">
        <v>144</v>
      </c>
      <c r="C8" s="37" t="s">
        <v>160</v>
      </c>
      <c r="D8" s="37" t="s">
        <v>145</v>
      </c>
      <c r="E8" s="329" t="s">
        <v>161</v>
      </c>
      <c r="F8" s="38" t="s">
        <v>146</v>
      </c>
      <c r="G8" s="39">
        <v>19356875630</v>
      </c>
      <c r="H8" s="40"/>
      <c r="I8" s="40"/>
      <c r="J8" s="69"/>
      <c r="K8" s="40"/>
      <c r="L8" s="70">
        <v>10500</v>
      </c>
      <c r="M8" s="71">
        <v>338.16</v>
      </c>
      <c r="N8" s="71">
        <v>90.54</v>
      </c>
      <c r="O8" s="71">
        <v>21.14</v>
      </c>
      <c r="P8" s="71">
        <v>344</v>
      </c>
      <c r="Q8" s="70">
        <f t="shared" si="0"/>
        <v>793.84</v>
      </c>
      <c r="R8" s="70">
        <v>0</v>
      </c>
      <c r="S8" s="92">
        <f t="shared" si="1"/>
        <v>10500</v>
      </c>
      <c r="T8" s="93">
        <v>5000</v>
      </c>
      <c r="U8" s="93">
        <f t="shared" si="2"/>
        <v>793.84</v>
      </c>
      <c r="V8" s="70"/>
      <c r="W8" s="70"/>
      <c r="X8" s="70"/>
      <c r="Y8" s="70"/>
      <c r="Z8" s="70"/>
      <c r="AA8" s="70"/>
      <c r="AB8" s="92">
        <f t="shared" si="3"/>
        <v>0</v>
      </c>
      <c r="AC8" s="92">
        <f t="shared" si="4"/>
        <v>0</v>
      </c>
      <c r="AD8" s="98">
        <f t="shared" si="5"/>
        <v>4706.16</v>
      </c>
      <c r="AE8" s="99">
        <f>ROUND(MAX((AD8)*{0.03;0.1;0.2;0.25;0.3;0.35;0.45}-{0;2520;16920;31920;52920;85920;181920},0),2)</f>
        <v>141.18</v>
      </c>
      <c r="AF8" s="100">
        <v>0</v>
      </c>
      <c r="AG8" s="100">
        <f t="shared" si="6"/>
        <v>141.18</v>
      </c>
      <c r="AH8" s="109">
        <f t="shared" si="7"/>
        <v>9564.98</v>
      </c>
      <c r="AI8" s="108"/>
      <c r="AJ8" s="109">
        <f t="shared" si="8"/>
        <v>9564.98</v>
      </c>
      <c r="AK8" s="109"/>
      <c r="AL8" s="109">
        <f t="shared" si="9"/>
        <v>9706.16</v>
      </c>
      <c r="AM8" s="109"/>
      <c r="AN8" s="109"/>
      <c r="AO8" s="109"/>
      <c r="AP8" s="109"/>
      <c r="AQ8" s="109"/>
      <c r="AR8" s="117" t="str">
        <f t="shared" si="10"/>
        <v>正确</v>
      </c>
      <c r="AS8" s="117" t="str">
        <f>IF(SUMPRODUCT(N(E$1:E$17=E8))&gt;1,"重复","不")</f>
        <v>不</v>
      </c>
      <c r="AT8" s="117" t="str">
        <f>IF(SUMPRODUCT(N(AO$1:AO$17=AO8))&gt;1,"重复","不")</f>
        <v>重复</v>
      </c>
    </row>
    <row r="9" s="12" customFormat="1" ht="18" customHeight="1" spans="1:46">
      <c r="A9" s="36">
        <v>6</v>
      </c>
      <c r="B9" s="37" t="s">
        <v>144</v>
      </c>
      <c r="C9" s="37" t="s">
        <v>162</v>
      </c>
      <c r="D9" s="37" t="s">
        <v>145</v>
      </c>
      <c r="E9" s="329" t="s">
        <v>163</v>
      </c>
      <c r="F9" s="38" t="s">
        <v>146</v>
      </c>
      <c r="G9" s="39">
        <v>13973652684</v>
      </c>
      <c r="H9" s="40"/>
      <c r="I9" s="40"/>
      <c r="J9" s="69"/>
      <c r="K9" s="40"/>
      <c r="L9" s="70">
        <v>6500</v>
      </c>
      <c r="M9" s="71">
        <v>322.16</v>
      </c>
      <c r="N9" s="71">
        <v>95.54</v>
      </c>
      <c r="O9" s="71">
        <v>12.08</v>
      </c>
      <c r="P9" s="71">
        <v>100</v>
      </c>
      <c r="Q9" s="70">
        <f t="shared" si="0"/>
        <v>529.78</v>
      </c>
      <c r="R9" s="70">
        <v>0</v>
      </c>
      <c r="S9" s="92">
        <f t="shared" si="1"/>
        <v>6500</v>
      </c>
      <c r="T9" s="93">
        <v>5000</v>
      </c>
      <c r="U9" s="93">
        <f t="shared" si="2"/>
        <v>529.78</v>
      </c>
      <c r="V9" s="70"/>
      <c r="W9" s="70"/>
      <c r="X9" s="70"/>
      <c r="Y9" s="70"/>
      <c r="Z9" s="70"/>
      <c r="AA9" s="70"/>
      <c r="AB9" s="92">
        <f t="shared" si="3"/>
        <v>0</v>
      </c>
      <c r="AC9" s="92">
        <f t="shared" si="4"/>
        <v>0</v>
      </c>
      <c r="AD9" s="98">
        <f t="shared" si="5"/>
        <v>970.22</v>
      </c>
      <c r="AE9" s="99">
        <f>ROUND(MAX((AD9)*{0.03;0.1;0.2;0.25;0.3;0.35;0.45}-{0;2520;16920;31920;52920;85920;181920},0),2)</f>
        <v>29.11</v>
      </c>
      <c r="AF9" s="100">
        <v>0</v>
      </c>
      <c r="AG9" s="100">
        <f t="shared" si="6"/>
        <v>29.11</v>
      </c>
      <c r="AH9" s="109">
        <f t="shared" si="7"/>
        <v>5941.11</v>
      </c>
      <c r="AI9" s="108"/>
      <c r="AJ9" s="109">
        <f t="shared" si="8"/>
        <v>5941.11</v>
      </c>
      <c r="AK9" s="109"/>
      <c r="AL9" s="109">
        <f t="shared" si="9"/>
        <v>5970.22</v>
      </c>
      <c r="AM9" s="109"/>
      <c r="AN9" s="109"/>
      <c r="AO9" s="109"/>
      <c r="AP9" s="109"/>
      <c r="AQ9" s="109"/>
      <c r="AR9" s="117" t="str">
        <f t="shared" si="10"/>
        <v>正确</v>
      </c>
      <c r="AS9" s="117" t="str">
        <f>IF(SUMPRODUCT(N(E$1:E$17=E9))&gt;1,"重复","不")</f>
        <v>不</v>
      </c>
      <c r="AT9" s="117" t="str">
        <f>IF(SUMPRODUCT(N(AO$1:AO$17=AO9))&gt;1,"重复","不")</f>
        <v>重复</v>
      </c>
    </row>
    <row r="10" s="12" customFormat="1" ht="18" customHeight="1" spans="1:46">
      <c r="A10" s="36">
        <v>7</v>
      </c>
      <c r="B10" s="37" t="s">
        <v>144</v>
      </c>
      <c r="C10" s="37" t="s">
        <v>165</v>
      </c>
      <c r="D10" s="37" t="s">
        <v>145</v>
      </c>
      <c r="E10" s="329" t="s">
        <v>166</v>
      </c>
      <c r="F10" s="38" t="s">
        <v>150</v>
      </c>
      <c r="G10" s="39" t="s">
        <v>167</v>
      </c>
      <c r="H10" s="40"/>
      <c r="I10" s="40"/>
      <c r="J10" s="69"/>
      <c r="K10" s="40"/>
      <c r="L10" s="70">
        <v>4422.9</v>
      </c>
      <c r="M10" s="71">
        <v>401.04</v>
      </c>
      <c r="N10" s="71">
        <v>122.26</v>
      </c>
      <c r="O10" s="71">
        <v>25.07</v>
      </c>
      <c r="P10" s="71">
        <v>116</v>
      </c>
      <c r="Q10" s="70">
        <f t="shared" si="0"/>
        <v>664.37</v>
      </c>
      <c r="R10" s="70">
        <v>0</v>
      </c>
      <c r="S10" s="92">
        <f t="shared" si="1"/>
        <v>4422.9</v>
      </c>
      <c r="T10" s="93">
        <v>5000</v>
      </c>
      <c r="U10" s="93">
        <f t="shared" si="2"/>
        <v>664.37</v>
      </c>
      <c r="V10" s="70"/>
      <c r="W10" s="70"/>
      <c r="X10" s="70"/>
      <c r="Y10" s="70"/>
      <c r="Z10" s="70"/>
      <c r="AA10" s="70"/>
      <c r="AB10" s="92">
        <f t="shared" si="3"/>
        <v>0</v>
      </c>
      <c r="AC10" s="92">
        <f t="shared" si="4"/>
        <v>0</v>
      </c>
      <c r="AD10" s="98">
        <f t="shared" si="5"/>
        <v>-1241.47</v>
      </c>
      <c r="AE10" s="99">
        <f>ROUND(MAX((AD10)*{0.03;0.1;0.2;0.25;0.3;0.35;0.45}-{0;2520;16920;31920;52920;85920;181920},0),2)</f>
        <v>0</v>
      </c>
      <c r="AF10" s="100">
        <v>0</v>
      </c>
      <c r="AG10" s="100">
        <f t="shared" si="6"/>
        <v>0</v>
      </c>
      <c r="AH10" s="109">
        <f t="shared" si="7"/>
        <v>3758.53</v>
      </c>
      <c r="AI10" s="108"/>
      <c r="AJ10" s="109">
        <f t="shared" si="8"/>
        <v>3758.53</v>
      </c>
      <c r="AK10" s="109"/>
      <c r="AL10" s="109">
        <f t="shared" si="9"/>
        <v>3758.53</v>
      </c>
      <c r="AM10" s="109"/>
      <c r="AN10" s="109"/>
      <c r="AO10" s="109"/>
      <c r="AP10" s="109"/>
      <c r="AQ10" s="109"/>
      <c r="AR10" s="117" t="str">
        <f t="shared" si="10"/>
        <v>正确</v>
      </c>
      <c r="AS10" s="117" t="str">
        <f>IF(SUMPRODUCT(N(E$1:E$17=E10))&gt;1,"重复","不")</f>
        <v>不</v>
      </c>
      <c r="AT10" s="117" t="str">
        <f>IF(SUMPRODUCT(N(AO$1:AO$17=AO10))&gt;1,"重复","不")</f>
        <v>重复</v>
      </c>
    </row>
    <row r="11" s="12" customFormat="1" ht="18" customHeight="1" spans="1:46">
      <c r="A11" s="36">
        <v>8</v>
      </c>
      <c r="B11" s="37" t="s">
        <v>144</v>
      </c>
      <c r="C11" s="37" t="s">
        <v>170</v>
      </c>
      <c r="D11" s="37" t="s">
        <v>145</v>
      </c>
      <c r="E11" s="329" t="s">
        <v>171</v>
      </c>
      <c r="F11" s="38" t="s">
        <v>146</v>
      </c>
      <c r="G11" s="39">
        <v>18356553626</v>
      </c>
      <c r="H11" s="40"/>
      <c r="I11" s="40"/>
      <c r="J11" s="69"/>
      <c r="K11" s="40"/>
      <c r="L11" s="70">
        <v>9000</v>
      </c>
      <c r="M11" s="71">
        <v>338.16</v>
      </c>
      <c r="N11" s="71">
        <v>124.54</v>
      </c>
      <c r="O11" s="71">
        <v>21.14</v>
      </c>
      <c r="P11" s="71">
        <v>97</v>
      </c>
      <c r="Q11" s="70">
        <f t="shared" si="0"/>
        <v>580.84</v>
      </c>
      <c r="R11" s="70">
        <v>0</v>
      </c>
      <c r="S11" s="92">
        <f t="shared" si="1"/>
        <v>9000</v>
      </c>
      <c r="T11" s="93">
        <v>5000</v>
      </c>
      <c r="U11" s="93">
        <f t="shared" si="2"/>
        <v>580.84</v>
      </c>
      <c r="V11" s="70"/>
      <c r="W11" s="70"/>
      <c r="X11" s="70"/>
      <c r="Y11" s="70"/>
      <c r="Z11" s="70"/>
      <c r="AA11" s="70"/>
      <c r="AB11" s="92">
        <f t="shared" si="3"/>
        <v>0</v>
      </c>
      <c r="AC11" s="92">
        <f t="shared" si="4"/>
        <v>0</v>
      </c>
      <c r="AD11" s="98">
        <f t="shared" si="5"/>
        <v>3419.16</v>
      </c>
      <c r="AE11" s="99">
        <f>ROUND(MAX((AD11)*{0.03;0.1;0.2;0.25;0.3;0.35;0.45}-{0;2520;16920;31920;52920;85920;181920},0),2)</f>
        <v>102.57</v>
      </c>
      <c r="AF11" s="100">
        <v>0</v>
      </c>
      <c r="AG11" s="100">
        <f t="shared" si="6"/>
        <v>102.57</v>
      </c>
      <c r="AH11" s="109">
        <f t="shared" si="7"/>
        <v>8316.59</v>
      </c>
      <c r="AI11" s="108"/>
      <c r="AJ11" s="109">
        <f t="shared" si="8"/>
        <v>8316.59</v>
      </c>
      <c r="AK11" s="109"/>
      <c r="AL11" s="109">
        <f t="shared" si="9"/>
        <v>8419.16</v>
      </c>
      <c r="AM11" s="109"/>
      <c r="AN11" s="109"/>
      <c r="AO11" s="109"/>
      <c r="AP11" s="109"/>
      <c r="AQ11" s="109"/>
      <c r="AR11" s="117" t="str">
        <f t="shared" si="10"/>
        <v>正确</v>
      </c>
      <c r="AS11" s="117" t="str">
        <f>IF(SUMPRODUCT(N(E$1:E$17=E11))&gt;1,"重复","不")</f>
        <v>不</v>
      </c>
      <c r="AT11" s="117" t="str">
        <f>IF(SUMPRODUCT(N(AO$1:AO$17=AO11))&gt;1,"重复","不")</f>
        <v>重复</v>
      </c>
    </row>
    <row r="12" s="12" customFormat="1" ht="18" customHeight="1" spans="1:46">
      <c r="A12" s="36">
        <v>9</v>
      </c>
      <c r="B12" s="37" t="s">
        <v>144</v>
      </c>
      <c r="C12" s="37" t="s">
        <v>174</v>
      </c>
      <c r="D12" s="37" t="s">
        <v>145</v>
      </c>
      <c r="E12" s="329" t="s">
        <v>175</v>
      </c>
      <c r="F12" s="38" t="s">
        <v>146</v>
      </c>
      <c r="G12" s="39">
        <v>18326897140</v>
      </c>
      <c r="H12" s="40"/>
      <c r="I12" s="40"/>
      <c r="J12" s="69"/>
      <c r="K12" s="40"/>
      <c r="L12" s="70">
        <v>7500</v>
      </c>
      <c r="M12" s="71">
        <v>338.16</v>
      </c>
      <c r="N12" s="71">
        <v>90.54</v>
      </c>
      <c r="O12" s="71">
        <v>21.14</v>
      </c>
      <c r="P12" s="71">
        <v>344</v>
      </c>
      <c r="Q12" s="70">
        <f t="shared" si="0"/>
        <v>793.84</v>
      </c>
      <c r="R12" s="70">
        <v>0</v>
      </c>
      <c r="S12" s="92">
        <f t="shared" si="1"/>
        <v>7500</v>
      </c>
      <c r="T12" s="93">
        <v>5000</v>
      </c>
      <c r="U12" s="93">
        <f t="shared" si="2"/>
        <v>793.84</v>
      </c>
      <c r="V12" s="70"/>
      <c r="W12" s="70"/>
      <c r="X12" s="70"/>
      <c r="Y12" s="70"/>
      <c r="Z12" s="70"/>
      <c r="AA12" s="70"/>
      <c r="AB12" s="92">
        <f t="shared" si="3"/>
        <v>0</v>
      </c>
      <c r="AC12" s="92">
        <f t="shared" si="4"/>
        <v>0</v>
      </c>
      <c r="AD12" s="98">
        <f t="shared" si="5"/>
        <v>1706.16</v>
      </c>
      <c r="AE12" s="99">
        <f>ROUND(MAX((AD12)*{0.03;0.1;0.2;0.25;0.3;0.35;0.45}-{0;2520;16920;31920;52920;85920;181920},0),2)</f>
        <v>51.18</v>
      </c>
      <c r="AF12" s="100">
        <v>0</v>
      </c>
      <c r="AG12" s="100">
        <f t="shared" si="6"/>
        <v>51.18</v>
      </c>
      <c r="AH12" s="109">
        <f t="shared" si="7"/>
        <v>6654.98</v>
      </c>
      <c r="AI12" s="108"/>
      <c r="AJ12" s="109">
        <f t="shared" si="8"/>
        <v>6654.98</v>
      </c>
      <c r="AK12" s="109"/>
      <c r="AL12" s="109">
        <f t="shared" si="9"/>
        <v>6706.16</v>
      </c>
      <c r="AM12" s="109"/>
      <c r="AN12" s="109"/>
      <c r="AO12" s="109"/>
      <c r="AP12" s="109"/>
      <c r="AQ12" s="109"/>
      <c r="AR12" s="117" t="str">
        <f t="shared" si="10"/>
        <v>正确</v>
      </c>
      <c r="AS12" s="117" t="str">
        <f>IF(SUMPRODUCT(N(E$1:E$17=E12))&gt;1,"重复","不")</f>
        <v>不</v>
      </c>
      <c r="AT12" s="117" t="str">
        <f>IF(SUMPRODUCT(N(AO$1:AO$17=AO12))&gt;1,"重复","不")</f>
        <v>重复</v>
      </c>
    </row>
    <row r="13" s="12" customFormat="1" ht="18" customHeight="1" spans="1:46">
      <c r="A13" s="36">
        <v>10</v>
      </c>
      <c r="B13" s="37" t="s">
        <v>144</v>
      </c>
      <c r="C13" s="37" t="s">
        <v>176</v>
      </c>
      <c r="D13" s="37" t="s">
        <v>145</v>
      </c>
      <c r="E13" s="329" t="s">
        <v>177</v>
      </c>
      <c r="F13" s="38" t="s">
        <v>146</v>
      </c>
      <c r="G13" s="39">
        <v>17201857014</v>
      </c>
      <c r="H13" s="40"/>
      <c r="I13" s="40"/>
      <c r="J13" s="69"/>
      <c r="K13" s="40"/>
      <c r="L13" s="70">
        <v>8000</v>
      </c>
      <c r="M13" s="71">
        <v>338.16</v>
      </c>
      <c r="N13" s="71">
        <v>90.54</v>
      </c>
      <c r="O13" s="71">
        <v>21.14</v>
      </c>
      <c r="P13" s="71">
        <v>344</v>
      </c>
      <c r="Q13" s="70">
        <f t="shared" si="0"/>
        <v>793.84</v>
      </c>
      <c r="R13" s="70">
        <v>0</v>
      </c>
      <c r="S13" s="92">
        <f t="shared" si="1"/>
        <v>8000</v>
      </c>
      <c r="T13" s="93">
        <v>5000</v>
      </c>
      <c r="U13" s="93">
        <f t="shared" si="2"/>
        <v>793.84</v>
      </c>
      <c r="V13" s="70"/>
      <c r="W13" s="70"/>
      <c r="X13" s="70"/>
      <c r="Y13" s="70"/>
      <c r="Z13" s="70"/>
      <c r="AA13" s="70"/>
      <c r="AB13" s="92">
        <f t="shared" si="3"/>
        <v>0</v>
      </c>
      <c r="AC13" s="92">
        <f t="shared" si="4"/>
        <v>0</v>
      </c>
      <c r="AD13" s="98">
        <f t="shared" si="5"/>
        <v>2206.16</v>
      </c>
      <c r="AE13" s="99">
        <f>ROUND(MAX((AD13)*{0.03;0.1;0.2;0.25;0.3;0.35;0.45}-{0;2520;16920;31920;52920;85920;181920},0),2)</f>
        <v>66.18</v>
      </c>
      <c r="AF13" s="100">
        <v>0</v>
      </c>
      <c r="AG13" s="100">
        <f t="shared" si="6"/>
        <v>66.18</v>
      </c>
      <c r="AH13" s="109">
        <f t="shared" si="7"/>
        <v>7139.98</v>
      </c>
      <c r="AI13" s="108"/>
      <c r="AJ13" s="109">
        <f t="shared" si="8"/>
        <v>7139.98</v>
      </c>
      <c r="AK13" s="109"/>
      <c r="AL13" s="109">
        <f t="shared" si="9"/>
        <v>7206.16</v>
      </c>
      <c r="AM13" s="109"/>
      <c r="AN13" s="109"/>
      <c r="AO13" s="109"/>
      <c r="AP13" s="109"/>
      <c r="AQ13" s="109"/>
      <c r="AR13" s="117" t="str">
        <f t="shared" si="10"/>
        <v>正确</v>
      </c>
      <c r="AS13" s="117" t="str">
        <f>IF(SUMPRODUCT(N(E$1:E$17=E13))&gt;1,"重复","不")</f>
        <v>不</v>
      </c>
      <c r="AT13" s="117" t="str">
        <f>IF(SUMPRODUCT(N(AO$1:AO$17=AO13))&gt;1,"重复","不")</f>
        <v>重复</v>
      </c>
    </row>
    <row r="14" s="12" customFormat="1" ht="18" customHeight="1" spans="1:46">
      <c r="A14" s="36">
        <v>11</v>
      </c>
      <c r="B14" s="37" t="s">
        <v>144</v>
      </c>
      <c r="C14" s="37" t="s">
        <v>183</v>
      </c>
      <c r="D14" s="37" t="s">
        <v>145</v>
      </c>
      <c r="E14" s="329" t="s">
        <v>184</v>
      </c>
      <c r="F14" s="38" t="s">
        <v>150</v>
      </c>
      <c r="G14" s="39"/>
      <c r="H14" s="40"/>
      <c r="I14" s="40"/>
      <c r="J14" s="69"/>
      <c r="K14" s="40"/>
      <c r="L14" s="70">
        <v>6000</v>
      </c>
      <c r="M14" s="71">
        <v>338.16</v>
      </c>
      <c r="N14" s="71">
        <v>84.54</v>
      </c>
      <c r="O14" s="71">
        <v>21.14</v>
      </c>
      <c r="P14" s="71">
        <v>103</v>
      </c>
      <c r="Q14" s="70">
        <f t="shared" si="0"/>
        <v>546.84</v>
      </c>
      <c r="R14" s="70">
        <v>0</v>
      </c>
      <c r="S14" s="92">
        <f t="shared" si="1"/>
        <v>6000</v>
      </c>
      <c r="T14" s="93">
        <v>5000</v>
      </c>
      <c r="U14" s="93">
        <f t="shared" si="2"/>
        <v>546.84</v>
      </c>
      <c r="V14" s="70"/>
      <c r="W14" s="70"/>
      <c r="X14" s="70"/>
      <c r="Y14" s="70"/>
      <c r="Z14" s="70"/>
      <c r="AA14" s="70"/>
      <c r="AB14" s="92">
        <f t="shared" si="3"/>
        <v>0</v>
      </c>
      <c r="AC14" s="92">
        <f t="shared" si="4"/>
        <v>0</v>
      </c>
      <c r="AD14" s="98">
        <f t="shared" si="5"/>
        <v>453.16</v>
      </c>
      <c r="AE14" s="99">
        <f>ROUND(MAX((AD14)*{0.03;0.1;0.2;0.25;0.3;0.35;0.45}-{0;2520;16920;31920;52920;85920;181920},0),2)</f>
        <v>13.59</v>
      </c>
      <c r="AF14" s="100">
        <v>0</v>
      </c>
      <c r="AG14" s="100">
        <f t="shared" si="6"/>
        <v>13.59</v>
      </c>
      <c r="AH14" s="109">
        <f t="shared" si="7"/>
        <v>5439.57</v>
      </c>
      <c r="AI14" s="108"/>
      <c r="AJ14" s="109">
        <f t="shared" si="8"/>
        <v>5439.57</v>
      </c>
      <c r="AK14" s="109"/>
      <c r="AL14" s="109">
        <f t="shared" si="9"/>
        <v>5453.16</v>
      </c>
      <c r="AM14" s="109"/>
      <c r="AN14" s="109"/>
      <c r="AO14" s="109"/>
      <c r="AP14" s="109"/>
      <c r="AQ14" s="109"/>
      <c r="AR14" s="117" t="str">
        <f t="shared" si="10"/>
        <v>正确</v>
      </c>
      <c r="AS14" s="117" t="str">
        <f>IF(SUMPRODUCT(N(E$1:E$17=E14))&gt;1,"重复","不")</f>
        <v>不</v>
      </c>
      <c r="AT14" s="117" t="str">
        <f>IF(SUMPRODUCT(N(AO$1:AO$17=AO14))&gt;1,"重复","不")</f>
        <v>重复</v>
      </c>
    </row>
    <row r="15" s="12" customFormat="1" ht="18" customHeight="1" spans="1:46">
      <c r="A15" s="36">
        <v>12</v>
      </c>
      <c r="B15" s="37" t="s">
        <v>144</v>
      </c>
      <c r="C15" s="37" t="s">
        <v>185</v>
      </c>
      <c r="D15" s="37" t="s">
        <v>145</v>
      </c>
      <c r="E15" s="329" t="s">
        <v>186</v>
      </c>
      <c r="F15" s="38" t="s">
        <v>146</v>
      </c>
      <c r="G15" s="39">
        <v>15056587375</v>
      </c>
      <c r="H15" s="40"/>
      <c r="I15" s="40"/>
      <c r="J15" s="69"/>
      <c r="K15" s="40"/>
      <c r="L15" s="70">
        <v>10000</v>
      </c>
      <c r="M15" s="71">
        <v>338.16</v>
      </c>
      <c r="N15" s="71">
        <v>93.7</v>
      </c>
      <c r="O15" s="71">
        <v>21.14</v>
      </c>
      <c r="P15" s="71">
        <v>97</v>
      </c>
      <c r="Q15" s="70">
        <f t="shared" si="0"/>
        <v>550</v>
      </c>
      <c r="R15" s="70">
        <v>0</v>
      </c>
      <c r="S15" s="92">
        <f t="shared" si="1"/>
        <v>10000</v>
      </c>
      <c r="T15" s="93">
        <v>5000</v>
      </c>
      <c r="U15" s="93">
        <f t="shared" si="2"/>
        <v>550</v>
      </c>
      <c r="V15" s="70"/>
      <c r="W15" s="70"/>
      <c r="X15" s="70"/>
      <c r="Y15" s="70"/>
      <c r="Z15" s="70"/>
      <c r="AA15" s="70"/>
      <c r="AB15" s="92">
        <f t="shared" si="3"/>
        <v>0</v>
      </c>
      <c r="AC15" s="92">
        <f t="shared" si="4"/>
        <v>0</v>
      </c>
      <c r="AD15" s="98">
        <f t="shared" si="5"/>
        <v>4450</v>
      </c>
      <c r="AE15" s="99">
        <f>ROUND(MAX((AD15)*{0.03;0.1;0.2;0.25;0.3;0.35;0.45}-{0;2520;16920;31920;52920;85920;181920},0),2)</f>
        <v>133.5</v>
      </c>
      <c r="AF15" s="100">
        <v>0</v>
      </c>
      <c r="AG15" s="100">
        <f t="shared" si="6"/>
        <v>133.5</v>
      </c>
      <c r="AH15" s="109">
        <f t="shared" si="7"/>
        <v>9316.5</v>
      </c>
      <c r="AI15" s="108"/>
      <c r="AJ15" s="109">
        <f t="shared" si="8"/>
        <v>9316.5</v>
      </c>
      <c r="AK15" s="109"/>
      <c r="AL15" s="109">
        <f t="shared" si="9"/>
        <v>9450</v>
      </c>
      <c r="AM15" s="109"/>
      <c r="AN15" s="109"/>
      <c r="AO15" s="109"/>
      <c r="AP15" s="109"/>
      <c r="AQ15" s="109"/>
      <c r="AR15" s="117" t="str">
        <f t="shared" si="10"/>
        <v>正确</v>
      </c>
      <c r="AS15" s="117" t="str">
        <f>IF(SUMPRODUCT(N(E$1:E$17=E15))&gt;1,"重复","不")</f>
        <v>不</v>
      </c>
      <c r="AT15" s="117" t="str">
        <f>IF(SUMPRODUCT(N(AO$1:AO$17=AO15))&gt;1,"重复","不")</f>
        <v>重复</v>
      </c>
    </row>
    <row r="16" s="12" customFormat="1" ht="18" customHeight="1" spans="1:46">
      <c r="A16" s="36">
        <v>13</v>
      </c>
      <c r="B16" s="37" t="s">
        <v>144</v>
      </c>
      <c r="C16" s="37" t="s">
        <v>187</v>
      </c>
      <c r="D16" s="37" t="s">
        <v>145</v>
      </c>
      <c r="E16" s="37" t="s">
        <v>188</v>
      </c>
      <c r="F16" s="38" t="s">
        <v>146</v>
      </c>
      <c r="G16" s="39">
        <v>13711361074</v>
      </c>
      <c r="H16" s="40"/>
      <c r="I16" s="40"/>
      <c r="J16" s="69"/>
      <c r="K16" s="40"/>
      <c r="L16" s="70">
        <v>7600</v>
      </c>
      <c r="M16" s="71">
        <v>359.52</v>
      </c>
      <c r="N16" s="71">
        <v>96.88</v>
      </c>
      <c r="O16" s="71">
        <v>13.48</v>
      </c>
      <c r="P16" s="71">
        <v>110.5</v>
      </c>
      <c r="Q16" s="70">
        <f t="shared" si="0"/>
        <v>580.38</v>
      </c>
      <c r="R16" s="70">
        <v>0</v>
      </c>
      <c r="S16" s="92">
        <f t="shared" si="1"/>
        <v>7600</v>
      </c>
      <c r="T16" s="93">
        <v>5000</v>
      </c>
      <c r="U16" s="93">
        <f t="shared" si="2"/>
        <v>580.38</v>
      </c>
      <c r="V16" s="70"/>
      <c r="W16" s="70"/>
      <c r="X16" s="70"/>
      <c r="Y16" s="70"/>
      <c r="Z16" s="70"/>
      <c r="AA16" s="70"/>
      <c r="AB16" s="92">
        <f t="shared" si="3"/>
        <v>0</v>
      </c>
      <c r="AC16" s="92">
        <f t="shared" si="4"/>
        <v>0</v>
      </c>
      <c r="AD16" s="98">
        <f t="shared" si="5"/>
        <v>2019.62</v>
      </c>
      <c r="AE16" s="99">
        <f>ROUND(MAX((AD16)*{0.03;0.1;0.2;0.25;0.3;0.35;0.45}-{0;2520;16920;31920;52920;85920;181920},0),2)</f>
        <v>60.59</v>
      </c>
      <c r="AF16" s="100">
        <v>0</v>
      </c>
      <c r="AG16" s="100">
        <f t="shared" si="6"/>
        <v>60.59</v>
      </c>
      <c r="AH16" s="109">
        <f t="shared" si="7"/>
        <v>6959.03</v>
      </c>
      <c r="AI16" s="108"/>
      <c r="AJ16" s="109">
        <f t="shared" si="8"/>
        <v>6959.03</v>
      </c>
      <c r="AK16" s="109"/>
      <c r="AL16" s="109">
        <f t="shared" si="9"/>
        <v>7019.62</v>
      </c>
      <c r="AM16" s="109"/>
      <c r="AN16" s="109"/>
      <c r="AO16" s="109"/>
      <c r="AP16" s="109"/>
      <c r="AQ16" s="109"/>
      <c r="AR16" s="117" t="str">
        <f t="shared" si="10"/>
        <v>正确</v>
      </c>
      <c r="AS16" s="117" t="str">
        <f>IF(SUMPRODUCT(N(E$1:E$17=E16))&gt;1,"重复","不")</f>
        <v>不</v>
      </c>
      <c r="AT16" s="117" t="str">
        <f>IF(SUMPRODUCT(N(AO$1:AO$17=AO16))&gt;1,"重复","不")</f>
        <v>重复</v>
      </c>
    </row>
    <row r="17" s="12" customFormat="1" ht="18" customHeight="1" spans="1:46">
      <c r="A17" s="36"/>
      <c r="B17" s="37"/>
      <c r="C17" s="37"/>
      <c r="D17" s="37"/>
      <c r="E17" s="37"/>
      <c r="F17" s="38"/>
      <c r="G17" s="39"/>
      <c r="H17" s="40"/>
      <c r="I17" s="40"/>
      <c r="J17" s="69"/>
      <c r="K17" s="40"/>
      <c r="L17" s="70"/>
      <c r="M17" s="71"/>
      <c r="N17" s="71"/>
      <c r="O17" s="71"/>
      <c r="P17" s="71"/>
      <c r="Q17" s="89"/>
      <c r="R17" s="70"/>
      <c r="S17" s="90"/>
      <c r="T17" s="91"/>
      <c r="U17" s="91"/>
      <c r="V17" s="125"/>
      <c r="W17" s="125"/>
      <c r="X17" s="125"/>
      <c r="Y17" s="125"/>
      <c r="Z17" s="125"/>
      <c r="AA17" s="125"/>
      <c r="AB17" s="90"/>
      <c r="AC17" s="90"/>
      <c r="AD17" s="95"/>
      <c r="AE17" s="96"/>
      <c r="AF17" s="97"/>
      <c r="AG17" s="97"/>
      <c r="AH17" s="107"/>
      <c r="AI17" s="108"/>
      <c r="AJ17" s="107"/>
      <c r="AK17" s="109"/>
      <c r="AL17" s="107"/>
      <c r="AM17" s="109"/>
      <c r="AN17" s="109"/>
      <c r="AO17" s="109"/>
      <c r="AP17" s="109"/>
      <c r="AQ17" s="109"/>
      <c r="AR17" s="116"/>
      <c r="AS17" s="116"/>
      <c r="AT17" s="116"/>
    </row>
    <row r="18" s="13" customFormat="1" ht="18" customHeight="1" spans="1:46">
      <c r="A18" s="41"/>
      <c r="B18" s="42" t="s">
        <v>189</v>
      </c>
      <c r="C18" s="42"/>
      <c r="D18" s="43"/>
      <c r="E18" s="44"/>
      <c r="F18" s="45"/>
      <c r="G18" s="46"/>
      <c r="H18" s="45"/>
      <c r="I18" s="72"/>
      <c r="J18" s="73"/>
      <c r="K18" s="72"/>
      <c r="L18" s="74">
        <f>SUM(L4:L17)</f>
        <v>122742.9</v>
      </c>
      <c r="M18" s="74">
        <f t="shared" ref="M18:AL18" si="11">SUM(M4:M17)</f>
        <v>4946.09</v>
      </c>
      <c r="N18" s="74">
        <f t="shared" si="11"/>
        <v>1349.72</v>
      </c>
      <c r="O18" s="74">
        <f t="shared" si="11"/>
        <v>253.05</v>
      </c>
      <c r="P18" s="74">
        <f t="shared" si="11"/>
        <v>2232.9</v>
      </c>
      <c r="Q18" s="74">
        <f t="shared" si="11"/>
        <v>8781.76</v>
      </c>
      <c r="R18" s="74">
        <f t="shared" si="11"/>
        <v>0</v>
      </c>
      <c r="S18" s="74">
        <f t="shared" si="11"/>
        <v>122742.9</v>
      </c>
      <c r="T18" s="74">
        <f t="shared" si="11"/>
        <v>65000</v>
      </c>
      <c r="U18" s="74">
        <f t="shared" si="11"/>
        <v>8781.76</v>
      </c>
      <c r="V18" s="74">
        <f t="shared" si="11"/>
        <v>0</v>
      </c>
      <c r="W18" s="74">
        <f t="shared" si="11"/>
        <v>0</v>
      </c>
      <c r="X18" s="74">
        <f t="shared" si="11"/>
        <v>0</v>
      </c>
      <c r="Y18" s="74">
        <f t="shared" si="11"/>
        <v>0</v>
      </c>
      <c r="Z18" s="74">
        <f t="shared" si="11"/>
        <v>0</v>
      </c>
      <c r="AA18" s="74">
        <f t="shared" si="11"/>
        <v>0</v>
      </c>
      <c r="AB18" s="74">
        <f t="shared" si="11"/>
        <v>0</v>
      </c>
      <c r="AC18" s="74">
        <f t="shared" si="11"/>
        <v>0</v>
      </c>
      <c r="AD18" s="74">
        <f t="shared" si="11"/>
        <v>48961.14</v>
      </c>
      <c r="AE18" s="74">
        <f t="shared" si="11"/>
        <v>1506.06</v>
      </c>
      <c r="AF18" s="74">
        <f t="shared" si="11"/>
        <v>0</v>
      </c>
      <c r="AG18" s="74">
        <f t="shared" si="11"/>
        <v>1506.06</v>
      </c>
      <c r="AH18" s="74">
        <f t="shared" si="11"/>
        <v>112455.08</v>
      </c>
      <c r="AI18" s="74">
        <f t="shared" si="11"/>
        <v>0</v>
      </c>
      <c r="AJ18" s="74">
        <f t="shared" si="11"/>
        <v>112455.08</v>
      </c>
      <c r="AK18" s="74">
        <f t="shared" si="11"/>
        <v>0</v>
      </c>
      <c r="AL18" s="74">
        <f t="shared" si="11"/>
        <v>113961.14</v>
      </c>
      <c r="AM18" s="110"/>
      <c r="AN18" s="110"/>
      <c r="AO18" s="110"/>
      <c r="AP18" s="110"/>
      <c r="AQ18" s="110"/>
      <c r="AR18" s="45"/>
      <c r="AS18" s="45"/>
      <c r="AT18" s="118"/>
    </row>
    <row r="19" spans="38:38">
      <c r="AL19" s="15">
        <v>31841.4778</v>
      </c>
    </row>
    <row r="21" spans="30:30">
      <c r="AD21" s="101"/>
    </row>
    <row r="22" ht="18.75" customHeight="1" spans="2:30">
      <c r="B22" s="47" t="s">
        <v>133</v>
      </c>
      <c r="C22" s="47" t="s">
        <v>190</v>
      </c>
      <c r="D22" s="47" t="s">
        <v>210</v>
      </c>
      <c r="E22" s="47" t="s">
        <v>23</v>
      </c>
      <c r="AD22" s="10"/>
    </row>
    <row r="23" ht="18.75" customHeight="1" spans="2:5">
      <c r="B23" s="48">
        <f>AJ18</f>
        <v>112455.08</v>
      </c>
      <c r="C23" s="48">
        <f>AG18</f>
        <v>1506.06</v>
      </c>
      <c r="D23" s="48">
        <f>AK18</f>
        <v>0</v>
      </c>
      <c r="E23" s="48">
        <f>B23+C23+D23</f>
        <v>113961.14</v>
      </c>
    </row>
    <row r="24" spans="2:5">
      <c r="B24" s="49"/>
      <c r="C24" s="49"/>
      <c r="D24" s="49"/>
      <c r="E24" s="49"/>
    </row>
    <row r="25" s="14" customFormat="1" spans="1:35">
      <c r="A25" s="51" t="s">
        <v>191</v>
      </c>
      <c r="B25" s="52" t="s">
        <v>192</v>
      </c>
      <c r="C25" s="50"/>
      <c r="D25" s="50"/>
      <c r="E25" s="50"/>
      <c r="G25" s="53"/>
      <c r="J25" s="75"/>
      <c r="M25" s="76"/>
      <c r="AI25" s="112"/>
    </row>
    <row r="26" s="14" customFormat="1" spans="1:35">
      <c r="A26" s="54"/>
      <c r="B26" s="55" t="s">
        <v>193</v>
      </c>
      <c r="C26" s="50"/>
      <c r="D26" s="50"/>
      <c r="E26" s="50"/>
      <c r="G26" s="53"/>
      <c r="J26" s="75"/>
      <c r="M26" s="76"/>
      <c r="AI26" s="112"/>
    </row>
    <row r="27" s="14" customFormat="1" spans="1:35">
      <c r="A27" s="52"/>
      <c r="B27" s="55" t="s">
        <v>194</v>
      </c>
      <c r="C27" s="56"/>
      <c r="D27" s="56"/>
      <c r="E27" s="56"/>
      <c r="F27" s="56"/>
      <c r="G27" s="56"/>
      <c r="H27" s="56"/>
      <c r="I27" s="56"/>
      <c r="J27" s="77"/>
      <c r="K27" s="56"/>
      <c r="L27" s="56"/>
      <c r="M27" s="78"/>
      <c r="N27" s="56"/>
      <c r="O27" s="56"/>
      <c r="P27" s="56"/>
      <c r="AI27" s="112"/>
    </row>
    <row r="28" s="14" customFormat="1" customHeight="1" spans="1:35">
      <c r="A28" s="55"/>
      <c r="B28" s="55" t="s">
        <v>195</v>
      </c>
      <c r="C28" s="57"/>
      <c r="D28" s="57"/>
      <c r="E28" s="57"/>
      <c r="F28" s="57"/>
      <c r="G28" s="57"/>
      <c r="H28" s="57"/>
      <c r="I28" s="79"/>
      <c r="J28" s="80"/>
      <c r="K28" s="79"/>
      <c r="L28" s="79"/>
      <c r="M28" s="81"/>
      <c r="N28" s="79"/>
      <c r="O28" s="79"/>
      <c r="P28" s="79"/>
      <c r="AI28" s="112"/>
    </row>
    <row r="29" s="14" customFormat="1" customHeight="1" spans="1:35">
      <c r="A29" s="55"/>
      <c r="B29" s="55" t="s">
        <v>196</v>
      </c>
      <c r="C29" s="57"/>
      <c r="D29" s="57"/>
      <c r="E29" s="57"/>
      <c r="F29" s="57"/>
      <c r="G29" s="57"/>
      <c r="H29" s="57"/>
      <c r="I29" s="57"/>
      <c r="J29" s="82"/>
      <c r="K29" s="57"/>
      <c r="L29" s="79"/>
      <c r="M29" s="81"/>
      <c r="N29" s="79"/>
      <c r="O29" s="79"/>
      <c r="P29" s="79"/>
      <c r="AI29" s="112"/>
    </row>
    <row r="30" s="14" customFormat="1" customHeight="1" spans="1:35">
      <c r="A30" s="55"/>
      <c r="B30" s="55" t="s">
        <v>197</v>
      </c>
      <c r="C30" s="57"/>
      <c r="D30" s="57"/>
      <c r="E30" s="57"/>
      <c r="F30" s="57"/>
      <c r="G30" s="57"/>
      <c r="H30" s="57"/>
      <c r="I30" s="79"/>
      <c r="J30" s="80"/>
      <c r="K30" s="79"/>
      <c r="L30" s="79"/>
      <c r="M30" s="81"/>
      <c r="N30" s="79"/>
      <c r="O30" s="79"/>
      <c r="P30" s="79"/>
      <c r="AI30" s="112"/>
    </row>
    <row r="32" ht="11.25" customHeight="1" spans="2:2">
      <c r="B32" s="58" t="s">
        <v>198</v>
      </c>
    </row>
    <row r="33" spans="2:2">
      <c r="B33" s="59" t="s">
        <v>199</v>
      </c>
    </row>
    <row r="34" spans="2:2">
      <c r="B34" s="59" t="s">
        <v>200</v>
      </c>
    </row>
  </sheetData>
  <autoFilter xmlns:etc="http://www.wps.cn/officeDocument/2017/etCustomData" ref="A3:AT19" etc:filterBottomFollowUsedRange="0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0">
    <cfRule type="duplicateValues" dxfId="4" priority="2" stopIfTrue="1"/>
  </conditionalFormatting>
  <conditionalFormatting sqref="B25:B29">
    <cfRule type="duplicateValues" dxfId="4" priority="3" stopIfTrue="1"/>
  </conditionalFormatting>
  <conditionalFormatting sqref="B33:B34">
    <cfRule type="duplicateValues" dxfId="4" priority="1" stopIfTrue="1"/>
  </conditionalFormatting>
  <conditionalFormatting sqref="C22:C24">
    <cfRule type="duplicateValues" dxfId="4" priority="4" stopIfTrue="1"/>
    <cfRule type="expression" dxfId="5" priority="5" stopIfTrue="1">
      <formula>AND(COUNTIF($B$18:$B$65454,C22)+COUNTIF($B$1:$B$3,C22)&gt;1,NOT(ISBLANK(C22)))</formula>
    </cfRule>
    <cfRule type="expression" dxfId="5" priority="6" stopIfTrue="1">
      <formula>AND(COUNTIF($B$29:$B$65405,C22)+COUNTIF($B$1:$B$28,C22)&gt;1,NOT(ISBLANK(C22)))</formula>
    </cfRule>
    <cfRule type="expression" dxfId="5" priority="7" stopIfTrue="1">
      <formula>AND(COUNTIF($B$18:$B$65443,C22)+COUNTIF($B$1:$B$3,C22)&gt;1,NOT(ISBLANK(C22)))</formula>
    </cfRule>
  </conditionalFormatting>
  <pageMargins left="0.235416666666667" right="0.235416666666667" top="0.747916666666667" bottom="0.747916666666667" header="0.313888888888889" footer="0.313888888888889"/>
  <pageSetup paperSize="9" scale="40" fitToWidth="2" orientation="landscape"/>
  <headerFooter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>
    <tabColor rgb="FF00B050"/>
    <pageSetUpPr fitToPage="1"/>
  </sheetPr>
  <dimension ref="A1:AV34"/>
  <sheetViews>
    <sheetView workbookViewId="0">
      <pane xSplit="6" ySplit="3" topLeftCell="G8" activePane="bottomRight" state="frozen"/>
      <selection/>
      <selection pane="topRight"/>
      <selection pane="bottomLeft"/>
      <selection pane="bottomRight" activeCell="E23" sqref="E23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hidden="1" customWidth="1"/>
    <col min="11" max="11" width="5.26666666666667" style="15" hidden="1" customWidth="1"/>
    <col min="12" max="12" width="11.725" style="15" customWidth="1"/>
    <col min="13" max="13" width="9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1.45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hidden="1" customWidth="1"/>
    <col min="41" max="41" width="19" style="15" hidden="1" customWidth="1"/>
    <col min="42" max="42" width="12.2666666666667" style="15" hidden="1" customWidth="1"/>
    <col min="43" max="43" width="9" style="15" hidden="1" customWidth="1"/>
    <col min="44" max="44" width="7" style="15" hidden="1" customWidth="1"/>
    <col min="45" max="45" width="6.725" style="15" hidden="1" customWidth="1"/>
    <col min="46" max="46" width="6.09166666666667" style="15" hidden="1" customWidth="1"/>
    <col min="47" max="16384" width="9" style="15"/>
  </cols>
  <sheetData>
    <row r="1" s="10" customFormat="1" ht="29.25" customHeight="1" spans="1:45">
      <c r="A1" s="20" t="s">
        <v>105</v>
      </c>
      <c r="B1" s="21"/>
      <c r="C1" s="22"/>
      <c r="D1" s="23"/>
      <c r="E1" s="24"/>
      <c r="F1" s="24"/>
      <c r="G1" s="25"/>
      <c r="J1" s="60"/>
      <c r="L1" s="61"/>
      <c r="M1" s="62" t="s">
        <v>106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107</v>
      </c>
      <c r="C2" s="28" t="s">
        <v>108</v>
      </c>
      <c r="D2" s="28" t="s">
        <v>109</v>
      </c>
      <c r="E2" s="29" t="s">
        <v>110</v>
      </c>
      <c r="F2" s="30" t="s">
        <v>111</v>
      </c>
      <c r="G2" s="29" t="s">
        <v>112</v>
      </c>
      <c r="H2" s="29" t="s">
        <v>113</v>
      </c>
      <c r="I2" s="29" t="s">
        <v>114</v>
      </c>
      <c r="J2" s="63" t="s">
        <v>115</v>
      </c>
      <c r="K2" s="29" t="s">
        <v>116</v>
      </c>
      <c r="L2" s="29" t="s">
        <v>117</v>
      </c>
      <c r="M2" s="64" t="s">
        <v>118</v>
      </c>
      <c r="N2" s="65"/>
      <c r="O2" s="65"/>
      <c r="P2" s="66"/>
      <c r="Q2" s="30" t="s">
        <v>119</v>
      </c>
      <c r="R2" s="29" t="s">
        <v>120</v>
      </c>
      <c r="S2" s="30" t="s">
        <v>121</v>
      </c>
      <c r="T2" s="84" t="s">
        <v>122</v>
      </c>
      <c r="U2" s="30" t="s">
        <v>123</v>
      </c>
      <c r="V2" s="85" t="s">
        <v>124</v>
      </c>
      <c r="W2" s="86"/>
      <c r="X2" s="86"/>
      <c r="Y2" s="86"/>
      <c r="Z2" s="86"/>
      <c r="AA2" s="94"/>
      <c r="AB2" s="30" t="s">
        <v>125</v>
      </c>
      <c r="AC2" s="30" t="s">
        <v>126</v>
      </c>
      <c r="AD2" s="84" t="s">
        <v>127</v>
      </c>
      <c r="AE2" s="84" t="s">
        <v>128</v>
      </c>
      <c r="AF2" s="84" t="s">
        <v>129</v>
      </c>
      <c r="AG2" s="84" t="s">
        <v>130</v>
      </c>
      <c r="AH2" s="103" t="s">
        <v>131</v>
      </c>
      <c r="AI2" s="104" t="s">
        <v>132</v>
      </c>
      <c r="AJ2" s="103" t="s">
        <v>133</v>
      </c>
      <c r="AK2" s="28" t="s">
        <v>22</v>
      </c>
      <c r="AL2" s="103" t="s">
        <v>134</v>
      </c>
      <c r="AM2" s="29" t="s">
        <v>201</v>
      </c>
      <c r="AN2" s="29" t="s">
        <v>202</v>
      </c>
      <c r="AO2" s="114" t="s">
        <v>203</v>
      </c>
      <c r="AP2" s="29" t="s">
        <v>204</v>
      </c>
      <c r="AQ2" s="29" t="s">
        <v>205</v>
      </c>
      <c r="AR2" s="30" t="s">
        <v>206</v>
      </c>
      <c r="AS2" s="30" t="s">
        <v>207</v>
      </c>
      <c r="AT2" s="30" t="s">
        <v>208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135</v>
      </c>
      <c r="N3" s="68" t="s">
        <v>136</v>
      </c>
      <c r="O3" s="68" t="s">
        <v>137</v>
      </c>
      <c r="P3" s="68" t="s">
        <v>37</v>
      </c>
      <c r="Q3" s="35"/>
      <c r="R3" s="34"/>
      <c r="S3" s="35"/>
      <c r="T3" s="87"/>
      <c r="U3" s="35"/>
      <c r="V3" s="88" t="s">
        <v>138</v>
      </c>
      <c r="W3" s="88" t="s">
        <v>139</v>
      </c>
      <c r="X3" s="88" t="s">
        <v>140</v>
      </c>
      <c r="Y3" s="88" t="s">
        <v>141</v>
      </c>
      <c r="Z3" s="88" t="s">
        <v>142</v>
      </c>
      <c r="AA3" s="88" t="s">
        <v>143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7">
      <c r="A4" s="36">
        <v>1</v>
      </c>
      <c r="B4" s="37" t="s">
        <v>144</v>
      </c>
      <c r="C4" s="37" t="s">
        <v>61</v>
      </c>
      <c r="D4" s="37" t="s">
        <v>145</v>
      </c>
      <c r="E4" s="37" t="s">
        <v>62</v>
      </c>
      <c r="F4" s="38" t="s">
        <v>146</v>
      </c>
      <c r="G4" s="39">
        <v>13944441728</v>
      </c>
      <c r="H4" s="40"/>
      <c r="I4" s="40"/>
      <c r="J4" s="69"/>
      <c r="K4" s="40"/>
      <c r="L4" s="70">
        <v>8000</v>
      </c>
      <c r="M4" s="71">
        <v>344.57</v>
      </c>
      <c r="N4" s="71">
        <v>86.14</v>
      </c>
      <c r="O4" s="71">
        <v>12.92</v>
      </c>
      <c r="P4" s="71">
        <v>177.4</v>
      </c>
      <c r="Q4" s="89">
        <f>ROUND(SUM(M4:P4),2)</f>
        <v>621.03</v>
      </c>
      <c r="R4" s="70">
        <v>0</v>
      </c>
      <c r="S4" s="90">
        <f>L4+IFERROR(VLOOKUP($E:$E,'（居民）工资表-2月'!$E:$S,15,0),0)</f>
        <v>16000</v>
      </c>
      <c r="T4" s="91">
        <f>5000+IFERROR(VLOOKUP($E:$E,'（居民）工资表-2月'!$E:$T,16,0),0)</f>
        <v>10000</v>
      </c>
      <c r="U4" s="91">
        <f>Q4+IFERROR(VLOOKUP($E:$E,'（居民）工资表-2月'!$E:$U,17,0),0)</f>
        <v>1242.06</v>
      </c>
      <c r="V4" s="70">
        <v>3000</v>
      </c>
      <c r="W4" s="70"/>
      <c r="X4" s="70">
        <v>3000</v>
      </c>
      <c r="Y4" s="70"/>
      <c r="Z4" s="70">
        <v>1200</v>
      </c>
      <c r="AA4" s="70"/>
      <c r="AB4" s="90">
        <f>ROUND(SUM(V4:AA4),2)</f>
        <v>7200</v>
      </c>
      <c r="AC4" s="90">
        <f>R4+IFERROR(VLOOKUP($E:$E,'（居民）工资表-2月'!$E:$AC,25,0),0)</f>
        <v>0</v>
      </c>
      <c r="AD4" s="95">
        <f>ROUND(S4-T4-U4-AB4-AC4,2)</f>
        <v>-2442.06</v>
      </c>
      <c r="AE4" s="96">
        <f>ROUND(MAX((AD4)*{0.03;0.1;0.2;0.25;0.3;0.35;0.45}-{0;2520;16920;31920;52920;85920;181920},0),2)</f>
        <v>0</v>
      </c>
      <c r="AF4" s="97">
        <f>IFERROR(VLOOKUP(E:E,'（居民）工资表-2月'!E:AF,28,0)+VLOOKUP(E:E,'（居民）工资表-2月'!E:AG,29,0),0)</f>
        <v>71.37</v>
      </c>
      <c r="AG4" s="97">
        <f>IF((AE4-AF4)&lt;0,0,AE4-AF4)</f>
        <v>0</v>
      </c>
      <c r="AH4" s="107">
        <f>ROUND(IF((L4-Q4-AG4)&lt;0,0,(L4-Q4-AG4)),2)</f>
        <v>7378.97</v>
      </c>
      <c r="AI4" s="108"/>
      <c r="AJ4" s="107">
        <f>AH4+AI4</f>
        <v>7378.97</v>
      </c>
      <c r="AK4" s="109"/>
      <c r="AL4" s="107">
        <f>AJ4+AG4+AK4</f>
        <v>7378.97</v>
      </c>
      <c r="AM4" s="109"/>
      <c r="AN4" s="109"/>
      <c r="AO4" s="109"/>
      <c r="AP4" s="109"/>
      <c r="AQ4" s="109"/>
      <c r="AR4" s="116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>IF(SUMPRODUCT(N(E$1:E$5=E4))&gt;1,"重复","不")</f>
        <v>不</v>
      </c>
      <c r="AT4" s="116" t="str">
        <f>IF(SUMPRODUCT(N(AO$1:AO$5=AO4))&gt;1,"重复","不")</f>
        <v>重复</v>
      </c>
      <c r="AU4" s="12">
        <v>0</v>
      </c>
    </row>
    <row r="5" s="12" customFormat="1" ht="18" customHeight="1" spans="1:48">
      <c r="A5" s="36">
        <v>2</v>
      </c>
      <c r="B5" s="37" t="s">
        <v>144</v>
      </c>
      <c r="C5" s="37" t="s">
        <v>148</v>
      </c>
      <c r="D5" s="37" t="s">
        <v>145</v>
      </c>
      <c r="E5" s="329" t="s">
        <v>149</v>
      </c>
      <c r="F5" s="38" t="s">
        <v>150</v>
      </c>
      <c r="G5" s="39">
        <v>15360550807</v>
      </c>
      <c r="H5" s="40"/>
      <c r="I5" s="40"/>
      <c r="J5" s="69"/>
      <c r="K5" s="40"/>
      <c r="L5" s="70">
        <v>6160</v>
      </c>
      <c r="M5" s="71">
        <v>440</v>
      </c>
      <c r="N5" s="71">
        <v>121.12</v>
      </c>
      <c r="O5" s="71">
        <v>4.6</v>
      </c>
      <c r="P5" s="71">
        <v>115</v>
      </c>
      <c r="Q5" s="89">
        <f>ROUND(SUM(M5:P5),2)</f>
        <v>680.72</v>
      </c>
      <c r="R5" s="70">
        <v>0</v>
      </c>
      <c r="S5" s="90">
        <f>L5+IFERROR(VLOOKUP($E:$E,'（居民）工资表-2月'!$E:$S,15,0),0)</f>
        <v>12320</v>
      </c>
      <c r="T5" s="91">
        <f>5000+IFERROR(VLOOKUP($E:$E,'（居民）工资表-2月'!$E:$T,16,0),0)</f>
        <v>10000</v>
      </c>
      <c r="U5" s="91">
        <f>Q5+IFERROR(VLOOKUP($E:$E,'（居民）工资表-2月'!$E:$U,17,0),0)</f>
        <v>1494.4</v>
      </c>
      <c r="V5" s="70"/>
      <c r="W5" s="70"/>
      <c r="X5" s="70"/>
      <c r="Y5" s="70"/>
      <c r="Z5" s="70"/>
      <c r="AA5" s="70"/>
      <c r="AB5" s="90">
        <f>ROUND(SUM(V5:AA5),2)</f>
        <v>0</v>
      </c>
      <c r="AC5" s="90">
        <f>R5+IFERROR(VLOOKUP($E:$E,'（居民）工资表-2月'!$E:$AC,25,0),0)</f>
        <v>0</v>
      </c>
      <c r="AD5" s="95">
        <f>ROUND(S5-T5-U5-AB5-AC5,2)</f>
        <v>825.6</v>
      </c>
      <c r="AE5" s="96">
        <f>ROUND(MAX((AD5)*{0.03;0.1;0.2;0.25;0.3;0.35;0.45}-{0;2520;16920;31920;52920;85920;181920},0),2)</f>
        <v>24.77</v>
      </c>
      <c r="AF5" s="97">
        <f>IFERROR(VLOOKUP(E:E,'（居民）工资表-2月'!E:AF,28,0)+VLOOKUP(E:E,'（居民）工资表-2月'!E:AG,29,0),0)</f>
        <v>10.39</v>
      </c>
      <c r="AG5" s="97">
        <f>IF((AE5-AF5)&lt;0,0,AE5-AF5)</f>
        <v>14.38</v>
      </c>
      <c r="AH5" s="107">
        <f>ROUND(IF((L5-Q5-AG5)&lt;0,0,(L5-Q5-AG5)),2)</f>
        <v>5464.9</v>
      </c>
      <c r="AI5" s="108"/>
      <c r="AJ5" s="107">
        <f>AH5+AI5</f>
        <v>5464.9</v>
      </c>
      <c r="AK5" s="109"/>
      <c r="AL5" s="107">
        <f>AJ5+AG5+AK5</f>
        <v>5479.28</v>
      </c>
      <c r="AM5" s="109"/>
      <c r="AN5" s="109"/>
      <c r="AO5" s="109"/>
      <c r="AP5" s="109"/>
      <c r="AQ5" s="109"/>
      <c r="AR5" s="116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6" t="str">
        <f>IF(SUMPRODUCT(N(E$1:E$5=E5))&gt;1,"重复","不")</f>
        <v>不</v>
      </c>
      <c r="AT5" s="116" t="str">
        <f>IF(SUMPRODUCT(N(AO$1:AO$5=AO5))&gt;1,"重复","不")</f>
        <v>重复</v>
      </c>
      <c r="AU5" s="12" t="s">
        <v>147</v>
      </c>
      <c r="AV5" s="12" t="s">
        <v>51</v>
      </c>
    </row>
    <row r="6" s="12" customFormat="1" ht="18" customHeight="1" spans="1:48">
      <c r="A6" s="36">
        <v>3</v>
      </c>
      <c r="B6" s="37" t="s">
        <v>144</v>
      </c>
      <c r="C6" s="37" t="s">
        <v>151</v>
      </c>
      <c r="D6" s="37" t="s">
        <v>145</v>
      </c>
      <c r="E6" s="329" t="s">
        <v>152</v>
      </c>
      <c r="F6" s="38" t="s">
        <v>146</v>
      </c>
      <c r="G6" s="39" t="s">
        <v>153</v>
      </c>
      <c r="H6" s="40"/>
      <c r="I6" s="40"/>
      <c r="J6" s="69"/>
      <c r="K6" s="40"/>
      <c r="L6" s="70">
        <v>30060</v>
      </c>
      <c r="M6" s="71">
        <v>590.72</v>
      </c>
      <c r="N6" s="71">
        <v>147.68</v>
      </c>
      <c r="O6" s="71">
        <v>36.92</v>
      </c>
      <c r="P6" s="71">
        <v>188</v>
      </c>
      <c r="Q6" s="89">
        <f t="shared" ref="Q6:Q17" si="0">ROUND(SUM(M6:P6),2)</f>
        <v>963.32</v>
      </c>
      <c r="R6" s="70">
        <v>0</v>
      </c>
      <c r="S6" s="90">
        <f>L6+IFERROR(VLOOKUP($E:$E,'（居民）工资表-2月'!$E:$S,15,0),0)</f>
        <v>60120</v>
      </c>
      <c r="T6" s="91">
        <f>5000+IFERROR(VLOOKUP($E:$E,'（居民）工资表-2月'!$E:$T,16,0),0)</f>
        <v>10000</v>
      </c>
      <c r="U6" s="91">
        <f>Q6+IFERROR(VLOOKUP($E:$E,'（居民）工资表-2月'!$E:$U,17,0),0)</f>
        <v>1926.64</v>
      </c>
      <c r="V6" s="70"/>
      <c r="W6" s="70"/>
      <c r="X6" s="70"/>
      <c r="Y6" s="70"/>
      <c r="Z6" s="70"/>
      <c r="AA6" s="70"/>
      <c r="AB6" s="90">
        <f t="shared" ref="AB6:AB17" si="1">ROUND(SUM(V6:AA6),2)</f>
        <v>0</v>
      </c>
      <c r="AC6" s="90">
        <f>R6+IFERROR(VLOOKUP($E:$E,'（居民）工资表-2月'!$E:$AC,25,0),0)</f>
        <v>0</v>
      </c>
      <c r="AD6" s="95">
        <f t="shared" ref="AD6:AD17" si="2">ROUND(S6-T6-U6-AB6-AC6,2)</f>
        <v>48193.36</v>
      </c>
      <c r="AE6" s="96">
        <f>ROUND(MAX((AD6)*{0.03;0.1;0.2;0.25;0.3;0.35;0.45}-{0;2520;16920;31920;52920;85920;181920},0),2)</f>
        <v>2299.34</v>
      </c>
      <c r="AF6" s="97">
        <f>IFERROR(VLOOKUP(E:E,'（居民）工资表-2月'!E:AF,28,0)+VLOOKUP(E:E,'（居民）工资表-2月'!E:AG,29,0),0)</f>
        <v>722.9</v>
      </c>
      <c r="AG6" s="97">
        <f t="shared" ref="AG6:AG17" si="3">IF((AE6-AF6)&lt;0,0,AE6-AF6)</f>
        <v>1576.44</v>
      </c>
      <c r="AH6" s="107">
        <f t="shared" ref="AH6:AH17" si="4">ROUND(IF((L6-Q6-AG6)&lt;0,0,(L6-Q6-AG6)),2)</f>
        <v>27520.24</v>
      </c>
      <c r="AI6" s="108"/>
      <c r="AJ6" s="107">
        <f t="shared" ref="AJ6:AJ17" si="5">AH6+AI6</f>
        <v>27520.24</v>
      </c>
      <c r="AK6" s="109"/>
      <c r="AL6" s="107">
        <f t="shared" ref="AL6:AL17" si="6">AJ6+AG6+AK6</f>
        <v>29096.68</v>
      </c>
      <c r="AM6" s="109"/>
      <c r="AN6" s="109"/>
      <c r="AO6" s="109"/>
      <c r="AP6" s="109"/>
      <c r="AQ6" s="109"/>
      <c r="AR6" s="116" t="str">
        <f t="shared" ref="AR6:AR17" si="7"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6" t="str">
        <f t="shared" ref="AS6:AS12" si="8">IF(SUMPRODUCT(N(E$1:E$5=E6))&gt;1,"重复","不")</f>
        <v>不</v>
      </c>
      <c r="AT6" s="116" t="str">
        <f t="shared" ref="AT6:AT12" si="9">IF(SUMPRODUCT(N(AO$1:AO$5=AO6))&gt;1,"重复","不")</f>
        <v>重复</v>
      </c>
      <c r="AU6" s="12" t="s">
        <v>50</v>
      </c>
      <c r="AV6" s="12" t="s">
        <v>51</v>
      </c>
    </row>
    <row r="7" s="12" customFormat="1" ht="18" customHeight="1" spans="1:47">
      <c r="A7" s="36">
        <v>4</v>
      </c>
      <c r="B7" s="37" t="s">
        <v>144</v>
      </c>
      <c r="C7" s="37" t="s">
        <v>156</v>
      </c>
      <c r="D7" s="37" t="s">
        <v>145</v>
      </c>
      <c r="E7" s="329" t="s">
        <v>157</v>
      </c>
      <c r="F7" s="38" t="s">
        <v>146</v>
      </c>
      <c r="G7" s="39" t="s">
        <v>158</v>
      </c>
      <c r="H7" s="40"/>
      <c r="I7" s="40"/>
      <c r="J7" s="69"/>
      <c r="K7" s="40"/>
      <c r="L7" s="70">
        <v>9000</v>
      </c>
      <c r="M7" s="71">
        <v>338.16</v>
      </c>
      <c r="N7" s="71">
        <v>93.7</v>
      </c>
      <c r="O7" s="71">
        <v>21.14</v>
      </c>
      <c r="P7" s="71">
        <v>97</v>
      </c>
      <c r="Q7" s="89">
        <f t="shared" si="0"/>
        <v>550</v>
      </c>
      <c r="R7" s="70">
        <v>0</v>
      </c>
      <c r="S7" s="90">
        <f>L7+IFERROR(VLOOKUP($E:$E,'（居民）工资表-2月'!$E:$S,15,0),0)</f>
        <v>18000</v>
      </c>
      <c r="T7" s="91">
        <f>5000+IFERROR(VLOOKUP($E:$E,'（居民）工资表-2月'!$E:$T,16,0),0)</f>
        <v>10000</v>
      </c>
      <c r="U7" s="91">
        <f>Q7+IFERROR(VLOOKUP($E:$E,'（居民）工资表-2月'!$E:$U,17,0),0)</f>
        <v>1100</v>
      </c>
      <c r="V7" s="70"/>
      <c r="W7" s="70"/>
      <c r="X7" s="70"/>
      <c r="Y7" s="70"/>
      <c r="Z7" s="70"/>
      <c r="AA7" s="70"/>
      <c r="AB7" s="90">
        <f t="shared" si="1"/>
        <v>0</v>
      </c>
      <c r="AC7" s="90">
        <f>R7+IFERROR(VLOOKUP($E:$E,'（居民）工资表-2月'!$E:$AC,25,0),0)</f>
        <v>0</v>
      </c>
      <c r="AD7" s="95">
        <f t="shared" si="2"/>
        <v>6900</v>
      </c>
      <c r="AE7" s="96">
        <f>ROUND(MAX((AD7)*{0.03;0.1;0.2;0.25;0.3;0.35;0.45}-{0;2520;16920;31920;52920;85920;181920},0),2)</f>
        <v>207</v>
      </c>
      <c r="AF7" s="97">
        <f>IFERROR(VLOOKUP(E:E,'（居民）工资表-2月'!E:AF,28,0)+VLOOKUP(E:E,'（居民）工资表-2月'!E:AG,29,0),0)</f>
        <v>103.5</v>
      </c>
      <c r="AG7" s="97">
        <f t="shared" si="3"/>
        <v>103.5</v>
      </c>
      <c r="AH7" s="107">
        <f t="shared" si="4"/>
        <v>8346.5</v>
      </c>
      <c r="AI7" s="108"/>
      <c r="AJ7" s="107">
        <f t="shared" si="5"/>
        <v>8346.5</v>
      </c>
      <c r="AK7" s="109"/>
      <c r="AL7" s="107">
        <f t="shared" si="6"/>
        <v>8450</v>
      </c>
      <c r="AM7" s="109"/>
      <c r="AN7" s="109"/>
      <c r="AO7" s="109"/>
      <c r="AP7" s="109"/>
      <c r="AQ7" s="109"/>
      <c r="AR7" s="116" t="str">
        <f t="shared" si="7"/>
        <v>正确</v>
      </c>
      <c r="AS7" s="116" t="str">
        <f t="shared" si="8"/>
        <v>不</v>
      </c>
      <c r="AT7" s="116" t="str">
        <f t="shared" si="9"/>
        <v>重复</v>
      </c>
      <c r="AU7" s="12">
        <v>0</v>
      </c>
    </row>
    <row r="8" s="12" customFormat="1" ht="18" customHeight="1" spans="1:48">
      <c r="A8" s="36">
        <v>5</v>
      </c>
      <c r="B8" s="37" t="s">
        <v>144</v>
      </c>
      <c r="C8" s="37" t="s">
        <v>160</v>
      </c>
      <c r="D8" s="37" t="s">
        <v>145</v>
      </c>
      <c r="E8" s="329" t="s">
        <v>161</v>
      </c>
      <c r="F8" s="38" t="s">
        <v>146</v>
      </c>
      <c r="G8" s="39">
        <v>19356875630</v>
      </c>
      <c r="H8" s="40"/>
      <c r="I8" s="40"/>
      <c r="J8" s="69"/>
      <c r="K8" s="40"/>
      <c r="L8" s="70">
        <v>10500</v>
      </c>
      <c r="M8" s="71">
        <v>338.16</v>
      </c>
      <c r="N8" s="71">
        <v>90.54</v>
      </c>
      <c r="O8" s="71">
        <v>21.14</v>
      </c>
      <c r="P8" s="71">
        <v>344</v>
      </c>
      <c r="Q8" s="89">
        <f t="shared" si="0"/>
        <v>793.84</v>
      </c>
      <c r="R8" s="70">
        <v>0</v>
      </c>
      <c r="S8" s="90">
        <f>L8+IFERROR(VLOOKUP($E:$E,'（居民）工资表-2月'!$E:$S,15,0),0)</f>
        <v>21000</v>
      </c>
      <c r="T8" s="91">
        <f>5000+IFERROR(VLOOKUP($E:$E,'（居民）工资表-2月'!$E:$T,16,0),0)</f>
        <v>10000</v>
      </c>
      <c r="U8" s="91">
        <f>Q8+IFERROR(VLOOKUP($E:$E,'（居民）工资表-2月'!$E:$U,17,0),0)</f>
        <v>1587.68</v>
      </c>
      <c r="V8" s="70"/>
      <c r="W8" s="70"/>
      <c r="X8" s="70"/>
      <c r="Y8" s="70"/>
      <c r="Z8" s="70"/>
      <c r="AA8" s="70"/>
      <c r="AB8" s="90">
        <f t="shared" si="1"/>
        <v>0</v>
      </c>
      <c r="AC8" s="90">
        <f>R8+IFERROR(VLOOKUP($E:$E,'（居民）工资表-2月'!$E:$AC,25,0),0)</f>
        <v>0</v>
      </c>
      <c r="AD8" s="95">
        <f t="shared" si="2"/>
        <v>9412.32</v>
      </c>
      <c r="AE8" s="96">
        <f>ROUND(MAX((AD8)*{0.03;0.1;0.2;0.25;0.3;0.35;0.45}-{0;2520;16920;31920;52920;85920;181920},0),2)</f>
        <v>282.37</v>
      </c>
      <c r="AF8" s="97">
        <f>IFERROR(VLOOKUP(E:E,'（居民）工资表-2月'!E:AF,28,0)+VLOOKUP(E:E,'（居民）工资表-2月'!E:AG,29,0),0)</f>
        <v>141.18</v>
      </c>
      <c r="AG8" s="97">
        <f t="shared" si="3"/>
        <v>141.19</v>
      </c>
      <c r="AH8" s="107">
        <f t="shared" si="4"/>
        <v>9564.97</v>
      </c>
      <c r="AI8" s="108"/>
      <c r="AJ8" s="107">
        <f t="shared" si="5"/>
        <v>9564.97</v>
      </c>
      <c r="AK8" s="109"/>
      <c r="AL8" s="107">
        <f t="shared" si="6"/>
        <v>9706.16</v>
      </c>
      <c r="AM8" s="109"/>
      <c r="AN8" s="109"/>
      <c r="AO8" s="109"/>
      <c r="AP8" s="109"/>
      <c r="AQ8" s="109"/>
      <c r="AR8" s="116" t="str">
        <f t="shared" si="7"/>
        <v>正确</v>
      </c>
      <c r="AS8" s="116" t="str">
        <f t="shared" si="8"/>
        <v>不</v>
      </c>
      <c r="AT8" s="116" t="str">
        <f t="shared" si="9"/>
        <v>重复</v>
      </c>
      <c r="AU8" s="12" t="s">
        <v>159</v>
      </c>
      <c r="AV8" s="12" t="s">
        <v>51</v>
      </c>
    </row>
    <row r="9" s="12" customFormat="1" ht="18" customHeight="1" spans="1:48">
      <c r="A9" s="36">
        <v>6</v>
      </c>
      <c r="B9" s="37" t="s">
        <v>144</v>
      </c>
      <c r="C9" s="37" t="s">
        <v>162</v>
      </c>
      <c r="D9" s="37" t="s">
        <v>145</v>
      </c>
      <c r="E9" s="329" t="s">
        <v>163</v>
      </c>
      <c r="F9" s="38" t="s">
        <v>146</v>
      </c>
      <c r="G9" s="39">
        <v>13973652684</v>
      </c>
      <c r="H9" s="40"/>
      <c r="I9" s="40"/>
      <c r="J9" s="69"/>
      <c r="K9" s="40"/>
      <c r="L9" s="70">
        <v>6500</v>
      </c>
      <c r="M9" s="71">
        <v>412.08</v>
      </c>
      <c r="N9" s="71">
        <v>95.54</v>
      </c>
      <c r="O9" s="71">
        <v>15.45</v>
      </c>
      <c r="P9" s="71">
        <v>100</v>
      </c>
      <c r="Q9" s="89">
        <f t="shared" si="0"/>
        <v>623.07</v>
      </c>
      <c r="R9" s="70">
        <v>0</v>
      </c>
      <c r="S9" s="90">
        <f>L9+IFERROR(VLOOKUP($E:$E,'（居民）工资表-2月'!$E:$S,15,0),0)</f>
        <v>13000</v>
      </c>
      <c r="T9" s="91">
        <f>5000+IFERROR(VLOOKUP($E:$E,'（居民）工资表-2月'!$E:$T,16,0),0)</f>
        <v>10000</v>
      </c>
      <c r="U9" s="91">
        <f>Q9+IFERROR(VLOOKUP($E:$E,'（居民）工资表-2月'!$E:$U,17,0),0)</f>
        <v>1152.85</v>
      </c>
      <c r="V9" s="70"/>
      <c r="W9" s="70"/>
      <c r="X9" s="70"/>
      <c r="Y9" s="70"/>
      <c r="Z9" s="70"/>
      <c r="AA9" s="70"/>
      <c r="AB9" s="90">
        <f t="shared" si="1"/>
        <v>0</v>
      </c>
      <c r="AC9" s="90">
        <f>R9+IFERROR(VLOOKUP($E:$E,'（居民）工资表-2月'!$E:$AC,25,0),0)</f>
        <v>0</v>
      </c>
      <c r="AD9" s="95">
        <f t="shared" si="2"/>
        <v>1847.15</v>
      </c>
      <c r="AE9" s="96">
        <f>ROUND(MAX((AD9)*{0.03;0.1;0.2;0.25;0.3;0.35;0.45}-{0;2520;16920;31920;52920;85920;181920},0),2)</f>
        <v>55.41</v>
      </c>
      <c r="AF9" s="97">
        <f>IFERROR(VLOOKUP(E:E,'（居民）工资表-2月'!E:AF,28,0)+VLOOKUP(E:E,'（居民）工资表-2月'!E:AG,29,0),0)</f>
        <v>29.11</v>
      </c>
      <c r="AG9" s="97">
        <f t="shared" si="3"/>
        <v>26.3</v>
      </c>
      <c r="AH9" s="107">
        <f t="shared" si="4"/>
        <v>5850.63</v>
      </c>
      <c r="AI9" s="108"/>
      <c r="AJ9" s="107">
        <f t="shared" si="5"/>
        <v>5850.63</v>
      </c>
      <c r="AK9" s="109"/>
      <c r="AL9" s="107">
        <f t="shared" si="6"/>
        <v>5876.93</v>
      </c>
      <c r="AM9" s="109"/>
      <c r="AN9" s="109"/>
      <c r="AO9" s="109"/>
      <c r="AP9" s="109"/>
      <c r="AQ9" s="109"/>
      <c r="AR9" s="116" t="str">
        <f t="shared" si="7"/>
        <v>正确</v>
      </c>
      <c r="AS9" s="116" t="str">
        <f t="shared" si="8"/>
        <v>不</v>
      </c>
      <c r="AT9" s="116" t="str">
        <f t="shared" si="9"/>
        <v>重复</v>
      </c>
      <c r="AU9" s="12" t="s">
        <v>159</v>
      </c>
      <c r="AV9" s="12" t="s">
        <v>51</v>
      </c>
    </row>
    <row r="10" s="12" customFormat="1" ht="18" customHeight="1" spans="1:48">
      <c r="A10" s="36">
        <v>7</v>
      </c>
      <c r="B10" s="37" t="s">
        <v>144</v>
      </c>
      <c r="C10" s="37" t="s">
        <v>165</v>
      </c>
      <c r="D10" s="37" t="s">
        <v>145</v>
      </c>
      <c r="E10" s="329" t="s">
        <v>166</v>
      </c>
      <c r="F10" s="38" t="s">
        <v>150</v>
      </c>
      <c r="G10" s="39" t="s">
        <v>167</v>
      </c>
      <c r="H10" s="40"/>
      <c r="I10" s="40"/>
      <c r="J10" s="69"/>
      <c r="K10" s="40"/>
      <c r="L10" s="70">
        <v>4422.9</v>
      </c>
      <c r="M10" s="71">
        <v>401.04</v>
      </c>
      <c r="N10" s="71">
        <v>122.26</v>
      </c>
      <c r="O10" s="71">
        <v>25.07</v>
      </c>
      <c r="P10" s="71">
        <v>116</v>
      </c>
      <c r="Q10" s="89">
        <f t="shared" si="0"/>
        <v>664.37</v>
      </c>
      <c r="R10" s="70">
        <v>0</v>
      </c>
      <c r="S10" s="90">
        <f>L10+IFERROR(VLOOKUP($E:$E,'（居民）工资表-2月'!$E:$S,15,0),0)</f>
        <v>8845.8</v>
      </c>
      <c r="T10" s="91">
        <f>5000+IFERROR(VLOOKUP($E:$E,'（居民）工资表-2月'!$E:$T,16,0),0)</f>
        <v>10000</v>
      </c>
      <c r="U10" s="91">
        <f>Q10+IFERROR(VLOOKUP($E:$E,'（居民）工资表-2月'!$E:$U,17,0),0)</f>
        <v>1328.74</v>
      </c>
      <c r="V10" s="70"/>
      <c r="W10" s="70"/>
      <c r="X10" s="70"/>
      <c r="Y10" s="70"/>
      <c r="Z10" s="70"/>
      <c r="AA10" s="70"/>
      <c r="AB10" s="90">
        <f t="shared" si="1"/>
        <v>0</v>
      </c>
      <c r="AC10" s="90">
        <f>R10+IFERROR(VLOOKUP($E:$E,'（居民）工资表-2月'!$E:$AC,25,0),0)</f>
        <v>0</v>
      </c>
      <c r="AD10" s="95">
        <f t="shared" si="2"/>
        <v>-2482.94</v>
      </c>
      <c r="AE10" s="96">
        <f>ROUND(MAX((AD10)*{0.03;0.1;0.2;0.25;0.3;0.35;0.45}-{0;2520;16920;31920;52920;85920;181920},0),2)</f>
        <v>0</v>
      </c>
      <c r="AF10" s="97">
        <f>IFERROR(VLOOKUP(E:E,'（居民）工资表-2月'!E:AF,28,0)+VLOOKUP(E:E,'（居民）工资表-2月'!E:AG,29,0),0)</f>
        <v>0</v>
      </c>
      <c r="AG10" s="97">
        <f t="shared" si="3"/>
        <v>0</v>
      </c>
      <c r="AH10" s="107">
        <f t="shared" si="4"/>
        <v>3758.53</v>
      </c>
      <c r="AI10" s="108"/>
      <c r="AJ10" s="107">
        <f t="shared" si="5"/>
        <v>3758.53</v>
      </c>
      <c r="AK10" s="109"/>
      <c r="AL10" s="107">
        <f t="shared" si="6"/>
        <v>3758.53</v>
      </c>
      <c r="AM10" s="109"/>
      <c r="AN10" s="109"/>
      <c r="AO10" s="109"/>
      <c r="AP10" s="109"/>
      <c r="AQ10" s="109"/>
      <c r="AR10" s="116" t="str">
        <f t="shared" si="7"/>
        <v>正确</v>
      </c>
      <c r="AS10" s="116" t="str">
        <f t="shared" si="8"/>
        <v>不</v>
      </c>
      <c r="AT10" s="116" t="str">
        <f t="shared" si="9"/>
        <v>重复</v>
      </c>
      <c r="AU10" s="12" t="s">
        <v>164</v>
      </c>
      <c r="AV10" s="12" t="s">
        <v>51</v>
      </c>
    </row>
    <row r="11" s="12" customFormat="1" ht="18" customHeight="1" spans="1:47">
      <c r="A11" s="36">
        <v>8</v>
      </c>
      <c r="B11" s="37" t="s">
        <v>144</v>
      </c>
      <c r="C11" s="37" t="s">
        <v>170</v>
      </c>
      <c r="D11" s="37" t="s">
        <v>145</v>
      </c>
      <c r="E11" s="329" t="s">
        <v>171</v>
      </c>
      <c r="F11" s="38" t="s">
        <v>146</v>
      </c>
      <c r="G11" s="39">
        <v>18356553626</v>
      </c>
      <c r="H11" s="40"/>
      <c r="I11" s="40"/>
      <c r="J11" s="69"/>
      <c r="K11" s="40"/>
      <c r="L11" s="70">
        <v>9000</v>
      </c>
      <c r="M11" s="71">
        <v>338.16</v>
      </c>
      <c r="N11" s="71">
        <v>124.54</v>
      </c>
      <c r="O11" s="71">
        <v>21.14</v>
      </c>
      <c r="P11" s="71">
        <v>97</v>
      </c>
      <c r="Q11" s="89">
        <f t="shared" si="0"/>
        <v>580.84</v>
      </c>
      <c r="R11" s="70">
        <v>0</v>
      </c>
      <c r="S11" s="90">
        <f>L11+IFERROR(VLOOKUP($E:$E,'（居民）工资表-2月'!$E:$S,15,0),0)</f>
        <v>18000</v>
      </c>
      <c r="T11" s="91">
        <f>5000+IFERROR(VLOOKUP($E:$E,'（居民）工资表-2月'!$E:$T,16,0),0)</f>
        <v>10000</v>
      </c>
      <c r="U11" s="91">
        <f>Q11+IFERROR(VLOOKUP($E:$E,'（居民）工资表-2月'!$E:$U,17,0),0)</f>
        <v>1161.68</v>
      </c>
      <c r="V11" s="70"/>
      <c r="W11" s="70"/>
      <c r="X11" s="70"/>
      <c r="Y11" s="70"/>
      <c r="Z11" s="70"/>
      <c r="AA11" s="70"/>
      <c r="AB11" s="90">
        <f t="shared" si="1"/>
        <v>0</v>
      </c>
      <c r="AC11" s="90">
        <f>R11+IFERROR(VLOOKUP($E:$E,'（居民）工资表-2月'!$E:$AC,25,0),0)</f>
        <v>0</v>
      </c>
      <c r="AD11" s="95">
        <f t="shared" si="2"/>
        <v>6838.32</v>
      </c>
      <c r="AE11" s="96">
        <f>ROUND(MAX((AD11)*{0.03;0.1;0.2;0.25;0.3;0.35;0.45}-{0;2520;16920;31920;52920;85920;181920},0),2)</f>
        <v>205.15</v>
      </c>
      <c r="AF11" s="97">
        <f>IFERROR(VLOOKUP(E:E,'（居民）工资表-2月'!E:AF,28,0)+VLOOKUP(E:E,'（居民）工资表-2月'!E:AG,29,0),0)</f>
        <v>102.57</v>
      </c>
      <c r="AG11" s="97">
        <f t="shared" si="3"/>
        <v>102.58</v>
      </c>
      <c r="AH11" s="107">
        <f t="shared" si="4"/>
        <v>8316.58</v>
      </c>
      <c r="AI11" s="108"/>
      <c r="AJ11" s="107">
        <f t="shared" si="5"/>
        <v>8316.58</v>
      </c>
      <c r="AK11" s="109"/>
      <c r="AL11" s="107">
        <f t="shared" si="6"/>
        <v>8419.16</v>
      </c>
      <c r="AM11" s="109"/>
      <c r="AN11" s="109"/>
      <c r="AO11" s="109"/>
      <c r="AP11" s="109"/>
      <c r="AQ11" s="109"/>
      <c r="AR11" s="116" t="str">
        <f t="shared" si="7"/>
        <v>正确</v>
      </c>
      <c r="AS11" s="116" t="str">
        <f t="shared" si="8"/>
        <v>不</v>
      </c>
      <c r="AT11" s="116" t="str">
        <f t="shared" si="9"/>
        <v>重复</v>
      </c>
      <c r="AU11" s="12">
        <v>0</v>
      </c>
    </row>
    <row r="12" s="12" customFormat="1" ht="18" customHeight="1" spans="1:47">
      <c r="A12" s="36">
        <v>9</v>
      </c>
      <c r="B12" s="37" t="s">
        <v>144</v>
      </c>
      <c r="C12" s="37" t="s">
        <v>174</v>
      </c>
      <c r="D12" s="37" t="s">
        <v>145</v>
      </c>
      <c r="E12" s="329" t="s">
        <v>175</v>
      </c>
      <c r="F12" s="38" t="s">
        <v>146</v>
      </c>
      <c r="G12" s="39">
        <v>18326897140</v>
      </c>
      <c r="H12" s="40"/>
      <c r="I12" s="40"/>
      <c r="J12" s="69"/>
      <c r="K12" s="40"/>
      <c r="L12" s="70">
        <v>7500</v>
      </c>
      <c r="M12" s="71">
        <v>338.16</v>
      </c>
      <c r="N12" s="71">
        <v>90.54</v>
      </c>
      <c r="O12" s="71">
        <v>21.14</v>
      </c>
      <c r="P12" s="71">
        <v>344</v>
      </c>
      <c r="Q12" s="89">
        <f t="shared" si="0"/>
        <v>793.84</v>
      </c>
      <c r="R12" s="70">
        <v>0</v>
      </c>
      <c r="S12" s="90">
        <f>L12+IFERROR(VLOOKUP($E:$E,'（居民）工资表-2月'!$E:$S,15,0),0)</f>
        <v>15000</v>
      </c>
      <c r="T12" s="91">
        <f>5000+IFERROR(VLOOKUP($E:$E,'（居民）工资表-2月'!$E:$T,16,0),0)</f>
        <v>10000</v>
      </c>
      <c r="U12" s="91">
        <f>Q12+IFERROR(VLOOKUP($E:$E,'（居民）工资表-2月'!$E:$U,17,0),0)</f>
        <v>1587.68</v>
      </c>
      <c r="V12" s="70"/>
      <c r="W12" s="70"/>
      <c r="X12" s="70"/>
      <c r="Y12" s="70"/>
      <c r="Z12" s="70"/>
      <c r="AA12" s="70"/>
      <c r="AB12" s="90">
        <f t="shared" si="1"/>
        <v>0</v>
      </c>
      <c r="AC12" s="90">
        <f>R12+IFERROR(VLOOKUP($E:$E,'（居民）工资表-2月'!$E:$AC,25,0),0)</f>
        <v>0</v>
      </c>
      <c r="AD12" s="95">
        <f t="shared" si="2"/>
        <v>3412.32</v>
      </c>
      <c r="AE12" s="96">
        <f>ROUND(MAX((AD12)*{0.03;0.1;0.2;0.25;0.3;0.35;0.45}-{0;2520;16920;31920;52920;85920;181920},0),2)</f>
        <v>102.37</v>
      </c>
      <c r="AF12" s="97">
        <f>IFERROR(VLOOKUP(E:E,'（居民）工资表-2月'!E:AF,28,0)+VLOOKUP(E:E,'（居民）工资表-2月'!E:AG,29,0),0)</f>
        <v>51.18</v>
      </c>
      <c r="AG12" s="97">
        <f t="shared" si="3"/>
        <v>51.19</v>
      </c>
      <c r="AH12" s="107">
        <f t="shared" si="4"/>
        <v>6654.97</v>
      </c>
      <c r="AI12" s="108"/>
      <c r="AJ12" s="107">
        <f t="shared" si="5"/>
        <v>6654.97</v>
      </c>
      <c r="AK12" s="109"/>
      <c r="AL12" s="107">
        <f t="shared" si="6"/>
        <v>6706.16</v>
      </c>
      <c r="AM12" s="109"/>
      <c r="AN12" s="109"/>
      <c r="AO12" s="109"/>
      <c r="AP12" s="109"/>
      <c r="AQ12" s="109"/>
      <c r="AR12" s="116" t="str">
        <f t="shared" si="7"/>
        <v>正确</v>
      </c>
      <c r="AS12" s="116" t="str">
        <f t="shared" si="8"/>
        <v>不</v>
      </c>
      <c r="AT12" s="116" t="str">
        <f t="shared" si="9"/>
        <v>重复</v>
      </c>
      <c r="AU12" s="12">
        <v>0</v>
      </c>
    </row>
    <row r="13" s="12" customFormat="1" ht="18" customHeight="1" spans="1:48">
      <c r="A13" s="36">
        <v>10</v>
      </c>
      <c r="B13" s="37" t="s">
        <v>144</v>
      </c>
      <c r="C13" s="37" t="s">
        <v>176</v>
      </c>
      <c r="D13" s="37" t="s">
        <v>145</v>
      </c>
      <c r="E13" s="329" t="s">
        <v>177</v>
      </c>
      <c r="F13" s="38" t="s">
        <v>146</v>
      </c>
      <c r="G13" s="39">
        <v>17201857014</v>
      </c>
      <c r="H13" s="40"/>
      <c r="I13" s="40"/>
      <c r="J13" s="69"/>
      <c r="K13" s="40"/>
      <c r="L13" s="70">
        <v>8000</v>
      </c>
      <c r="M13" s="71">
        <v>338.16</v>
      </c>
      <c r="N13" s="71">
        <v>90.54</v>
      </c>
      <c r="O13" s="71">
        <v>21.14</v>
      </c>
      <c r="P13" s="71">
        <v>344</v>
      </c>
      <c r="Q13" s="89">
        <f t="shared" si="0"/>
        <v>793.84</v>
      </c>
      <c r="R13" s="70">
        <v>0</v>
      </c>
      <c r="S13" s="90">
        <f>L13+IFERROR(VLOOKUP($E:$E,'（居民）工资表-2月'!$E:$S,15,0),0)</f>
        <v>16000</v>
      </c>
      <c r="T13" s="91">
        <f>5000+IFERROR(VLOOKUP($E:$E,'（居民）工资表-2月'!$E:$T,16,0),0)</f>
        <v>10000</v>
      </c>
      <c r="U13" s="91">
        <f>Q13+IFERROR(VLOOKUP($E:$E,'（居民）工资表-2月'!$E:$U,17,0),0)</f>
        <v>1587.68</v>
      </c>
      <c r="V13" s="70"/>
      <c r="W13" s="70"/>
      <c r="X13" s="70"/>
      <c r="Y13" s="70"/>
      <c r="Z13" s="70"/>
      <c r="AA13" s="70"/>
      <c r="AB13" s="90">
        <f t="shared" si="1"/>
        <v>0</v>
      </c>
      <c r="AC13" s="90">
        <f>R13+IFERROR(VLOOKUP($E:$E,'（居民）工资表-2月'!$E:$AC,25,0),0)</f>
        <v>0</v>
      </c>
      <c r="AD13" s="95">
        <f t="shared" si="2"/>
        <v>4412.32</v>
      </c>
      <c r="AE13" s="96">
        <f>ROUND(MAX((AD13)*{0.03;0.1;0.2;0.25;0.3;0.35;0.45}-{0;2520;16920;31920;52920;85920;181920},0),2)</f>
        <v>132.37</v>
      </c>
      <c r="AF13" s="97">
        <f>IFERROR(VLOOKUP(E:E,'（居民）工资表-2月'!E:AF,28,0)+VLOOKUP(E:E,'（居民）工资表-2月'!E:AG,29,0),0)</f>
        <v>66.18</v>
      </c>
      <c r="AG13" s="97">
        <f t="shared" si="3"/>
        <v>66.19</v>
      </c>
      <c r="AH13" s="107">
        <f t="shared" si="4"/>
        <v>7139.97</v>
      </c>
      <c r="AI13" s="108"/>
      <c r="AJ13" s="107">
        <f t="shared" si="5"/>
        <v>7139.97</v>
      </c>
      <c r="AK13" s="109"/>
      <c r="AL13" s="107">
        <f t="shared" si="6"/>
        <v>7206.16</v>
      </c>
      <c r="AM13" s="109"/>
      <c r="AN13" s="109"/>
      <c r="AO13" s="109"/>
      <c r="AP13" s="109"/>
      <c r="AQ13" s="109"/>
      <c r="AR13" s="116" t="str">
        <f t="shared" si="7"/>
        <v>正确</v>
      </c>
      <c r="AS13" s="116" t="str">
        <f>IF(SUMPRODUCT(N(E$1:E$5=E13))&gt;1,"重复","不")</f>
        <v>不</v>
      </c>
      <c r="AT13" s="116" t="str">
        <f>IF(SUMPRODUCT(N(AO$1:AO$5=AO13))&gt;1,"重复","不")</f>
        <v>重复</v>
      </c>
      <c r="AU13" s="12" t="s">
        <v>159</v>
      </c>
      <c r="AV13" s="12" t="s">
        <v>51</v>
      </c>
    </row>
    <row r="14" s="12" customFormat="1" ht="18" customHeight="1" spans="1:48">
      <c r="A14" s="36">
        <v>11</v>
      </c>
      <c r="B14" s="37" t="s">
        <v>144</v>
      </c>
      <c r="C14" s="37" t="s">
        <v>183</v>
      </c>
      <c r="D14" s="37" t="s">
        <v>145</v>
      </c>
      <c r="E14" s="329" t="s">
        <v>184</v>
      </c>
      <c r="F14" s="38" t="s">
        <v>150</v>
      </c>
      <c r="G14" s="39"/>
      <c r="H14" s="40"/>
      <c r="I14" s="40"/>
      <c r="J14" s="69"/>
      <c r="K14" s="40"/>
      <c r="L14" s="70">
        <v>6000</v>
      </c>
      <c r="M14" s="71">
        <v>338.16</v>
      </c>
      <c r="N14" s="71">
        <v>84.54</v>
      </c>
      <c r="O14" s="71">
        <v>21.14</v>
      </c>
      <c r="P14" s="71">
        <v>103</v>
      </c>
      <c r="Q14" s="89">
        <f t="shared" si="0"/>
        <v>546.84</v>
      </c>
      <c r="R14" s="70">
        <v>0</v>
      </c>
      <c r="S14" s="90">
        <f>L14+IFERROR(VLOOKUP($E:$E,'（居民）工资表-2月'!$E:$S,15,0),0)</f>
        <v>12000</v>
      </c>
      <c r="T14" s="91">
        <f>5000+IFERROR(VLOOKUP($E:$E,'（居民）工资表-2月'!$E:$T,16,0),0)</f>
        <v>10000</v>
      </c>
      <c r="U14" s="91">
        <f>Q14+IFERROR(VLOOKUP($E:$E,'（居民）工资表-2月'!$E:$U,17,0),0)</f>
        <v>1093.68</v>
      </c>
      <c r="V14" s="70"/>
      <c r="W14" s="70"/>
      <c r="X14" s="70"/>
      <c r="Y14" s="70"/>
      <c r="Z14" s="70"/>
      <c r="AA14" s="70"/>
      <c r="AB14" s="90">
        <f t="shared" si="1"/>
        <v>0</v>
      </c>
      <c r="AC14" s="90">
        <f>R14+IFERROR(VLOOKUP($E:$E,'（居民）工资表-2月'!$E:$AC,25,0),0)</f>
        <v>0</v>
      </c>
      <c r="AD14" s="95">
        <f t="shared" si="2"/>
        <v>906.32</v>
      </c>
      <c r="AE14" s="96">
        <f>ROUND(MAX((AD14)*{0.03;0.1;0.2;0.25;0.3;0.35;0.45}-{0;2520;16920;31920;52920;85920;181920},0),2)</f>
        <v>27.19</v>
      </c>
      <c r="AF14" s="97">
        <f>IFERROR(VLOOKUP(E:E,'（居民）工资表-2月'!E:AF,28,0)+VLOOKUP(E:E,'（居民）工资表-2月'!E:AG,29,0),0)</f>
        <v>13.59</v>
      </c>
      <c r="AG14" s="97">
        <f t="shared" si="3"/>
        <v>13.6</v>
      </c>
      <c r="AH14" s="107">
        <f t="shared" si="4"/>
        <v>5439.56</v>
      </c>
      <c r="AI14" s="108"/>
      <c r="AJ14" s="107">
        <f t="shared" si="5"/>
        <v>5439.56</v>
      </c>
      <c r="AK14" s="109"/>
      <c r="AL14" s="107">
        <f t="shared" si="6"/>
        <v>5453.16</v>
      </c>
      <c r="AM14" s="109"/>
      <c r="AN14" s="109"/>
      <c r="AO14" s="109"/>
      <c r="AP14" s="109"/>
      <c r="AQ14" s="109"/>
      <c r="AR14" s="116" t="str">
        <f t="shared" si="7"/>
        <v>正确</v>
      </c>
      <c r="AS14" s="116" t="str">
        <f>IF(SUMPRODUCT(N(E$1:E$5=E14))&gt;1,"重复","不")</f>
        <v>不</v>
      </c>
      <c r="AT14" s="116" t="str">
        <f>IF(SUMPRODUCT(N(AO$1:AO$5=AO14))&gt;1,"重复","不")</f>
        <v>重复</v>
      </c>
      <c r="AU14" s="12" t="s">
        <v>159</v>
      </c>
      <c r="AV14" s="12" t="s">
        <v>51</v>
      </c>
    </row>
    <row r="15" s="12" customFormat="1" ht="18" customHeight="1" spans="1:48">
      <c r="A15" s="36">
        <v>12</v>
      </c>
      <c r="B15" s="37" t="s">
        <v>144</v>
      </c>
      <c r="C15" s="37" t="s">
        <v>185</v>
      </c>
      <c r="D15" s="37" t="s">
        <v>145</v>
      </c>
      <c r="E15" s="329" t="s">
        <v>186</v>
      </c>
      <c r="F15" s="38" t="s">
        <v>146</v>
      </c>
      <c r="G15" s="39">
        <v>15056587375</v>
      </c>
      <c r="H15" s="40"/>
      <c r="I15" s="40"/>
      <c r="J15" s="69"/>
      <c r="K15" s="40"/>
      <c r="L15" s="70">
        <v>10000</v>
      </c>
      <c r="M15" s="71">
        <v>338.16</v>
      </c>
      <c r="N15" s="71">
        <v>93.7</v>
      </c>
      <c r="O15" s="71">
        <v>21.14</v>
      </c>
      <c r="P15" s="71">
        <v>97</v>
      </c>
      <c r="Q15" s="89">
        <f t="shared" si="0"/>
        <v>550</v>
      </c>
      <c r="R15" s="70">
        <v>0</v>
      </c>
      <c r="S15" s="90">
        <f>L15+IFERROR(VLOOKUP($E:$E,'（居民）工资表-2月'!$E:$S,15,0),0)</f>
        <v>20000</v>
      </c>
      <c r="T15" s="91">
        <f>5000+IFERROR(VLOOKUP($E:$E,'（居民）工资表-2月'!$E:$T,16,0),0)</f>
        <v>10000</v>
      </c>
      <c r="U15" s="91">
        <f>Q15+IFERROR(VLOOKUP($E:$E,'（居民）工资表-2月'!$E:$U,17,0),0)</f>
        <v>1100</v>
      </c>
      <c r="V15" s="70"/>
      <c r="W15" s="70"/>
      <c r="X15" s="70"/>
      <c r="Y15" s="70"/>
      <c r="Z15" s="70"/>
      <c r="AA15" s="70"/>
      <c r="AB15" s="90">
        <f t="shared" si="1"/>
        <v>0</v>
      </c>
      <c r="AC15" s="90">
        <f>R15+IFERROR(VLOOKUP($E:$E,'（居民）工资表-2月'!$E:$AC,25,0),0)</f>
        <v>0</v>
      </c>
      <c r="AD15" s="95">
        <f t="shared" si="2"/>
        <v>8900</v>
      </c>
      <c r="AE15" s="96">
        <f>ROUND(MAX((AD15)*{0.03;0.1;0.2;0.25;0.3;0.35;0.45}-{0;2520;16920;31920;52920;85920;181920},0),2)</f>
        <v>267</v>
      </c>
      <c r="AF15" s="97">
        <f>IFERROR(VLOOKUP(E:E,'（居民）工资表-2月'!E:AF,28,0)+VLOOKUP(E:E,'（居民）工资表-2月'!E:AG,29,0),0)</f>
        <v>133.5</v>
      </c>
      <c r="AG15" s="97">
        <f t="shared" si="3"/>
        <v>133.5</v>
      </c>
      <c r="AH15" s="107">
        <f t="shared" si="4"/>
        <v>9316.5</v>
      </c>
      <c r="AI15" s="108"/>
      <c r="AJ15" s="107">
        <f t="shared" si="5"/>
        <v>9316.5</v>
      </c>
      <c r="AK15" s="109"/>
      <c r="AL15" s="107">
        <f t="shared" si="6"/>
        <v>9450</v>
      </c>
      <c r="AM15" s="109"/>
      <c r="AN15" s="109"/>
      <c r="AO15" s="109"/>
      <c r="AP15" s="109"/>
      <c r="AQ15" s="109"/>
      <c r="AR15" s="116" t="str">
        <f t="shared" si="7"/>
        <v>正确</v>
      </c>
      <c r="AS15" s="116" t="str">
        <f>IF(SUMPRODUCT(N(E$1:E$5=E15))&gt;1,"重复","不")</f>
        <v>不</v>
      </c>
      <c r="AT15" s="116" t="str">
        <f>IF(SUMPRODUCT(N(AO$1:AO$5=AO15))&gt;1,"重复","不")</f>
        <v>重复</v>
      </c>
      <c r="AU15" s="12" t="s">
        <v>159</v>
      </c>
      <c r="AV15" s="12" t="s">
        <v>51</v>
      </c>
    </row>
    <row r="16" s="12" customFormat="1" ht="18" customHeight="1" spans="1:48">
      <c r="A16" s="36">
        <v>13</v>
      </c>
      <c r="B16" s="37" t="s">
        <v>144</v>
      </c>
      <c r="C16" s="37" t="s">
        <v>187</v>
      </c>
      <c r="D16" s="37" t="s">
        <v>145</v>
      </c>
      <c r="E16" s="37" t="s">
        <v>188</v>
      </c>
      <c r="F16" s="38" t="s">
        <v>146</v>
      </c>
      <c r="G16" s="39">
        <v>13711361074</v>
      </c>
      <c r="H16" s="40"/>
      <c r="I16" s="40"/>
      <c r="J16" s="69"/>
      <c r="K16" s="40"/>
      <c r="L16" s="70">
        <v>7600</v>
      </c>
      <c r="M16" s="71">
        <v>0</v>
      </c>
      <c r="N16" s="71">
        <v>0</v>
      </c>
      <c r="O16" s="71">
        <v>0</v>
      </c>
      <c r="P16" s="71">
        <v>0</v>
      </c>
      <c r="Q16" s="89">
        <f t="shared" si="0"/>
        <v>0</v>
      </c>
      <c r="R16" s="70">
        <v>0</v>
      </c>
      <c r="S16" s="90">
        <f>L16+IFERROR(VLOOKUP($E:$E,'（居民）工资表-2月'!$E:$S,15,0),0)</f>
        <v>15200</v>
      </c>
      <c r="T16" s="91">
        <f>5000+IFERROR(VLOOKUP($E:$E,'（居民）工资表-2月'!$E:$T,16,0),0)</f>
        <v>10000</v>
      </c>
      <c r="U16" s="91">
        <f>Q16+IFERROR(VLOOKUP($E:$E,'（居民）工资表-2月'!$E:$U,17,0),0)</f>
        <v>580.38</v>
      </c>
      <c r="V16" s="70"/>
      <c r="W16" s="70"/>
      <c r="X16" s="70"/>
      <c r="Y16" s="70"/>
      <c r="Z16" s="70"/>
      <c r="AA16" s="70"/>
      <c r="AB16" s="90">
        <f t="shared" si="1"/>
        <v>0</v>
      </c>
      <c r="AC16" s="90">
        <f>R16+IFERROR(VLOOKUP($E:$E,'（居民）工资表-2月'!$E:$AC,25,0),0)</f>
        <v>0</v>
      </c>
      <c r="AD16" s="95">
        <f t="shared" si="2"/>
        <v>4619.62</v>
      </c>
      <c r="AE16" s="96">
        <f>ROUND(MAX((AD16)*{0.03;0.1;0.2;0.25;0.3;0.35;0.45}-{0;2520;16920;31920;52920;85920;181920},0),2)</f>
        <v>138.59</v>
      </c>
      <c r="AF16" s="97">
        <f>IFERROR(VLOOKUP(E:E,'（居民）工资表-2月'!E:AF,28,0)+VLOOKUP(E:E,'（居民）工资表-2月'!E:AG,29,0),0)</f>
        <v>60.59</v>
      </c>
      <c r="AG16" s="97">
        <f t="shared" si="3"/>
        <v>78</v>
      </c>
      <c r="AH16" s="107">
        <f t="shared" si="4"/>
        <v>7522</v>
      </c>
      <c r="AI16" s="108"/>
      <c r="AJ16" s="107">
        <f t="shared" si="5"/>
        <v>7522</v>
      </c>
      <c r="AK16" s="109"/>
      <c r="AL16" s="107">
        <f t="shared" si="6"/>
        <v>7600</v>
      </c>
      <c r="AM16" s="109"/>
      <c r="AN16" s="109"/>
      <c r="AO16" s="109"/>
      <c r="AP16" s="109"/>
      <c r="AQ16" s="109"/>
      <c r="AR16" s="116" t="str">
        <f t="shared" si="7"/>
        <v>正确</v>
      </c>
      <c r="AS16" s="116" t="str">
        <f>IF(SUMPRODUCT(N(E$1:E$5=E16))&gt;1,"重复","不")</f>
        <v>不</v>
      </c>
      <c r="AT16" s="116" t="str">
        <f>IF(SUMPRODUCT(N(AO$1:AO$5=AO16))&gt;1,"重复","不")</f>
        <v>重复</v>
      </c>
      <c r="AU16" s="12" t="s">
        <v>159</v>
      </c>
      <c r="AV16" s="12" t="s">
        <v>51</v>
      </c>
    </row>
    <row r="17" s="12" customFormat="1" ht="18" customHeight="1" spans="1:46">
      <c r="A17" s="36"/>
      <c r="B17" s="37"/>
      <c r="C17" s="119"/>
      <c r="D17" s="37"/>
      <c r="E17" s="120"/>
      <c r="F17" s="38"/>
      <c r="G17" s="121"/>
      <c r="H17" s="122"/>
      <c r="I17" s="122"/>
      <c r="J17" s="123"/>
      <c r="K17" s="122"/>
      <c r="L17" s="124"/>
      <c r="M17" s="124"/>
      <c r="N17" s="124"/>
      <c r="O17" s="124"/>
      <c r="P17" s="124"/>
      <c r="Q17" s="89"/>
      <c r="R17" s="70"/>
      <c r="S17" s="90"/>
      <c r="T17" s="91"/>
      <c r="U17" s="91"/>
      <c r="V17" s="70"/>
      <c r="W17" s="70"/>
      <c r="X17" s="70"/>
      <c r="Y17" s="70"/>
      <c r="Z17" s="70"/>
      <c r="AA17" s="70"/>
      <c r="AB17" s="90"/>
      <c r="AC17" s="90"/>
      <c r="AD17" s="95"/>
      <c r="AE17" s="96"/>
      <c r="AF17" s="97"/>
      <c r="AG17" s="97"/>
      <c r="AH17" s="107"/>
      <c r="AI17" s="108"/>
      <c r="AJ17" s="107"/>
      <c r="AK17" s="109"/>
      <c r="AL17" s="107"/>
      <c r="AM17" s="109"/>
      <c r="AN17" s="109"/>
      <c r="AO17" s="109"/>
      <c r="AP17" s="109"/>
      <c r="AQ17" s="109"/>
      <c r="AR17" s="116"/>
      <c r="AS17" s="116"/>
      <c r="AT17" s="116"/>
    </row>
    <row r="18" s="13" customFormat="1" ht="18" customHeight="1" spans="1:46">
      <c r="A18" s="41"/>
      <c r="B18" s="42" t="s">
        <v>189</v>
      </c>
      <c r="C18" s="42"/>
      <c r="D18" s="43"/>
      <c r="E18" s="44"/>
      <c r="F18" s="45"/>
      <c r="G18" s="46"/>
      <c r="H18" s="45"/>
      <c r="I18" s="72"/>
      <c r="J18" s="73"/>
      <c r="K18" s="72"/>
      <c r="L18" s="74">
        <f>SUM(L4:L17)</f>
        <v>122742.9</v>
      </c>
      <c r="M18" s="74">
        <f>SUM(M4:M17)</f>
        <v>4555.53</v>
      </c>
      <c r="N18" s="74">
        <f>SUM(N4:N17)</f>
        <v>1240.84</v>
      </c>
      <c r="O18" s="74">
        <f>SUM(O4:O17)</f>
        <v>242.94</v>
      </c>
      <c r="P18" s="74">
        <f t="shared" ref="P18:AL18" si="10">SUM(P4:P17)</f>
        <v>2122.4</v>
      </c>
      <c r="Q18" s="74">
        <f t="shared" si="10"/>
        <v>8161.71</v>
      </c>
      <c r="R18" s="74">
        <f t="shared" si="10"/>
        <v>0</v>
      </c>
      <c r="S18" s="74">
        <f t="shared" si="10"/>
        <v>245485.8</v>
      </c>
      <c r="T18" s="74">
        <f t="shared" si="10"/>
        <v>130000</v>
      </c>
      <c r="U18" s="74">
        <f t="shared" si="10"/>
        <v>16943.47</v>
      </c>
      <c r="V18" s="74">
        <f t="shared" si="10"/>
        <v>3000</v>
      </c>
      <c r="W18" s="74">
        <f t="shared" si="10"/>
        <v>0</v>
      </c>
      <c r="X18" s="74">
        <f t="shared" si="10"/>
        <v>3000</v>
      </c>
      <c r="Y18" s="74">
        <f t="shared" si="10"/>
        <v>0</v>
      </c>
      <c r="Z18" s="74">
        <f t="shared" si="10"/>
        <v>1200</v>
      </c>
      <c r="AA18" s="74">
        <f t="shared" si="10"/>
        <v>0</v>
      </c>
      <c r="AB18" s="74">
        <f t="shared" si="10"/>
        <v>7200</v>
      </c>
      <c r="AC18" s="74">
        <f t="shared" si="10"/>
        <v>0</v>
      </c>
      <c r="AD18" s="74">
        <f t="shared" si="10"/>
        <v>91342.33</v>
      </c>
      <c r="AE18" s="74">
        <f t="shared" si="10"/>
        <v>3741.56</v>
      </c>
      <c r="AF18" s="74">
        <f t="shared" si="10"/>
        <v>1506.06</v>
      </c>
      <c r="AG18" s="74">
        <f t="shared" si="10"/>
        <v>2306.87</v>
      </c>
      <c r="AH18" s="74">
        <f t="shared" si="10"/>
        <v>112274.32</v>
      </c>
      <c r="AI18" s="74">
        <f t="shared" si="10"/>
        <v>0</v>
      </c>
      <c r="AJ18" s="74">
        <f t="shared" si="10"/>
        <v>112274.32</v>
      </c>
      <c r="AK18" s="74">
        <f t="shared" si="10"/>
        <v>0</v>
      </c>
      <c r="AL18" s="74">
        <f t="shared" si="10"/>
        <v>114581.19</v>
      </c>
      <c r="AM18" s="110"/>
      <c r="AN18" s="110"/>
      <c r="AO18" s="110"/>
      <c r="AP18" s="110"/>
      <c r="AQ18" s="110"/>
      <c r="AR18" s="45"/>
      <c r="AS18" s="45"/>
      <c r="AT18" s="118"/>
    </row>
    <row r="21" spans="30:30">
      <c r="AD21" s="101"/>
    </row>
    <row r="22" ht="18.75" customHeight="1" spans="2:30">
      <c r="B22" s="47" t="s">
        <v>133</v>
      </c>
      <c r="C22" s="47" t="s">
        <v>190</v>
      </c>
      <c r="D22" s="47" t="s">
        <v>22</v>
      </c>
      <c r="E22" s="47" t="s">
        <v>23</v>
      </c>
      <c r="AD22" s="10"/>
    </row>
    <row r="23" ht="18.75" customHeight="1" spans="2:5">
      <c r="B23" s="48">
        <f>AJ18</f>
        <v>112274.32</v>
      </c>
      <c r="C23" s="48">
        <f>AG18</f>
        <v>2306.87</v>
      </c>
      <c r="D23" s="48">
        <f>AK18</f>
        <v>0</v>
      </c>
      <c r="E23" s="48">
        <f>B23+C23+D23</f>
        <v>114581.19</v>
      </c>
    </row>
    <row r="24" spans="2:5">
      <c r="B24" s="49"/>
      <c r="C24" s="49"/>
      <c r="D24" s="49"/>
      <c r="E24" s="49"/>
    </row>
    <row r="25" s="14" customFormat="1" spans="1:35">
      <c r="A25" s="51" t="s">
        <v>191</v>
      </c>
      <c r="B25" s="52" t="s">
        <v>192</v>
      </c>
      <c r="C25" s="50"/>
      <c r="D25" s="50"/>
      <c r="E25" s="50"/>
      <c r="G25" s="53"/>
      <c r="J25" s="75"/>
      <c r="M25" s="76"/>
      <c r="AI25" s="112"/>
    </row>
    <row r="26" s="14" customFormat="1" spans="1:35">
      <c r="A26" s="54"/>
      <c r="B26" s="55" t="s">
        <v>193</v>
      </c>
      <c r="C26" s="50"/>
      <c r="D26" s="50"/>
      <c r="E26" s="50"/>
      <c r="G26" s="53"/>
      <c r="J26" s="75"/>
      <c r="M26" s="76"/>
      <c r="AI26" s="112"/>
    </row>
    <row r="27" s="14" customFormat="1" spans="1:35">
      <c r="A27" s="52"/>
      <c r="B27" s="55" t="s">
        <v>194</v>
      </c>
      <c r="C27" s="56"/>
      <c r="D27" s="56"/>
      <c r="E27" s="56"/>
      <c r="F27" s="56"/>
      <c r="G27" s="56"/>
      <c r="H27" s="56"/>
      <c r="I27" s="56"/>
      <c r="J27" s="77"/>
      <c r="K27" s="56"/>
      <c r="L27" s="56"/>
      <c r="M27" s="78"/>
      <c r="N27" s="56"/>
      <c r="O27" s="56"/>
      <c r="P27" s="56"/>
      <c r="AI27" s="112"/>
    </row>
    <row r="28" s="14" customFormat="1" customHeight="1" spans="1:35">
      <c r="A28" s="55"/>
      <c r="B28" s="55" t="s">
        <v>195</v>
      </c>
      <c r="C28" s="57"/>
      <c r="D28" s="57"/>
      <c r="E28" s="57"/>
      <c r="F28" s="57"/>
      <c r="G28" s="57"/>
      <c r="H28" s="57"/>
      <c r="I28" s="79"/>
      <c r="J28" s="80"/>
      <c r="K28" s="79"/>
      <c r="L28" s="79"/>
      <c r="M28" s="81"/>
      <c r="N28" s="79"/>
      <c r="O28" s="79"/>
      <c r="P28" s="79"/>
      <c r="AI28" s="112"/>
    </row>
    <row r="29" s="14" customFormat="1" customHeight="1" spans="1:35">
      <c r="A29" s="55"/>
      <c r="B29" s="55" t="s">
        <v>196</v>
      </c>
      <c r="C29" s="57"/>
      <c r="D29" s="57"/>
      <c r="E29" s="57"/>
      <c r="F29" s="57"/>
      <c r="G29" s="57"/>
      <c r="H29" s="57"/>
      <c r="I29" s="57"/>
      <c r="J29" s="82"/>
      <c r="K29" s="57"/>
      <c r="L29" s="79"/>
      <c r="M29" s="81"/>
      <c r="N29" s="79"/>
      <c r="O29" s="79"/>
      <c r="P29" s="79"/>
      <c r="AI29" s="112"/>
    </row>
    <row r="30" s="14" customFormat="1" customHeight="1" spans="1:35">
      <c r="A30" s="55"/>
      <c r="B30" s="55" t="s">
        <v>197</v>
      </c>
      <c r="C30" s="57"/>
      <c r="D30" s="57"/>
      <c r="E30" s="57"/>
      <c r="F30" s="57"/>
      <c r="G30" s="57"/>
      <c r="H30" s="57"/>
      <c r="I30" s="79"/>
      <c r="J30" s="80"/>
      <c r="K30" s="79"/>
      <c r="L30" s="79"/>
      <c r="M30" s="81"/>
      <c r="N30" s="79"/>
      <c r="O30" s="79"/>
      <c r="P30" s="79"/>
      <c r="AI30" s="112"/>
    </row>
    <row r="32" ht="11.25" customHeight="1" spans="2:2">
      <c r="B32" s="58" t="s">
        <v>198</v>
      </c>
    </row>
    <row r="33" spans="2:2">
      <c r="B33" s="59" t="s">
        <v>199</v>
      </c>
    </row>
    <row r="34" spans="2:2">
      <c r="B34" s="59" t="s">
        <v>200</v>
      </c>
    </row>
  </sheetData>
  <autoFilter xmlns:etc="http://www.wps.cn/officeDocument/2017/etCustomData" ref="A3:AT18" etc:filterBottomFollowUsedRange="0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0">
    <cfRule type="duplicateValues" dxfId="4" priority="2" stopIfTrue="1"/>
  </conditionalFormatting>
  <conditionalFormatting sqref="B25:B29">
    <cfRule type="duplicateValues" dxfId="4" priority="3" stopIfTrue="1"/>
  </conditionalFormatting>
  <conditionalFormatting sqref="B33:B34">
    <cfRule type="duplicateValues" dxfId="4" priority="1" stopIfTrue="1"/>
  </conditionalFormatting>
  <conditionalFormatting sqref="C22:C24">
    <cfRule type="duplicateValues" dxfId="4" priority="4" stopIfTrue="1"/>
    <cfRule type="expression" dxfId="5" priority="5" stopIfTrue="1">
      <formula>AND(COUNTIF($B$18:$B$65454,C22)+COUNTIF($B$1:$B$3,C22)&gt;1,NOT(ISBLANK(C22)))</formula>
    </cfRule>
    <cfRule type="expression" dxfId="5" priority="6" stopIfTrue="1">
      <formula>AND(COUNTIF($B$29:$B$65405,C22)+COUNTIF($B$1:$B$28,C22)&gt;1,NOT(ISBLANK(C22)))</formula>
    </cfRule>
    <cfRule type="expression" dxfId="5" priority="7" stopIfTrue="1">
      <formula>AND(COUNTIF($B$18:$B$65443,C22)+COUNTIF($B$1:$B$3,C22)&gt;1,NOT(ISBLANK(C22)))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>
    <tabColor rgb="FF00B050"/>
    <pageSetUpPr fitToPage="1"/>
  </sheetPr>
  <dimension ref="A1:AT36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18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9.90833333333333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1.45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customWidth="1"/>
    <col min="41" max="41" width="19" style="15" customWidth="1"/>
    <col min="42" max="42" width="12.2666666666667" style="15" customWidth="1"/>
    <col min="43" max="43" width="9" style="15" customWidth="1"/>
    <col min="44" max="44" width="7" style="15" customWidth="1"/>
    <col min="45" max="45" width="6.725" style="15" customWidth="1"/>
    <col min="46" max="46" width="6.09166666666667" style="15" customWidth="1"/>
    <col min="47" max="47" width="9" style="15" customWidth="1"/>
    <col min="48" max="16384" width="9" style="15"/>
  </cols>
  <sheetData>
    <row r="1" s="10" customFormat="1" ht="29.25" customHeight="1" spans="1:45">
      <c r="A1" s="20" t="s">
        <v>105</v>
      </c>
      <c r="B1" s="21"/>
      <c r="C1" s="22"/>
      <c r="D1" s="23"/>
      <c r="E1" s="24"/>
      <c r="F1" s="24"/>
      <c r="G1" s="25"/>
      <c r="J1" s="60"/>
      <c r="L1" s="61"/>
      <c r="M1" s="62" t="s">
        <v>106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107</v>
      </c>
      <c r="C2" s="28" t="s">
        <v>108</v>
      </c>
      <c r="D2" s="28" t="s">
        <v>109</v>
      </c>
      <c r="E2" s="29" t="s">
        <v>110</v>
      </c>
      <c r="F2" s="30" t="s">
        <v>111</v>
      </c>
      <c r="G2" s="29" t="s">
        <v>112</v>
      </c>
      <c r="H2" s="29" t="s">
        <v>113</v>
      </c>
      <c r="I2" s="29" t="s">
        <v>114</v>
      </c>
      <c r="J2" s="63" t="s">
        <v>115</v>
      </c>
      <c r="K2" s="29" t="s">
        <v>116</v>
      </c>
      <c r="L2" s="29" t="s">
        <v>117</v>
      </c>
      <c r="M2" s="64" t="s">
        <v>118</v>
      </c>
      <c r="N2" s="65"/>
      <c r="O2" s="65"/>
      <c r="P2" s="66"/>
      <c r="Q2" s="30" t="s">
        <v>119</v>
      </c>
      <c r="R2" s="29" t="s">
        <v>120</v>
      </c>
      <c r="S2" s="30" t="s">
        <v>121</v>
      </c>
      <c r="T2" s="84" t="s">
        <v>122</v>
      </c>
      <c r="U2" s="30" t="s">
        <v>123</v>
      </c>
      <c r="V2" s="85" t="s">
        <v>124</v>
      </c>
      <c r="W2" s="86"/>
      <c r="X2" s="86"/>
      <c r="Y2" s="86"/>
      <c r="Z2" s="86"/>
      <c r="AA2" s="94"/>
      <c r="AB2" s="30" t="s">
        <v>125</v>
      </c>
      <c r="AC2" s="30" t="s">
        <v>126</v>
      </c>
      <c r="AD2" s="84" t="s">
        <v>127</v>
      </c>
      <c r="AE2" s="84" t="s">
        <v>128</v>
      </c>
      <c r="AF2" s="84" t="s">
        <v>129</v>
      </c>
      <c r="AG2" s="84" t="s">
        <v>130</v>
      </c>
      <c r="AH2" s="103" t="s">
        <v>131</v>
      </c>
      <c r="AI2" s="104" t="s">
        <v>132</v>
      </c>
      <c r="AJ2" s="103" t="s">
        <v>133</v>
      </c>
      <c r="AK2" s="28" t="s">
        <v>22</v>
      </c>
      <c r="AL2" s="103" t="s">
        <v>134</v>
      </c>
      <c r="AM2" s="29" t="s">
        <v>201</v>
      </c>
      <c r="AN2" s="29" t="s">
        <v>202</v>
      </c>
      <c r="AO2" s="114" t="s">
        <v>203</v>
      </c>
      <c r="AP2" s="29" t="s">
        <v>204</v>
      </c>
      <c r="AQ2" s="29" t="s">
        <v>205</v>
      </c>
      <c r="AR2" s="30" t="s">
        <v>206</v>
      </c>
      <c r="AS2" s="30" t="s">
        <v>207</v>
      </c>
      <c r="AT2" s="30" t="s">
        <v>208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135</v>
      </c>
      <c r="N3" s="68" t="s">
        <v>136</v>
      </c>
      <c r="O3" s="68" t="s">
        <v>137</v>
      </c>
      <c r="P3" s="68" t="s">
        <v>37</v>
      </c>
      <c r="Q3" s="35"/>
      <c r="R3" s="34"/>
      <c r="S3" s="35"/>
      <c r="T3" s="87"/>
      <c r="U3" s="35"/>
      <c r="V3" s="88" t="s">
        <v>138</v>
      </c>
      <c r="W3" s="88" t="s">
        <v>139</v>
      </c>
      <c r="X3" s="88" t="s">
        <v>140</v>
      </c>
      <c r="Y3" s="88" t="s">
        <v>141</v>
      </c>
      <c r="Z3" s="88" t="s">
        <v>142</v>
      </c>
      <c r="AA3" s="88" t="s">
        <v>143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144</v>
      </c>
      <c r="C4" s="37" t="s">
        <v>61</v>
      </c>
      <c r="D4" s="37" t="s">
        <v>145</v>
      </c>
      <c r="E4" s="37" t="s">
        <v>62</v>
      </c>
      <c r="F4" s="38" t="s">
        <v>146</v>
      </c>
      <c r="G4" s="39">
        <v>13944441728</v>
      </c>
      <c r="H4" s="40"/>
      <c r="I4" s="40"/>
      <c r="J4" s="69"/>
      <c r="K4" s="40"/>
      <c r="L4" s="70">
        <f>VLOOKUP(C4,[1]Sheet1!$B$2:$D$16,3,0)</f>
        <v>8000</v>
      </c>
      <c r="M4" s="71">
        <v>319.46</v>
      </c>
      <c r="N4" s="71">
        <v>79.86</v>
      </c>
      <c r="O4" s="71">
        <v>11.98</v>
      </c>
      <c r="P4" s="71">
        <v>177.4</v>
      </c>
      <c r="Q4" s="89">
        <f t="shared" ref="Q4:Q22" si="0">ROUND(SUM(M4:P4),2)</f>
        <v>588.7</v>
      </c>
      <c r="R4" s="70">
        <v>0</v>
      </c>
      <c r="S4" s="90">
        <f>L4+IFERROR(VLOOKUP($E:$E,'（居民）工资表-3月'!$E:$S,15,0),0)</f>
        <v>24000</v>
      </c>
      <c r="T4" s="91">
        <f>5000+IFERROR(VLOOKUP($E:$E,'（居民）工资表-3月'!$E:$T,16,0),0)</f>
        <v>15000</v>
      </c>
      <c r="U4" s="91">
        <f>Q4+IFERROR(VLOOKUP($E:$E,'（居民）工资表-3月'!$E:$U,17,0),0)</f>
        <v>1830.76</v>
      </c>
      <c r="V4" s="70"/>
      <c r="W4" s="70"/>
      <c r="X4" s="70"/>
      <c r="Y4" s="70"/>
      <c r="Z4" s="70"/>
      <c r="AA4" s="70"/>
      <c r="AB4" s="90">
        <f t="shared" ref="AB4:AB22" si="1">ROUND(SUM(V4:AA4),2)</f>
        <v>0</v>
      </c>
      <c r="AC4" s="90">
        <f>R4+IFERROR(VLOOKUP($E:$E,'（居民）工资表-3月'!$E:$AC,25,0),0)</f>
        <v>0</v>
      </c>
      <c r="AD4" s="95">
        <f t="shared" ref="AD4:AD22" si="2">ROUND(S4-T4-U4-AB4-AC4,2)</f>
        <v>7169.24</v>
      </c>
      <c r="AE4" s="96">
        <f>ROUND(MAX((AD4)*{0.03;0.1;0.2;0.25;0.3;0.35;0.45}-{0;2520;16920;31920;52920;85920;181920},0),2)</f>
        <v>215.08</v>
      </c>
      <c r="AF4" s="97">
        <f>IFERROR(VLOOKUP(E:E,'（居民）工资表-3月'!E:AF,28,0)+VLOOKUP(E:E,'（居民）工资表-3月'!E:AG,29,0),0)</f>
        <v>71.37</v>
      </c>
      <c r="AG4" s="97">
        <f t="shared" ref="AG4:AG22" si="3">IF((AE4-AF4)&lt;0,0,AE4-AF4)</f>
        <v>143.71</v>
      </c>
      <c r="AH4" s="107">
        <f t="shared" ref="AH4:AH22" si="4">ROUND(IF((L4-Q4-AG4)&lt;0,0,(L4-Q4-AG4)),2)</f>
        <v>7267.59</v>
      </c>
      <c r="AI4" s="108"/>
      <c r="AJ4" s="107">
        <f t="shared" ref="AJ4:AJ22" si="5">AH4+AI4</f>
        <v>7267.59</v>
      </c>
      <c r="AK4" s="109"/>
      <c r="AL4" s="107">
        <f t="shared" ref="AL4:AL22" si="6">AJ4+AG4+AK4</f>
        <v>7411.3</v>
      </c>
      <c r="AM4" s="109"/>
      <c r="AN4" s="109"/>
      <c r="AO4" s="109"/>
      <c r="AP4" s="109"/>
      <c r="AQ4" s="109"/>
      <c r="AR4" s="116" t="str">
        <f t="shared" ref="AR4:AR11" si="7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 t="shared" ref="AS4:AS11" si="8">IF(SUMPRODUCT(N(E$1:E$5=E4))&gt;1,"重复","不")</f>
        <v>不</v>
      </c>
      <c r="AT4" s="116" t="str">
        <f t="shared" ref="AT4:AT11" si="9">IF(SUMPRODUCT(N(AO$1:AO$5=AO4))&gt;1,"重复","不")</f>
        <v>重复</v>
      </c>
    </row>
    <row r="5" s="12" customFormat="1" ht="18" customHeight="1" spans="1:46">
      <c r="A5" s="36">
        <v>2</v>
      </c>
      <c r="B5" s="37" t="s">
        <v>144</v>
      </c>
      <c r="C5" s="37" t="s">
        <v>148</v>
      </c>
      <c r="D5" s="37" t="s">
        <v>145</v>
      </c>
      <c r="E5" s="329" t="s">
        <v>149</v>
      </c>
      <c r="F5" s="38" t="s">
        <v>150</v>
      </c>
      <c r="G5" s="39">
        <v>15360550807</v>
      </c>
      <c r="H5" s="40"/>
      <c r="I5" s="40"/>
      <c r="J5" s="69"/>
      <c r="K5" s="40"/>
      <c r="L5" s="70">
        <f>VLOOKUP(C5,[1]Sheet1!$B$2:$D$16,3,0)</f>
        <v>5700</v>
      </c>
      <c r="M5" s="71">
        <v>422.72</v>
      </c>
      <c r="N5" s="71">
        <v>119.92</v>
      </c>
      <c r="O5" s="71">
        <v>4.6</v>
      </c>
      <c r="P5" s="71">
        <v>115</v>
      </c>
      <c r="Q5" s="89">
        <f t="shared" si="0"/>
        <v>662.24</v>
      </c>
      <c r="R5" s="70">
        <v>0</v>
      </c>
      <c r="S5" s="90">
        <f>L5+IFERROR(VLOOKUP($E:$E,'（居民）工资表-3月'!$E:$S,15,0),0)</f>
        <v>18020</v>
      </c>
      <c r="T5" s="91">
        <f>5000+IFERROR(VLOOKUP($E:$E,'（居民）工资表-3月'!$E:$T,16,0),0)</f>
        <v>15000</v>
      </c>
      <c r="U5" s="91">
        <f>Q5+IFERROR(VLOOKUP($E:$E,'（居民）工资表-3月'!$E:$U,17,0),0)</f>
        <v>2156.64</v>
      </c>
      <c r="V5" s="70"/>
      <c r="W5" s="70"/>
      <c r="X5" s="70"/>
      <c r="Y5" s="70"/>
      <c r="Z5" s="70"/>
      <c r="AA5" s="70"/>
      <c r="AB5" s="90">
        <f t="shared" si="1"/>
        <v>0</v>
      </c>
      <c r="AC5" s="90">
        <f>R5+IFERROR(VLOOKUP($E:$E,'（居民）工资表-3月'!$E:$AC,25,0),0)</f>
        <v>0</v>
      </c>
      <c r="AD5" s="95">
        <f t="shared" si="2"/>
        <v>863.36</v>
      </c>
      <c r="AE5" s="96">
        <f>ROUND(MAX((AD5)*{0.03;0.1;0.2;0.25;0.3;0.35;0.45}-{0;2520;16920;31920;52920;85920;181920},0),2)</f>
        <v>25.9</v>
      </c>
      <c r="AF5" s="97">
        <f>IFERROR(VLOOKUP(E:E,'（居民）工资表-3月'!E:AF,28,0)+VLOOKUP(E:E,'（居民）工资表-3月'!E:AG,29,0),0)</f>
        <v>24.77</v>
      </c>
      <c r="AG5" s="97">
        <f t="shared" si="3"/>
        <v>1.13</v>
      </c>
      <c r="AH5" s="107">
        <f t="shared" si="4"/>
        <v>5036.63</v>
      </c>
      <c r="AI5" s="108"/>
      <c r="AJ5" s="107">
        <f t="shared" si="5"/>
        <v>5036.63</v>
      </c>
      <c r="AK5" s="109"/>
      <c r="AL5" s="107">
        <f t="shared" si="6"/>
        <v>5037.76</v>
      </c>
      <c r="AM5" s="109"/>
      <c r="AN5" s="109"/>
      <c r="AO5" s="109"/>
      <c r="AP5" s="109"/>
      <c r="AQ5" s="109"/>
      <c r="AR5" s="116" t="str">
        <f t="shared" si="7"/>
        <v>正确</v>
      </c>
      <c r="AS5" s="116" t="str">
        <f t="shared" si="8"/>
        <v>不</v>
      </c>
      <c r="AT5" s="116" t="str">
        <f t="shared" si="9"/>
        <v>重复</v>
      </c>
    </row>
    <row r="6" s="12" customFormat="1" ht="18" customHeight="1" spans="1:46">
      <c r="A6" s="36">
        <v>3</v>
      </c>
      <c r="B6" s="37" t="s">
        <v>144</v>
      </c>
      <c r="C6" s="37" t="s">
        <v>151</v>
      </c>
      <c r="D6" s="37" t="s">
        <v>145</v>
      </c>
      <c r="E6" s="329" t="s">
        <v>152</v>
      </c>
      <c r="F6" s="38" t="s">
        <v>146</v>
      </c>
      <c r="G6" s="39" t="s">
        <v>153</v>
      </c>
      <c r="H6" s="40"/>
      <c r="I6" s="40"/>
      <c r="J6" s="69"/>
      <c r="K6" s="40"/>
      <c r="L6" s="70">
        <f>VLOOKUP(C6,[1]Sheet1!$B$2:$D$16,3,0)</f>
        <v>30060</v>
      </c>
      <c r="M6" s="71">
        <v>584.8</v>
      </c>
      <c r="N6" s="71">
        <v>146.2</v>
      </c>
      <c r="O6" s="71">
        <v>36.55</v>
      </c>
      <c r="P6" s="71">
        <v>181</v>
      </c>
      <c r="Q6" s="89">
        <f t="shared" si="0"/>
        <v>948.55</v>
      </c>
      <c r="R6" s="70">
        <v>0</v>
      </c>
      <c r="S6" s="90">
        <f>L6+IFERROR(VLOOKUP($E:$E,'（居民）工资表-3月'!$E:$S,15,0),0)</f>
        <v>90180</v>
      </c>
      <c r="T6" s="91">
        <f>5000+IFERROR(VLOOKUP($E:$E,'（居民）工资表-3月'!$E:$T,16,0),0)</f>
        <v>15000</v>
      </c>
      <c r="U6" s="91">
        <f>Q6+IFERROR(VLOOKUP($E:$E,'（居民）工资表-3月'!$E:$U,17,0),0)</f>
        <v>2875.19</v>
      </c>
      <c r="V6" s="70"/>
      <c r="W6" s="70"/>
      <c r="X6" s="70"/>
      <c r="Y6" s="70"/>
      <c r="Z6" s="70"/>
      <c r="AA6" s="70"/>
      <c r="AB6" s="90">
        <f t="shared" si="1"/>
        <v>0</v>
      </c>
      <c r="AC6" s="90">
        <f>R6+IFERROR(VLOOKUP($E:$E,'（居民）工资表-3月'!$E:$AC,25,0),0)</f>
        <v>0</v>
      </c>
      <c r="AD6" s="95">
        <f t="shared" si="2"/>
        <v>72304.81</v>
      </c>
      <c r="AE6" s="96">
        <f>ROUND(MAX((AD6)*{0.03;0.1;0.2;0.25;0.3;0.35;0.45}-{0;2520;16920;31920;52920;85920;181920},0),2)</f>
        <v>4710.48</v>
      </c>
      <c r="AF6" s="97">
        <f>IFERROR(VLOOKUP(E:E,'（居民）工资表-3月'!E:AF,28,0)+VLOOKUP(E:E,'（居民）工资表-3月'!E:AG,29,0),0)</f>
        <v>2299.34</v>
      </c>
      <c r="AG6" s="97">
        <f t="shared" si="3"/>
        <v>2411.14</v>
      </c>
      <c r="AH6" s="107">
        <f t="shared" si="4"/>
        <v>26700.31</v>
      </c>
      <c r="AI6" s="108"/>
      <c r="AJ6" s="107">
        <f t="shared" si="5"/>
        <v>26700.31</v>
      </c>
      <c r="AK6" s="109"/>
      <c r="AL6" s="107">
        <f t="shared" si="6"/>
        <v>29111.45</v>
      </c>
      <c r="AM6" s="109"/>
      <c r="AN6" s="109"/>
      <c r="AO6" s="109"/>
      <c r="AP6" s="109"/>
      <c r="AQ6" s="109"/>
      <c r="AR6" s="116" t="str">
        <f t="shared" si="7"/>
        <v>正确</v>
      </c>
      <c r="AS6" s="116" t="str">
        <f t="shared" si="8"/>
        <v>不</v>
      </c>
      <c r="AT6" s="116" t="str">
        <f t="shared" si="9"/>
        <v>重复</v>
      </c>
    </row>
    <row r="7" s="12" customFormat="1" ht="18" customHeight="1" spans="1:46">
      <c r="A7" s="36">
        <v>4</v>
      </c>
      <c r="B7" s="37" t="s">
        <v>144</v>
      </c>
      <c r="C7" s="37" t="s">
        <v>156</v>
      </c>
      <c r="D7" s="37" t="s">
        <v>145</v>
      </c>
      <c r="E7" s="329" t="s">
        <v>157</v>
      </c>
      <c r="F7" s="38" t="s">
        <v>146</v>
      </c>
      <c r="G7" s="39" t="s">
        <v>158</v>
      </c>
      <c r="H7" s="40"/>
      <c r="I7" s="40"/>
      <c r="J7" s="69"/>
      <c r="K7" s="40"/>
      <c r="L7" s="70">
        <f>VLOOKUP(C7,[1]Sheet1!$B$2:$D$16,3,0)</f>
        <v>8000</v>
      </c>
      <c r="M7" s="71">
        <v>321.52</v>
      </c>
      <c r="N7" s="71">
        <v>89.09</v>
      </c>
      <c r="O7" s="71">
        <v>20.1</v>
      </c>
      <c r="P7" s="71">
        <v>97</v>
      </c>
      <c r="Q7" s="89">
        <f t="shared" si="0"/>
        <v>527.71</v>
      </c>
      <c r="R7" s="70">
        <v>0</v>
      </c>
      <c r="S7" s="90">
        <f>L7+IFERROR(VLOOKUP($E:$E,'（居民）工资表-3月'!$E:$S,15,0),0)</f>
        <v>26000</v>
      </c>
      <c r="T7" s="91">
        <f>5000+IFERROR(VLOOKUP($E:$E,'（居民）工资表-3月'!$E:$T,16,0),0)</f>
        <v>15000</v>
      </c>
      <c r="U7" s="91">
        <f>Q7+IFERROR(VLOOKUP($E:$E,'（居民）工资表-3月'!$E:$U,17,0),0)</f>
        <v>1627.71</v>
      </c>
      <c r="V7" s="70"/>
      <c r="W7" s="70"/>
      <c r="X7" s="70"/>
      <c r="Y7" s="70"/>
      <c r="Z7" s="70"/>
      <c r="AA7" s="70"/>
      <c r="AB7" s="90">
        <f t="shared" si="1"/>
        <v>0</v>
      </c>
      <c r="AC7" s="90">
        <f>R7+IFERROR(VLOOKUP($E:$E,'（居民）工资表-3月'!$E:$AC,25,0),0)</f>
        <v>0</v>
      </c>
      <c r="AD7" s="95">
        <f t="shared" si="2"/>
        <v>9372.29</v>
      </c>
      <c r="AE7" s="96">
        <f>ROUND(MAX((AD7)*{0.03;0.1;0.2;0.25;0.3;0.35;0.45}-{0;2520;16920;31920;52920;85920;181920},0),2)</f>
        <v>281.17</v>
      </c>
      <c r="AF7" s="97">
        <f>IFERROR(VLOOKUP(E:E,'（居民）工资表-3月'!E:AF,28,0)+VLOOKUP(E:E,'（居民）工资表-3月'!E:AG,29,0),0)</f>
        <v>207</v>
      </c>
      <c r="AG7" s="97">
        <f t="shared" si="3"/>
        <v>74.17</v>
      </c>
      <c r="AH7" s="107">
        <f t="shared" si="4"/>
        <v>7398.12</v>
      </c>
      <c r="AI7" s="108"/>
      <c r="AJ7" s="107">
        <f t="shared" si="5"/>
        <v>7398.12</v>
      </c>
      <c r="AK7" s="109"/>
      <c r="AL7" s="107">
        <f t="shared" si="6"/>
        <v>7472.29</v>
      </c>
      <c r="AM7" s="109"/>
      <c r="AN7" s="109"/>
      <c r="AO7" s="109"/>
      <c r="AP7" s="109"/>
      <c r="AQ7" s="109"/>
      <c r="AR7" s="116" t="str">
        <f t="shared" si="7"/>
        <v>正确</v>
      </c>
      <c r="AS7" s="116" t="str">
        <f t="shared" si="8"/>
        <v>不</v>
      </c>
      <c r="AT7" s="116" t="str">
        <f t="shared" si="9"/>
        <v>重复</v>
      </c>
    </row>
    <row r="8" s="12" customFormat="1" ht="18" customHeight="1" spans="1:46">
      <c r="A8" s="36">
        <v>5</v>
      </c>
      <c r="B8" s="37" t="s">
        <v>144</v>
      </c>
      <c r="C8" s="37" t="s">
        <v>160</v>
      </c>
      <c r="D8" s="37" t="s">
        <v>145</v>
      </c>
      <c r="E8" s="329" t="s">
        <v>161</v>
      </c>
      <c r="F8" s="38" t="s">
        <v>146</v>
      </c>
      <c r="G8" s="39">
        <v>19356875630</v>
      </c>
      <c r="H8" s="40"/>
      <c r="I8" s="40"/>
      <c r="J8" s="69"/>
      <c r="K8" s="40"/>
      <c r="L8" s="70">
        <f>VLOOKUP(C8,[1]Sheet1!$B$2:$D$16,3,0)</f>
        <v>10500</v>
      </c>
      <c r="M8" s="71">
        <v>321.52</v>
      </c>
      <c r="N8" s="71">
        <v>86.38</v>
      </c>
      <c r="O8" s="71">
        <v>20.1</v>
      </c>
      <c r="P8" s="71">
        <v>344</v>
      </c>
      <c r="Q8" s="70">
        <f t="shared" si="0"/>
        <v>772</v>
      </c>
      <c r="R8" s="70">
        <v>0</v>
      </c>
      <c r="S8" s="92">
        <f>L8+IFERROR(VLOOKUP($E:$E,'（居民）工资表-3月'!$E:$S,15,0),0)</f>
        <v>31500</v>
      </c>
      <c r="T8" s="93">
        <f>5000+IFERROR(VLOOKUP($E:$E,'（居民）工资表-3月'!$E:$T,16,0),0)</f>
        <v>15000</v>
      </c>
      <c r="U8" s="93">
        <f>Q8+IFERROR(VLOOKUP($E:$E,'（居民）工资表-3月'!$E:$U,17,0),0)</f>
        <v>2359.68</v>
      </c>
      <c r="V8" s="70"/>
      <c r="W8" s="70"/>
      <c r="X8" s="70"/>
      <c r="Y8" s="70"/>
      <c r="Z8" s="70"/>
      <c r="AA8" s="70"/>
      <c r="AB8" s="92">
        <f t="shared" si="1"/>
        <v>0</v>
      </c>
      <c r="AC8" s="92">
        <f>R8+IFERROR(VLOOKUP($E:$E,'（居民）工资表-3月'!$E:$AC,25,0),0)</f>
        <v>0</v>
      </c>
      <c r="AD8" s="98">
        <f t="shared" si="2"/>
        <v>14140.32</v>
      </c>
      <c r="AE8" s="99">
        <f>ROUND(MAX((AD8)*{0.03;0.1;0.2;0.25;0.3;0.35;0.45}-{0;2520;16920;31920;52920;85920;181920},0),2)</f>
        <v>424.21</v>
      </c>
      <c r="AF8" s="100">
        <f>IFERROR(VLOOKUP(E:E,'（居民）工资表-3月'!E:AF,28,0)+VLOOKUP(E:E,'（居民）工资表-3月'!E:AG,29,0),0)</f>
        <v>282.37</v>
      </c>
      <c r="AG8" s="100">
        <f t="shared" si="3"/>
        <v>141.84</v>
      </c>
      <c r="AH8" s="109">
        <f t="shared" si="4"/>
        <v>9586.16</v>
      </c>
      <c r="AI8" s="108"/>
      <c r="AJ8" s="109">
        <f t="shared" si="5"/>
        <v>9586.16</v>
      </c>
      <c r="AK8" s="109"/>
      <c r="AL8" s="109">
        <f t="shared" si="6"/>
        <v>9728</v>
      </c>
      <c r="AM8" s="109"/>
      <c r="AN8" s="109"/>
      <c r="AO8" s="109"/>
      <c r="AP8" s="109"/>
      <c r="AQ8" s="109"/>
      <c r="AR8" s="117" t="str">
        <f t="shared" si="7"/>
        <v>正确</v>
      </c>
      <c r="AS8" s="117" t="str">
        <f t="shared" si="8"/>
        <v>不</v>
      </c>
      <c r="AT8" s="117" t="str">
        <f t="shared" si="9"/>
        <v>重复</v>
      </c>
    </row>
    <row r="9" s="12" customFormat="1" ht="18" customHeight="1" spans="1:46">
      <c r="A9" s="36">
        <v>6</v>
      </c>
      <c r="B9" s="37" t="s">
        <v>144</v>
      </c>
      <c r="C9" s="37" t="s">
        <v>162</v>
      </c>
      <c r="D9" s="37" t="s">
        <v>145</v>
      </c>
      <c r="E9" s="329" t="s">
        <v>163</v>
      </c>
      <c r="F9" s="38" t="s">
        <v>146</v>
      </c>
      <c r="G9" s="39">
        <v>13973652684</v>
      </c>
      <c r="H9" s="40"/>
      <c r="I9" s="40"/>
      <c r="J9" s="69"/>
      <c r="K9" s="40"/>
      <c r="L9" s="70">
        <f>VLOOKUP(C9,[1]Sheet1!$B$2:$D$16,3,0)</f>
        <v>6500</v>
      </c>
      <c r="M9" s="71">
        <v>324.24</v>
      </c>
      <c r="N9" s="71">
        <v>90.4</v>
      </c>
      <c r="O9" s="71">
        <v>12.16</v>
      </c>
      <c r="P9" s="71">
        <v>100</v>
      </c>
      <c r="Q9" s="89">
        <f t="shared" si="0"/>
        <v>526.8</v>
      </c>
      <c r="R9" s="70">
        <v>0</v>
      </c>
      <c r="S9" s="90">
        <f>L9+IFERROR(VLOOKUP($E:$E,'（居民）工资表-3月'!$E:$S,15,0),0)</f>
        <v>19500</v>
      </c>
      <c r="T9" s="91">
        <f>5000+IFERROR(VLOOKUP($E:$E,'（居民）工资表-3月'!$E:$T,16,0),0)</f>
        <v>15000</v>
      </c>
      <c r="U9" s="91">
        <f>Q9+IFERROR(VLOOKUP($E:$E,'（居民）工资表-3月'!$E:$U,17,0),0)</f>
        <v>1679.65</v>
      </c>
      <c r="V9" s="70"/>
      <c r="W9" s="70"/>
      <c r="X9" s="70"/>
      <c r="Y9" s="70"/>
      <c r="Z9" s="70"/>
      <c r="AA9" s="70"/>
      <c r="AB9" s="90">
        <f t="shared" si="1"/>
        <v>0</v>
      </c>
      <c r="AC9" s="90">
        <f>R9+IFERROR(VLOOKUP($E:$E,'（居民）工资表-3月'!$E:$AC,25,0),0)</f>
        <v>0</v>
      </c>
      <c r="AD9" s="95">
        <f t="shared" si="2"/>
        <v>2820.35</v>
      </c>
      <c r="AE9" s="96">
        <f>ROUND(MAX((AD9)*{0.03;0.1;0.2;0.25;0.3;0.35;0.45}-{0;2520;16920;31920;52920;85920;181920},0),2)</f>
        <v>84.61</v>
      </c>
      <c r="AF9" s="97">
        <f>IFERROR(VLOOKUP(E:E,'（居民）工资表-3月'!E:AF,28,0)+VLOOKUP(E:E,'（居民）工资表-3月'!E:AG,29,0),0)</f>
        <v>55.41</v>
      </c>
      <c r="AG9" s="97">
        <f t="shared" si="3"/>
        <v>29.2</v>
      </c>
      <c r="AH9" s="107">
        <f t="shared" si="4"/>
        <v>5944</v>
      </c>
      <c r="AI9" s="108"/>
      <c r="AJ9" s="107">
        <f t="shared" si="5"/>
        <v>5944</v>
      </c>
      <c r="AK9" s="109"/>
      <c r="AL9" s="107">
        <f t="shared" si="6"/>
        <v>5973.2</v>
      </c>
      <c r="AM9" s="109"/>
      <c r="AN9" s="109"/>
      <c r="AO9" s="109"/>
      <c r="AP9" s="109"/>
      <c r="AQ9" s="109"/>
      <c r="AR9" s="116" t="str">
        <f t="shared" si="7"/>
        <v>正确</v>
      </c>
      <c r="AS9" s="116" t="str">
        <f t="shared" si="8"/>
        <v>不</v>
      </c>
      <c r="AT9" s="116" t="str">
        <f t="shared" si="9"/>
        <v>重复</v>
      </c>
    </row>
    <row r="10" s="12" customFormat="1" ht="18" customHeight="1" spans="1:46">
      <c r="A10" s="36">
        <v>7</v>
      </c>
      <c r="B10" s="37" t="s">
        <v>144</v>
      </c>
      <c r="C10" s="37" t="s">
        <v>165</v>
      </c>
      <c r="D10" s="37" t="s">
        <v>145</v>
      </c>
      <c r="E10" s="329" t="s">
        <v>166</v>
      </c>
      <c r="F10" s="38" t="s">
        <v>150</v>
      </c>
      <c r="G10" s="39" t="s">
        <v>167</v>
      </c>
      <c r="H10" s="40"/>
      <c r="I10" s="40"/>
      <c r="J10" s="69"/>
      <c r="K10" s="40"/>
      <c r="L10" s="70">
        <f>VLOOKUP(C10,[1]Sheet1!$B$2:$D$16,3,0)</f>
        <v>4525.84</v>
      </c>
      <c r="M10" s="71">
        <v>380.08</v>
      </c>
      <c r="N10" s="71">
        <v>117.02</v>
      </c>
      <c r="O10" s="71">
        <v>23.76</v>
      </c>
      <c r="P10" s="71">
        <v>109</v>
      </c>
      <c r="Q10" s="89">
        <f t="shared" si="0"/>
        <v>629.86</v>
      </c>
      <c r="R10" s="70">
        <v>0</v>
      </c>
      <c r="S10" s="90">
        <f>L10+IFERROR(VLOOKUP($E:$E,'（居民）工资表-3月'!$E:$S,15,0),0)</f>
        <v>13371.64</v>
      </c>
      <c r="T10" s="91">
        <f>5000+IFERROR(VLOOKUP($E:$E,'（居民）工资表-3月'!$E:$T,16,0),0)</f>
        <v>15000</v>
      </c>
      <c r="U10" s="91">
        <f>Q10+IFERROR(VLOOKUP($E:$E,'（居民）工资表-3月'!$E:$U,17,0),0)</f>
        <v>1958.6</v>
      </c>
      <c r="V10" s="70"/>
      <c r="W10" s="70"/>
      <c r="X10" s="70"/>
      <c r="Y10" s="70"/>
      <c r="Z10" s="70"/>
      <c r="AA10" s="70"/>
      <c r="AB10" s="90">
        <f t="shared" si="1"/>
        <v>0</v>
      </c>
      <c r="AC10" s="90">
        <f>R10+IFERROR(VLOOKUP($E:$E,'（居民）工资表-3月'!$E:$AC,25,0),0)</f>
        <v>0</v>
      </c>
      <c r="AD10" s="95">
        <f t="shared" si="2"/>
        <v>-3586.96</v>
      </c>
      <c r="AE10" s="96">
        <f>ROUND(MAX((AD10)*{0.03;0.1;0.2;0.25;0.3;0.35;0.45}-{0;2520;16920;31920;52920;85920;181920},0),2)</f>
        <v>0</v>
      </c>
      <c r="AF10" s="97">
        <f>IFERROR(VLOOKUP(E:E,'（居民）工资表-3月'!E:AF,28,0)+VLOOKUP(E:E,'（居民）工资表-3月'!E:AG,29,0),0)</f>
        <v>0</v>
      </c>
      <c r="AG10" s="97">
        <f t="shared" si="3"/>
        <v>0</v>
      </c>
      <c r="AH10" s="107">
        <f t="shared" si="4"/>
        <v>3895.98</v>
      </c>
      <c r="AI10" s="108"/>
      <c r="AJ10" s="107">
        <f t="shared" si="5"/>
        <v>3895.98</v>
      </c>
      <c r="AK10" s="109"/>
      <c r="AL10" s="107">
        <f t="shared" si="6"/>
        <v>3895.98</v>
      </c>
      <c r="AM10" s="109"/>
      <c r="AN10" s="109"/>
      <c r="AO10" s="109"/>
      <c r="AP10" s="109"/>
      <c r="AQ10" s="109"/>
      <c r="AR10" s="116" t="str">
        <f t="shared" si="7"/>
        <v>正确</v>
      </c>
      <c r="AS10" s="116" t="str">
        <f t="shared" si="8"/>
        <v>不</v>
      </c>
      <c r="AT10" s="116" t="str">
        <f t="shared" si="9"/>
        <v>重复</v>
      </c>
    </row>
    <row r="11" s="12" customFormat="1" ht="18" customHeight="1" spans="1:46">
      <c r="A11" s="36">
        <v>8</v>
      </c>
      <c r="B11" s="37" t="s">
        <v>144</v>
      </c>
      <c r="C11" s="37" t="s">
        <v>170</v>
      </c>
      <c r="D11" s="37" t="s">
        <v>145</v>
      </c>
      <c r="E11" s="329" t="s">
        <v>171</v>
      </c>
      <c r="F11" s="38" t="s">
        <v>146</v>
      </c>
      <c r="G11" s="39">
        <v>18356553626</v>
      </c>
      <c r="H11" s="40"/>
      <c r="I11" s="40"/>
      <c r="J11" s="69"/>
      <c r="K11" s="40"/>
      <c r="L11" s="70">
        <f>VLOOKUP(C11,[1]Sheet1!$B$2:$D$16,3,0)</f>
        <v>8500</v>
      </c>
      <c r="M11" s="71">
        <v>321.52</v>
      </c>
      <c r="N11" s="71">
        <v>120.38</v>
      </c>
      <c r="O11" s="71">
        <v>20.1</v>
      </c>
      <c r="P11" s="71">
        <v>97</v>
      </c>
      <c r="Q11" s="89">
        <f t="shared" si="0"/>
        <v>559</v>
      </c>
      <c r="R11" s="70">
        <v>0</v>
      </c>
      <c r="S11" s="90">
        <f>L11+IFERROR(VLOOKUP($E:$E,'（居民）工资表-3月'!$E:$S,15,0),0)</f>
        <v>26500</v>
      </c>
      <c r="T11" s="91">
        <f>5000+IFERROR(VLOOKUP($E:$E,'（居民）工资表-3月'!$E:$T,16,0),0)</f>
        <v>15000</v>
      </c>
      <c r="U11" s="91">
        <f>Q11+IFERROR(VLOOKUP($E:$E,'（居民）工资表-3月'!$E:$U,17,0),0)</f>
        <v>1720.68</v>
      </c>
      <c r="V11" s="70"/>
      <c r="W11" s="70"/>
      <c r="X11" s="70"/>
      <c r="Y11" s="70"/>
      <c r="Z11" s="70"/>
      <c r="AA11" s="70"/>
      <c r="AB11" s="90">
        <f t="shared" si="1"/>
        <v>0</v>
      </c>
      <c r="AC11" s="90">
        <f>R11+IFERROR(VLOOKUP($E:$E,'（居民）工资表-3月'!$E:$AC,25,0),0)</f>
        <v>0</v>
      </c>
      <c r="AD11" s="95">
        <f t="shared" si="2"/>
        <v>9779.32</v>
      </c>
      <c r="AE11" s="96">
        <f>ROUND(MAX((AD11)*{0.03;0.1;0.2;0.25;0.3;0.35;0.45}-{0;2520;16920;31920;52920;85920;181920},0),2)</f>
        <v>293.38</v>
      </c>
      <c r="AF11" s="97">
        <f>IFERROR(VLOOKUP(E:E,'（居民）工资表-3月'!E:AF,28,0)+VLOOKUP(E:E,'（居民）工资表-3月'!E:AG,29,0),0)</f>
        <v>205.15</v>
      </c>
      <c r="AG11" s="97">
        <f t="shared" si="3"/>
        <v>88.23</v>
      </c>
      <c r="AH11" s="107">
        <f t="shared" si="4"/>
        <v>7852.77</v>
      </c>
      <c r="AI11" s="108"/>
      <c r="AJ11" s="107">
        <f t="shared" si="5"/>
        <v>7852.77</v>
      </c>
      <c r="AK11" s="109"/>
      <c r="AL11" s="107">
        <f t="shared" si="6"/>
        <v>7941</v>
      </c>
      <c r="AM11" s="109"/>
      <c r="AN11" s="109"/>
      <c r="AO11" s="109"/>
      <c r="AP11" s="109"/>
      <c r="AQ11" s="109"/>
      <c r="AR11" s="116" t="str">
        <f t="shared" si="7"/>
        <v>正确</v>
      </c>
      <c r="AS11" s="116" t="str">
        <f t="shared" si="8"/>
        <v>不</v>
      </c>
      <c r="AT11" s="116" t="str">
        <f t="shared" si="9"/>
        <v>重复</v>
      </c>
    </row>
    <row r="12" s="12" customFormat="1" ht="18" customHeight="1" spans="1:46">
      <c r="A12" s="36">
        <v>9</v>
      </c>
      <c r="B12" s="37" t="s">
        <v>144</v>
      </c>
      <c r="C12" s="37" t="s">
        <v>174</v>
      </c>
      <c r="D12" s="37" t="s">
        <v>145</v>
      </c>
      <c r="E12" s="329" t="s">
        <v>175</v>
      </c>
      <c r="F12" s="38" t="s">
        <v>146</v>
      </c>
      <c r="G12" s="39">
        <v>18326897140</v>
      </c>
      <c r="H12" s="40"/>
      <c r="I12" s="40"/>
      <c r="J12" s="69"/>
      <c r="K12" s="40"/>
      <c r="L12" s="70">
        <f>VLOOKUP(C12,[1]Sheet1!$B$2:$D$16,3,0)</f>
        <v>7000</v>
      </c>
      <c r="M12" s="71">
        <v>321.52</v>
      </c>
      <c r="N12" s="71">
        <v>86.38</v>
      </c>
      <c r="O12" s="71">
        <v>20.1</v>
      </c>
      <c r="P12" s="71">
        <v>344</v>
      </c>
      <c r="Q12" s="89">
        <f t="shared" si="0"/>
        <v>772</v>
      </c>
      <c r="R12" s="70">
        <v>0</v>
      </c>
      <c r="S12" s="90">
        <f>L12+IFERROR(VLOOKUP($E:$E,'（居民）工资表-3月'!$E:$S,15,0),0)</f>
        <v>22000</v>
      </c>
      <c r="T12" s="91">
        <f>5000+IFERROR(VLOOKUP($E:$E,'（居民）工资表-3月'!$E:$T,16,0),0)</f>
        <v>15000</v>
      </c>
      <c r="U12" s="91">
        <f>Q12+IFERROR(VLOOKUP($E:$E,'（居民）工资表-3月'!$E:$U,17,0),0)</f>
        <v>2359.68</v>
      </c>
      <c r="V12" s="70"/>
      <c r="W12" s="70"/>
      <c r="X12" s="70"/>
      <c r="Y12" s="70"/>
      <c r="Z12" s="70"/>
      <c r="AA12" s="70"/>
      <c r="AB12" s="90">
        <f t="shared" si="1"/>
        <v>0</v>
      </c>
      <c r="AC12" s="90">
        <f>R12+IFERROR(VLOOKUP($E:$E,'（居民）工资表-3月'!$E:$AC,25,0),0)</f>
        <v>0</v>
      </c>
      <c r="AD12" s="95">
        <f t="shared" si="2"/>
        <v>4640.32</v>
      </c>
      <c r="AE12" s="96">
        <f>ROUND(MAX((AD12)*{0.03;0.1;0.2;0.25;0.3;0.35;0.45}-{0;2520;16920;31920;52920;85920;181920},0),2)</f>
        <v>139.21</v>
      </c>
      <c r="AF12" s="97">
        <f>IFERROR(VLOOKUP(E:E,'（居民）工资表-3月'!E:AF,28,0)+VLOOKUP(E:E,'（居民）工资表-3月'!E:AG,29,0),0)</f>
        <v>102.37</v>
      </c>
      <c r="AG12" s="97">
        <f t="shared" si="3"/>
        <v>36.84</v>
      </c>
      <c r="AH12" s="107">
        <f t="shared" si="4"/>
        <v>6191.16</v>
      </c>
      <c r="AI12" s="108"/>
      <c r="AJ12" s="107">
        <f t="shared" si="5"/>
        <v>6191.16</v>
      </c>
      <c r="AK12" s="109"/>
      <c r="AL12" s="107">
        <f t="shared" si="6"/>
        <v>6228</v>
      </c>
      <c r="AM12" s="109"/>
      <c r="AN12" s="109"/>
      <c r="AO12" s="109"/>
      <c r="AP12" s="109"/>
      <c r="AQ12" s="109"/>
      <c r="AR12" s="116"/>
      <c r="AS12" s="116"/>
      <c r="AT12" s="116"/>
    </row>
    <row r="13" s="12" customFormat="1" ht="18" customHeight="1" spans="1:46">
      <c r="A13" s="36">
        <v>10</v>
      </c>
      <c r="B13" s="37" t="s">
        <v>144</v>
      </c>
      <c r="C13" s="37" t="s">
        <v>176</v>
      </c>
      <c r="D13" s="37" t="s">
        <v>145</v>
      </c>
      <c r="E13" s="329" t="s">
        <v>177</v>
      </c>
      <c r="F13" s="38" t="s">
        <v>146</v>
      </c>
      <c r="G13" s="39">
        <v>17201857014</v>
      </c>
      <c r="H13" s="40"/>
      <c r="I13" s="40"/>
      <c r="J13" s="69"/>
      <c r="K13" s="40"/>
      <c r="L13" s="70">
        <f>VLOOKUP(C13,[1]Sheet1!$B$2:$D$16,3,0)</f>
        <v>7000</v>
      </c>
      <c r="M13" s="71">
        <v>321.52</v>
      </c>
      <c r="N13" s="71">
        <v>86.38</v>
      </c>
      <c r="O13" s="71">
        <v>20.1</v>
      </c>
      <c r="P13" s="71">
        <v>344</v>
      </c>
      <c r="Q13" s="89">
        <f t="shared" si="0"/>
        <v>772</v>
      </c>
      <c r="R13" s="70">
        <v>0</v>
      </c>
      <c r="S13" s="90">
        <f>L13+IFERROR(VLOOKUP($E:$E,'（居民）工资表-3月'!$E:$S,15,0),0)</f>
        <v>23000</v>
      </c>
      <c r="T13" s="91">
        <f>5000+IFERROR(VLOOKUP($E:$E,'（居民）工资表-3月'!$E:$T,16,0),0)</f>
        <v>15000</v>
      </c>
      <c r="U13" s="91">
        <f>Q13+IFERROR(VLOOKUP($E:$E,'（居民）工资表-3月'!$E:$U,17,0),0)</f>
        <v>2359.68</v>
      </c>
      <c r="V13" s="70"/>
      <c r="W13" s="70"/>
      <c r="X13" s="70"/>
      <c r="Y13" s="70"/>
      <c r="Z13" s="70"/>
      <c r="AA13" s="70"/>
      <c r="AB13" s="90">
        <f t="shared" si="1"/>
        <v>0</v>
      </c>
      <c r="AC13" s="90">
        <f>R13+IFERROR(VLOOKUP($E:$E,'（居民）工资表-3月'!$E:$AC,25,0),0)</f>
        <v>0</v>
      </c>
      <c r="AD13" s="95">
        <f t="shared" si="2"/>
        <v>5640.32</v>
      </c>
      <c r="AE13" s="96">
        <f>ROUND(MAX((AD13)*{0.03;0.1;0.2;0.25;0.3;0.35;0.45}-{0;2520;16920;31920;52920;85920;181920},0),2)</f>
        <v>169.21</v>
      </c>
      <c r="AF13" s="97">
        <f>IFERROR(VLOOKUP(E:E,'（居民）工资表-3月'!E:AF,28,0)+VLOOKUP(E:E,'（居民）工资表-3月'!E:AG,29,0),0)</f>
        <v>132.37</v>
      </c>
      <c r="AG13" s="97">
        <f t="shared" si="3"/>
        <v>36.84</v>
      </c>
      <c r="AH13" s="107">
        <f t="shared" si="4"/>
        <v>6191.16</v>
      </c>
      <c r="AI13" s="108"/>
      <c r="AJ13" s="107">
        <f t="shared" si="5"/>
        <v>6191.16</v>
      </c>
      <c r="AK13" s="109"/>
      <c r="AL13" s="107">
        <f t="shared" si="6"/>
        <v>6228</v>
      </c>
      <c r="AM13" s="109"/>
      <c r="AN13" s="109"/>
      <c r="AO13" s="109"/>
      <c r="AP13" s="109"/>
      <c r="AQ13" s="109"/>
      <c r="AR13" s="116"/>
      <c r="AS13" s="116"/>
      <c r="AT13" s="116"/>
    </row>
    <row r="14" s="12" customFormat="1" ht="17" customHeight="1" spans="1:46">
      <c r="A14" s="36">
        <v>11</v>
      </c>
      <c r="B14" s="37" t="s">
        <v>144</v>
      </c>
      <c r="C14" s="37" t="s">
        <v>178</v>
      </c>
      <c r="D14" s="37" t="s">
        <v>145</v>
      </c>
      <c r="E14" s="329" t="s">
        <v>179</v>
      </c>
      <c r="F14" s="38" t="s">
        <v>150</v>
      </c>
      <c r="G14" s="39" t="s">
        <v>180</v>
      </c>
      <c r="H14" s="40"/>
      <c r="I14" s="40"/>
      <c r="J14" s="69"/>
      <c r="K14" s="40"/>
      <c r="L14" s="70">
        <f>VLOOKUP(C14,[1]Sheet1!$B$2:$D$16,3,0)</f>
        <v>7000</v>
      </c>
      <c r="M14" s="71">
        <v>321.52</v>
      </c>
      <c r="N14" s="71">
        <v>120.38</v>
      </c>
      <c r="O14" s="71">
        <v>20.1</v>
      </c>
      <c r="P14" s="71">
        <v>97</v>
      </c>
      <c r="Q14" s="89">
        <f t="shared" si="0"/>
        <v>559</v>
      </c>
      <c r="R14" s="70">
        <v>0</v>
      </c>
      <c r="S14" s="90">
        <f>L14+IFERROR(VLOOKUP($E:$E,'（居民）工资表-3月'!$E:$S,15,0),0)</f>
        <v>7000</v>
      </c>
      <c r="T14" s="91">
        <f>5000+IFERROR(VLOOKUP($E:$E,'（居民）工资表-3月'!$E:$T,16,0),0)</f>
        <v>5000</v>
      </c>
      <c r="U14" s="91">
        <f>Q14+IFERROR(VLOOKUP($E:$E,'（居民）工资表-3月'!$E:$U,17,0),0)</f>
        <v>559</v>
      </c>
      <c r="V14" s="70"/>
      <c r="W14" s="70"/>
      <c r="X14" s="70"/>
      <c r="Y14" s="70"/>
      <c r="Z14" s="70"/>
      <c r="AA14" s="70"/>
      <c r="AB14" s="90">
        <f t="shared" si="1"/>
        <v>0</v>
      </c>
      <c r="AC14" s="90">
        <f>R14+IFERROR(VLOOKUP($E:$E,'（居民）工资表-3月'!$E:$AC,25,0),0)</f>
        <v>0</v>
      </c>
      <c r="AD14" s="95">
        <f t="shared" si="2"/>
        <v>1441</v>
      </c>
      <c r="AE14" s="96">
        <f>ROUND(MAX((AD14)*{0.03;0.1;0.2;0.25;0.3;0.35;0.45}-{0;2520;16920;31920;52920;85920;181920},0),2)</f>
        <v>43.23</v>
      </c>
      <c r="AF14" s="97">
        <f>IFERROR(VLOOKUP(E:E,'（居民）工资表-3月'!E:AF,28,0)+VLOOKUP(E:E,'（居民）工资表-3月'!E:AG,29,0),0)</f>
        <v>0</v>
      </c>
      <c r="AG14" s="97">
        <f t="shared" si="3"/>
        <v>43.23</v>
      </c>
      <c r="AH14" s="107">
        <f t="shared" si="4"/>
        <v>6397.77</v>
      </c>
      <c r="AI14" s="108"/>
      <c r="AJ14" s="107">
        <f t="shared" si="5"/>
        <v>6397.77</v>
      </c>
      <c r="AK14" s="109"/>
      <c r="AL14" s="107">
        <f t="shared" si="6"/>
        <v>6441</v>
      </c>
      <c r="AM14" s="109"/>
      <c r="AN14" s="109"/>
      <c r="AO14" s="109"/>
      <c r="AP14" s="109"/>
      <c r="AQ14" s="109"/>
      <c r="AR14" s="116"/>
      <c r="AS14" s="116"/>
      <c r="AT14" s="116"/>
    </row>
    <row r="15" s="12" customFormat="1" ht="17" customHeight="1" spans="1:46">
      <c r="A15" s="36">
        <v>12</v>
      </c>
      <c r="B15" s="37" t="s">
        <v>144</v>
      </c>
      <c r="C15" s="37" t="s">
        <v>181</v>
      </c>
      <c r="D15" s="37" t="s">
        <v>145</v>
      </c>
      <c r="E15" s="329" t="s">
        <v>182</v>
      </c>
      <c r="F15" s="38" t="s">
        <v>150</v>
      </c>
      <c r="G15" s="39">
        <v>15855788591</v>
      </c>
      <c r="H15" s="40"/>
      <c r="I15" s="40"/>
      <c r="J15" s="69"/>
      <c r="K15" s="40"/>
      <c r="L15" s="70">
        <f>VLOOKUP(C15,[1]Sheet1!$B$2:$D$16,3,0)</f>
        <v>6300</v>
      </c>
      <c r="M15" s="71">
        <v>321.52</v>
      </c>
      <c r="N15" s="71">
        <v>89.09</v>
      </c>
      <c r="O15" s="71">
        <v>20.1</v>
      </c>
      <c r="P15" s="71">
        <v>97</v>
      </c>
      <c r="Q15" s="89">
        <f t="shared" si="0"/>
        <v>527.71</v>
      </c>
      <c r="R15" s="70">
        <v>0</v>
      </c>
      <c r="S15" s="90">
        <f>L15+IFERROR(VLOOKUP($E:$E,'（居民）工资表-3月'!$E:$S,15,0),0)</f>
        <v>6300</v>
      </c>
      <c r="T15" s="91">
        <f>5000+IFERROR(VLOOKUP($E:$E,'（居民）工资表-3月'!$E:$T,16,0),0)</f>
        <v>5000</v>
      </c>
      <c r="U15" s="91">
        <f>Q15+IFERROR(VLOOKUP($E:$E,'（居民）工资表-3月'!$E:$U,17,0),0)</f>
        <v>527.71</v>
      </c>
      <c r="V15" s="70"/>
      <c r="W15" s="70"/>
      <c r="X15" s="70"/>
      <c r="Y15" s="70"/>
      <c r="Z15" s="70"/>
      <c r="AA15" s="70"/>
      <c r="AB15" s="90">
        <f t="shared" si="1"/>
        <v>0</v>
      </c>
      <c r="AC15" s="90">
        <f>R15+IFERROR(VLOOKUP($E:$E,'（居民）工资表-3月'!$E:$AC,25,0),0)</f>
        <v>0</v>
      </c>
      <c r="AD15" s="95">
        <f t="shared" si="2"/>
        <v>772.29</v>
      </c>
      <c r="AE15" s="96">
        <f>ROUND(MAX((AD15)*{0.03;0.1;0.2;0.25;0.3;0.35;0.45}-{0;2520;16920;31920;52920;85920;181920},0),2)</f>
        <v>23.17</v>
      </c>
      <c r="AF15" s="97">
        <f>IFERROR(VLOOKUP(E:E,'（居民）工资表-3月'!E:AF,28,0)+VLOOKUP(E:E,'（居民）工资表-3月'!E:AG,29,0),0)</f>
        <v>0</v>
      </c>
      <c r="AG15" s="97">
        <f t="shared" si="3"/>
        <v>23.17</v>
      </c>
      <c r="AH15" s="107">
        <f t="shared" si="4"/>
        <v>5749.12</v>
      </c>
      <c r="AI15" s="108"/>
      <c r="AJ15" s="107">
        <f t="shared" si="5"/>
        <v>5749.12</v>
      </c>
      <c r="AK15" s="109"/>
      <c r="AL15" s="107">
        <f t="shared" si="6"/>
        <v>5772.29</v>
      </c>
      <c r="AM15" s="109"/>
      <c r="AN15" s="109"/>
      <c r="AO15" s="109"/>
      <c r="AP15" s="109"/>
      <c r="AQ15" s="109"/>
      <c r="AR15" s="116"/>
      <c r="AS15" s="116"/>
      <c r="AT15" s="116"/>
    </row>
    <row r="16" s="12" customFormat="1" ht="17" customHeight="1" spans="1:46">
      <c r="A16" s="36">
        <v>13</v>
      </c>
      <c r="B16" s="37" t="s">
        <v>144</v>
      </c>
      <c r="C16" s="37" t="s">
        <v>183</v>
      </c>
      <c r="D16" s="37" t="s">
        <v>145</v>
      </c>
      <c r="E16" s="329" t="s">
        <v>184</v>
      </c>
      <c r="F16" s="38" t="s">
        <v>150</v>
      </c>
      <c r="G16" s="39"/>
      <c r="H16" s="40"/>
      <c r="I16" s="40"/>
      <c r="J16" s="69"/>
      <c r="K16" s="40"/>
      <c r="L16" s="70">
        <f>VLOOKUP(C16,[1]Sheet1!$B$2:$D$16,3,0)</f>
        <v>6000</v>
      </c>
      <c r="M16" s="71">
        <v>321.52</v>
      </c>
      <c r="N16" s="71">
        <v>80.38</v>
      </c>
      <c r="O16" s="71">
        <v>20.1</v>
      </c>
      <c r="P16" s="71">
        <v>103</v>
      </c>
      <c r="Q16" s="89">
        <f t="shared" si="0"/>
        <v>525</v>
      </c>
      <c r="R16" s="70">
        <v>0</v>
      </c>
      <c r="S16" s="90">
        <f>L16+IFERROR(VLOOKUP($E:$E,'（居民）工资表-3月'!$E:$S,15,0),0)</f>
        <v>18000</v>
      </c>
      <c r="T16" s="91">
        <f>5000+IFERROR(VLOOKUP($E:$E,'（居民）工资表-3月'!$E:$T,16,0),0)</f>
        <v>15000</v>
      </c>
      <c r="U16" s="91">
        <f>Q16+IFERROR(VLOOKUP($E:$E,'（居民）工资表-3月'!$E:$U,17,0),0)</f>
        <v>1618.68</v>
      </c>
      <c r="V16" s="70"/>
      <c r="W16" s="70"/>
      <c r="X16" s="70"/>
      <c r="Y16" s="70"/>
      <c r="Z16" s="70"/>
      <c r="AA16" s="70"/>
      <c r="AB16" s="90">
        <f t="shared" si="1"/>
        <v>0</v>
      </c>
      <c r="AC16" s="90">
        <f>R16+IFERROR(VLOOKUP($E:$E,'（居民）工资表-3月'!$E:$AC,25,0),0)</f>
        <v>0</v>
      </c>
      <c r="AD16" s="95">
        <f t="shared" si="2"/>
        <v>1381.32</v>
      </c>
      <c r="AE16" s="96">
        <f>ROUND(MAX((AD16)*{0.03;0.1;0.2;0.25;0.3;0.35;0.45}-{0;2520;16920;31920;52920;85920;181920},0),2)</f>
        <v>41.44</v>
      </c>
      <c r="AF16" s="97">
        <f>IFERROR(VLOOKUP(E:E,'（居民）工资表-3月'!E:AF,28,0)+VLOOKUP(E:E,'（居民）工资表-3月'!E:AG,29,0),0)</f>
        <v>27.19</v>
      </c>
      <c r="AG16" s="97">
        <f t="shared" si="3"/>
        <v>14.25</v>
      </c>
      <c r="AH16" s="107">
        <f t="shared" si="4"/>
        <v>5460.75</v>
      </c>
      <c r="AI16" s="108"/>
      <c r="AJ16" s="107">
        <f t="shared" si="5"/>
        <v>5460.75</v>
      </c>
      <c r="AK16" s="109"/>
      <c r="AL16" s="107">
        <f t="shared" si="6"/>
        <v>5475</v>
      </c>
      <c r="AM16" s="109"/>
      <c r="AN16" s="109"/>
      <c r="AO16" s="109"/>
      <c r="AP16" s="109"/>
      <c r="AQ16" s="109"/>
      <c r="AR16" s="116"/>
      <c r="AS16" s="116"/>
      <c r="AT16" s="116"/>
    </row>
    <row r="17" s="12" customFormat="1" ht="17" customHeight="1" spans="1:46">
      <c r="A17" s="36">
        <v>14</v>
      </c>
      <c r="B17" s="37" t="s">
        <v>144</v>
      </c>
      <c r="C17" s="37" t="s">
        <v>185</v>
      </c>
      <c r="D17" s="37" t="s">
        <v>145</v>
      </c>
      <c r="E17" s="329" t="s">
        <v>186</v>
      </c>
      <c r="F17" s="38" t="s">
        <v>146</v>
      </c>
      <c r="G17" s="39">
        <v>15056587375</v>
      </c>
      <c r="H17" s="40"/>
      <c r="I17" s="40"/>
      <c r="J17" s="69"/>
      <c r="K17" s="40"/>
      <c r="L17" s="70">
        <f>VLOOKUP(C17,[1]Sheet1!$B$2:$D$16,3,0)</f>
        <v>10000</v>
      </c>
      <c r="M17" s="71">
        <v>321.52</v>
      </c>
      <c r="N17" s="71">
        <v>89.09</v>
      </c>
      <c r="O17" s="71">
        <v>20.1</v>
      </c>
      <c r="P17" s="71">
        <v>97</v>
      </c>
      <c r="Q17" s="89">
        <f t="shared" si="0"/>
        <v>527.71</v>
      </c>
      <c r="R17" s="70">
        <v>0</v>
      </c>
      <c r="S17" s="90">
        <f>L17+IFERROR(VLOOKUP($E:$E,'（居民）工资表-3月'!$E:$S,15,0),0)</f>
        <v>30000</v>
      </c>
      <c r="T17" s="91">
        <f>5000+IFERROR(VLOOKUP($E:$E,'（居民）工资表-3月'!$E:$T,16,0),0)</f>
        <v>15000</v>
      </c>
      <c r="U17" s="91">
        <f>Q17+IFERROR(VLOOKUP($E:$E,'（居民）工资表-3月'!$E:$U,17,0),0)</f>
        <v>1627.71</v>
      </c>
      <c r="V17" s="70"/>
      <c r="W17" s="70"/>
      <c r="X17" s="70"/>
      <c r="Y17" s="70"/>
      <c r="Z17" s="70"/>
      <c r="AA17" s="70"/>
      <c r="AB17" s="90">
        <f t="shared" si="1"/>
        <v>0</v>
      </c>
      <c r="AC17" s="90">
        <f>R17+IFERROR(VLOOKUP($E:$E,'（居民）工资表-3月'!$E:$AC,25,0),0)</f>
        <v>0</v>
      </c>
      <c r="AD17" s="95">
        <f t="shared" si="2"/>
        <v>13372.29</v>
      </c>
      <c r="AE17" s="96">
        <f>ROUND(MAX((AD17)*{0.03;0.1;0.2;0.25;0.3;0.35;0.45}-{0;2520;16920;31920;52920;85920;181920},0),2)</f>
        <v>401.17</v>
      </c>
      <c r="AF17" s="97">
        <f>IFERROR(VLOOKUP(E:E,'（居民）工资表-3月'!E:AF,28,0)+VLOOKUP(E:E,'（居民）工资表-3月'!E:AG,29,0),0)</f>
        <v>267</v>
      </c>
      <c r="AG17" s="97">
        <f t="shared" si="3"/>
        <v>134.17</v>
      </c>
      <c r="AH17" s="107">
        <f t="shared" si="4"/>
        <v>9338.12</v>
      </c>
      <c r="AI17" s="108"/>
      <c r="AJ17" s="107">
        <f t="shared" si="5"/>
        <v>9338.12</v>
      </c>
      <c r="AK17" s="109"/>
      <c r="AL17" s="107">
        <f t="shared" si="6"/>
        <v>9472.29</v>
      </c>
      <c r="AM17" s="109"/>
      <c r="AN17" s="109"/>
      <c r="AO17" s="109"/>
      <c r="AP17" s="109"/>
      <c r="AQ17" s="109"/>
      <c r="AR17" s="116"/>
      <c r="AS17" s="116"/>
      <c r="AT17" s="116"/>
    </row>
    <row r="18" s="12" customFormat="1" ht="17" customHeight="1" spans="1:46">
      <c r="A18" s="36">
        <v>15</v>
      </c>
      <c r="B18" s="37" t="s">
        <v>144</v>
      </c>
      <c r="C18" s="37" t="s">
        <v>187</v>
      </c>
      <c r="D18" s="37" t="s">
        <v>145</v>
      </c>
      <c r="E18" s="37" t="s">
        <v>188</v>
      </c>
      <c r="F18" s="38" t="s">
        <v>146</v>
      </c>
      <c r="G18" s="39">
        <v>13711361074</v>
      </c>
      <c r="H18" s="40"/>
      <c r="I18" s="40"/>
      <c r="J18" s="69"/>
      <c r="K18" s="40"/>
      <c r="L18" s="70">
        <f>VLOOKUP(C18,[1]Sheet1!$B$2:$D$16,3,0)</f>
        <v>2026.67</v>
      </c>
      <c r="M18" s="71">
        <v>675.84</v>
      </c>
      <c r="N18" s="71">
        <v>182.96</v>
      </c>
      <c r="O18" s="71">
        <v>25.34</v>
      </c>
      <c r="P18" s="71">
        <v>221</v>
      </c>
      <c r="Q18" s="89">
        <f t="shared" si="0"/>
        <v>1105.14</v>
      </c>
      <c r="R18" s="70">
        <v>0</v>
      </c>
      <c r="S18" s="90">
        <f>L18+IFERROR(VLOOKUP($E:$E,'（居民）工资表-3月'!$E:$S,15,0),0)</f>
        <v>17226.67</v>
      </c>
      <c r="T18" s="91">
        <f>5000+IFERROR(VLOOKUP($E:$E,'（居民）工资表-3月'!$E:$T,16,0),0)</f>
        <v>15000</v>
      </c>
      <c r="U18" s="91">
        <f>Q18+IFERROR(VLOOKUP($E:$E,'（居民）工资表-3月'!$E:$U,17,0),0)</f>
        <v>1685.52</v>
      </c>
      <c r="V18" s="70"/>
      <c r="W18" s="70"/>
      <c r="X18" s="70"/>
      <c r="Y18" s="70"/>
      <c r="Z18" s="70"/>
      <c r="AA18" s="70"/>
      <c r="AB18" s="90">
        <f t="shared" si="1"/>
        <v>0</v>
      </c>
      <c r="AC18" s="90">
        <f>R18+IFERROR(VLOOKUP($E:$E,'（居民）工资表-3月'!$E:$AC,25,0),0)</f>
        <v>0</v>
      </c>
      <c r="AD18" s="95">
        <f t="shared" si="2"/>
        <v>541.15</v>
      </c>
      <c r="AE18" s="96">
        <f>ROUND(MAX((AD18)*{0.03;0.1;0.2;0.25;0.3;0.35;0.45}-{0;2520;16920;31920;52920;85920;181920},0),2)</f>
        <v>16.23</v>
      </c>
      <c r="AF18" s="97">
        <f>IFERROR(VLOOKUP(E:E,'（居民）工资表-3月'!E:AF,28,0)+VLOOKUP(E:E,'（居民）工资表-3月'!E:AG,29,0),0)</f>
        <v>138.59</v>
      </c>
      <c r="AG18" s="97">
        <f t="shared" si="3"/>
        <v>0</v>
      </c>
      <c r="AH18" s="107">
        <f t="shared" si="4"/>
        <v>921.53</v>
      </c>
      <c r="AI18" s="108"/>
      <c r="AJ18" s="107">
        <f t="shared" si="5"/>
        <v>921.53</v>
      </c>
      <c r="AK18" s="109"/>
      <c r="AL18" s="107">
        <f t="shared" si="6"/>
        <v>921.53</v>
      </c>
      <c r="AM18" s="109"/>
      <c r="AN18" s="109"/>
      <c r="AO18" s="109"/>
      <c r="AP18" s="109"/>
      <c r="AQ18" s="109"/>
      <c r="AR18" s="116"/>
      <c r="AS18" s="116"/>
      <c r="AT18" s="116"/>
    </row>
    <row r="19" s="12" customFormat="1" ht="18" customHeight="1" spans="1:46">
      <c r="A19" s="36"/>
      <c r="B19" s="37"/>
      <c r="C19" s="37"/>
      <c r="D19" s="37"/>
      <c r="E19" s="37"/>
      <c r="F19" s="38"/>
      <c r="G19" s="39"/>
      <c r="H19" s="40"/>
      <c r="I19" s="40"/>
      <c r="J19" s="69"/>
      <c r="K19" s="40"/>
      <c r="L19" s="70"/>
      <c r="M19" s="71"/>
      <c r="N19" s="71"/>
      <c r="O19" s="71"/>
      <c r="P19" s="71"/>
      <c r="Q19" s="89"/>
      <c r="R19" s="70"/>
      <c r="S19" s="90"/>
      <c r="T19" s="91"/>
      <c r="U19" s="91"/>
      <c r="V19" s="70"/>
      <c r="W19" s="70"/>
      <c r="X19" s="70"/>
      <c r="Y19" s="70"/>
      <c r="Z19" s="70"/>
      <c r="AA19" s="70"/>
      <c r="AB19" s="90"/>
      <c r="AC19" s="90"/>
      <c r="AD19" s="95"/>
      <c r="AE19" s="96"/>
      <c r="AF19" s="97"/>
      <c r="AG19" s="97"/>
      <c r="AH19" s="107"/>
      <c r="AI19" s="108"/>
      <c r="AJ19" s="107"/>
      <c r="AK19" s="109"/>
      <c r="AL19" s="107"/>
      <c r="AM19" s="109"/>
      <c r="AN19" s="109"/>
      <c r="AO19" s="109"/>
      <c r="AP19" s="109"/>
      <c r="AQ19" s="109"/>
      <c r="AR19" s="116"/>
      <c r="AS19" s="116"/>
      <c r="AT19" s="116"/>
    </row>
    <row r="20" s="13" customFormat="1" ht="18" customHeight="1" spans="1:46">
      <c r="A20" s="41"/>
      <c r="B20" s="42" t="s">
        <v>189</v>
      </c>
      <c r="C20" s="42"/>
      <c r="D20" s="43"/>
      <c r="E20" s="44"/>
      <c r="F20" s="45"/>
      <c r="G20" s="46"/>
      <c r="H20" s="45"/>
      <c r="I20" s="72"/>
      <c r="J20" s="73"/>
      <c r="K20" s="72"/>
      <c r="L20" s="74">
        <f>SUM(L4:L19)</f>
        <v>127112.51</v>
      </c>
      <c r="M20" s="74">
        <f t="shared" ref="M20:AL20" si="10">SUM(M4:M19)</f>
        <v>5600.82</v>
      </c>
      <c r="N20" s="74">
        <f t="shared" si="10"/>
        <v>1583.91</v>
      </c>
      <c r="O20" s="74">
        <f t="shared" si="10"/>
        <v>295.29</v>
      </c>
      <c r="P20" s="74">
        <f t="shared" si="10"/>
        <v>2523.4</v>
      </c>
      <c r="Q20" s="74">
        <f t="shared" si="10"/>
        <v>10003.42</v>
      </c>
      <c r="R20" s="74">
        <f t="shared" si="10"/>
        <v>0</v>
      </c>
      <c r="S20" s="74">
        <f t="shared" si="10"/>
        <v>372598.31</v>
      </c>
      <c r="T20" s="74">
        <f t="shared" si="10"/>
        <v>205000</v>
      </c>
      <c r="U20" s="74">
        <f t="shared" si="10"/>
        <v>26946.89</v>
      </c>
      <c r="V20" s="74">
        <f t="shared" si="10"/>
        <v>0</v>
      </c>
      <c r="W20" s="74">
        <f t="shared" si="10"/>
        <v>0</v>
      </c>
      <c r="X20" s="74">
        <f t="shared" si="10"/>
        <v>0</v>
      </c>
      <c r="Y20" s="74">
        <f t="shared" si="10"/>
        <v>0</v>
      </c>
      <c r="Z20" s="74">
        <f t="shared" si="10"/>
        <v>0</v>
      </c>
      <c r="AA20" s="74">
        <f t="shared" si="10"/>
        <v>0</v>
      </c>
      <c r="AB20" s="74">
        <f t="shared" si="10"/>
        <v>0</v>
      </c>
      <c r="AC20" s="74">
        <f t="shared" si="10"/>
        <v>0</v>
      </c>
      <c r="AD20" s="74">
        <f t="shared" si="10"/>
        <v>140651.42</v>
      </c>
      <c r="AE20" s="74">
        <f t="shared" si="10"/>
        <v>6868.49</v>
      </c>
      <c r="AF20" s="74">
        <f t="shared" si="10"/>
        <v>3812.93</v>
      </c>
      <c r="AG20" s="74">
        <f t="shared" si="10"/>
        <v>3177.92</v>
      </c>
      <c r="AH20" s="74">
        <f t="shared" si="10"/>
        <v>113931.17</v>
      </c>
      <c r="AI20" s="74">
        <f t="shared" si="10"/>
        <v>0</v>
      </c>
      <c r="AJ20" s="74">
        <f t="shared" si="10"/>
        <v>113931.17</v>
      </c>
      <c r="AK20" s="74">
        <f t="shared" si="10"/>
        <v>0</v>
      </c>
      <c r="AL20" s="74">
        <f t="shared" si="10"/>
        <v>117109.09</v>
      </c>
      <c r="AM20" s="110"/>
      <c r="AN20" s="110"/>
      <c r="AO20" s="110"/>
      <c r="AP20" s="110"/>
      <c r="AQ20" s="110"/>
      <c r="AR20" s="45"/>
      <c r="AS20" s="45"/>
      <c r="AT20" s="118"/>
    </row>
    <row r="23" spans="30:30">
      <c r="AD23" s="101"/>
    </row>
    <row r="24" ht="18.75" customHeight="1" spans="2:33">
      <c r="B24" s="47" t="s">
        <v>133</v>
      </c>
      <c r="C24" s="47" t="s">
        <v>190</v>
      </c>
      <c r="D24" s="47" t="s">
        <v>22</v>
      </c>
      <c r="E24" s="47" t="s">
        <v>23</v>
      </c>
      <c r="AD24" s="10"/>
      <c r="AG24" s="111"/>
    </row>
    <row r="25" ht="18.75" customHeight="1" spans="2:5">
      <c r="B25" s="48">
        <f>AJ20</f>
        <v>113931.17</v>
      </c>
      <c r="C25" s="48">
        <f>AG20</f>
        <v>3177.92</v>
      </c>
      <c r="D25" s="48">
        <f>AK20</f>
        <v>0</v>
      </c>
      <c r="E25" s="48">
        <f>B25+C25+D25</f>
        <v>117109.09</v>
      </c>
    </row>
    <row r="26" spans="2:5">
      <c r="B26" s="49"/>
      <c r="C26" s="49"/>
      <c r="D26" s="49"/>
      <c r="E26" s="50"/>
    </row>
    <row r="27" s="14" customFormat="1" spans="1:35">
      <c r="A27" s="51" t="s">
        <v>191</v>
      </c>
      <c r="B27" s="52" t="s">
        <v>192</v>
      </c>
      <c r="C27" s="50"/>
      <c r="D27" s="50"/>
      <c r="E27" s="50"/>
      <c r="G27" s="53"/>
      <c r="J27" s="75"/>
      <c r="M27" s="76"/>
      <c r="AI27" s="112"/>
    </row>
    <row r="28" s="14" customFormat="1" spans="1:35">
      <c r="A28" s="54"/>
      <c r="B28" s="55" t="s">
        <v>193</v>
      </c>
      <c r="C28" s="50"/>
      <c r="D28" s="50"/>
      <c r="E28" s="50"/>
      <c r="G28" s="53"/>
      <c r="J28" s="75"/>
      <c r="M28" s="76"/>
      <c r="AI28" s="112"/>
    </row>
    <row r="29" s="14" customFormat="1" spans="1:35">
      <c r="A29" s="52"/>
      <c r="B29" s="55" t="s">
        <v>194</v>
      </c>
      <c r="C29" s="56"/>
      <c r="D29" s="56"/>
      <c r="E29" s="56"/>
      <c r="F29" s="56"/>
      <c r="G29" s="56"/>
      <c r="H29" s="56"/>
      <c r="I29" s="56"/>
      <c r="J29" s="77"/>
      <c r="K29" s="56"/>
      <c r="L29" s="56"/>
      <c r="M29" s="78"/>
      <c r="N29" s="56"/>
      <c r="O29" s="56"/>
      <c r="P29" s="56"/>
      <c r="AI29" s="112"/>
    </row>
    <row r="30" s="14" customFormat="1" customHeight="1" spans="1:35">
      <c r="A30" s="55"/>
      <c r="B30" s="55" t="s">
        <v>195</v>
      </c>
      <c r="C30" s="57"/>
      <c r="D30" s="57"/>
      <c r="E30" s="57"/>
      <c r="F30" s="57"/>
      <c r="G30" s="57"/>
      <c r="H30" s="57"/>
      <c r="I30" s="79"/>
      <c r="J30" s="80"/>
      <c r="K30" s="79"/>
      <c r="L30" s="79"/>
      <c r="M30" s="81"/>
      <c r="N30" s="79"/>
      <c r="O30" s="79"/>
      <c r="P30" s="79"/>
      <c r="AI30" s="112"/>
    </row>
    <row r="31" s="14" customFormat="1" customHeight="1" spans="1:35">
      <c r="A31" s="55"/>
      <c r="B31" s="55" t="s">
        <v>196</v>
      </c>
      <c r="C31" s="57"/>
      <c r="D31" s="57"/>
      <c r="E31" s="57"/>
      <c r="F31" s="57"/>
      <c r="G31" s="57"/>
      <c r="H31" s="57"/>
      <c r="I31" s="57"/>
      <c r="J31" s="82"/>
      <c r="K31" s="57"/>
      <c r="L31" s="79"/>
      <c r="M31" s="81"/>
      <c r="N31" s="79"/>
      <c r="O31" s="79"/>
      <c r="P31" s="79"/>
      <c r="AI31" s="112"/>
    </row>
    <row r="32" s="14" customFormat="1" customHeight="1" spans="1:35">
      <c r="A32" s="55"/>
      <c r="B32" s="55" t="s">
        <v>197</v>
      </c>
      <c r="C32" s="57"/>
      <c r="D32" s="57"/>
      <c r="E32" s="57"/>
      <c r="F32" s="57"/>
      <c r="G32" s="57"/>
      <c r="H32" s="57"/>
      <c r="I32" s="79"/>
      <c r="J32" s="80"/>
      <c r="K32" s="79"/>
      <c r="L32" s="79"/>
      <c r="M32" s="81"/>
      <c r="N32" s="79"/>
      <c r="O32" s="79"/>
      <c r="P32" s="79"/>
      <c r="AI32" s="112"/>
    </row>
    <row r="34" ht="11.25" customHeight="1" spans="2:2">
      <c r="B34" s="58" t="s">
        <v>198</v>
      </c>
    </row>
    <row r="35" spans="2:2">
      <c r="B35" s="59" t="s">
        <v>199</v>
      </c>
    </row>
    <row r="36" spans="2:2">
      <c r="B36" s="59" t="s">
        <v>200</v>
      </c>
    </row>
  </sheetData>
  <autoFilter xmlns:etc="http://www.wps.cn/officeDocument/2017/etCustomData" ref="A3:AT20" etc:filterBottomFollowUsedRange="0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2">
    <cfRule type="duplicateValues" dxfId="4" priority="2" stopIfTrue="1"/>
  </conditionalFormatting>
  <conditionalFormatting sqref="B27:B31">
    <cfRule type="duplicateValues" dxfId="4" priority="3" stopIfTrue="1"/>
  </conditionalFormatting>
  <conditionalFormatting sqref="B35:B36">
    <cfRule type="duplicateValues" dxfId="4" priority="1" stopIfTrue="1"/>
  </conditionalFormatting>
  <conditionalFormatting sqref="C24:C26">
    <cfRule type="duplicateValues" dxfId="4" priority="4" stopIfTrue="1"/>
    <cfRule type="expression" dxfId="5" priority="5" stopIfTrue="1">
      <formula>AND(COUNTIF($B$20:$B$65456,C24)+COUNTIF($B$1:$B$3,C24)&gt;1,NOT(ISBLANK(C24)))</formula>
    </cfRule>
    <cfRule type="expression" dxfId="5" priority="6" stopIfTrue="1">
      <formula>AND(COUNTIF($B$31:$B$65407,C24)+COUNTIF($B$1:$B$30,C24)&gt;1,NOT(ISBLANK(C24)))</formula>
    </cfRule>
    <cfRule type="expression" dxfId="5" priority="7" stopIfTrue="1">
      <formula>AND(COUNTIF($B$20:$B$65445,C24)+COUNTIF($B$1:$B$3,C24)&gt;1,NOT(ISBLANK(C24)))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/>
  <dimension ref="B1:E44"/>
  <sheetViews>
    <sheetView workbookViewId="0">
      <selection activeCell="D4" sqref="D4"/>
    </sheetView>
  </sheetViews>
  <sheetFormatPr defaultColWidth="9" defaultRowHeight="13.5" outlineLevelCol="4"/>
  <cols>
    <col min="3" max="3" width="32" customWidth="1"/>
    <col min="4" max="4" width="13.725" customWidth="1"/>
    <col min="5" max="5" width="16.0916666666667" customWidth="1"/>
  </cols>
  <sheetData>
    <row r="1" ht="57" customHeight="1" spans="2:5">
      <c r="B1" s="1" t="s">
        <v>211</v>
      </c>
      <c r="C1" s="1"/>
      <c r="D1" s="1"/>
      <c r="E1" s="1"/>
    </row>
    <row r="2" ht="21" spans="2:2">
      <c r="B2" s="2"/>
    </row>
    <row r="3" ht="27.75" customHeight="1" spans="2:5">
      <c r="B3" s="3" t="s">
        <v>212</v>
      </c>
      <c r="C3" s="4" t="s">
        <v>213</v>
      </c>
      <c r="D3" s="4" t="s">
        <v>214</v>
      </c>
      <c r="E3" s="4" t="s">
        <v>215</v>
      </c>
    </row>
    <row r="4" ht="29.25" customHeight="1" spans="2:5">
      <c r="B4" s="5">
        <v>1</v>
      </c>
      <c r="C4" s="6" t="s">
        <v>216</v>
      </c>
      <c r="D4" s="7">
        <v>0.03</v>
      </c>
      <c r="E4" s="8">
        <v>0</v>
      </c>
    </row>
    <row r="5" ht="29.25" customHeight="1" spans="2:5">
      <c r="B5" s="5">
        <v>2</v>
      </c>
      <c r="C5" s="6" t="s">
        <v>217</v>
      </c>
      <c r="D5" s="7">
        <v>0.1</v>
      </c>
      <c r="E5" s="8">
        <v>2520</v>
      </c>
    </row>
    <row r="6" ht="29.25" customHeight="1" spans="2:5">
      <c r="B6" s="5">
        <v>3</v>
      </c>
      <c r="C6" s="6" t="s">
        <v>218</v>
      </c>
      <c r="D6" s="7">
        <v>0.2</v>
      </c>
      <c r="E6" s="8">
        <v>16920</v>
      </c>
    </row>
    <row r="7" ht="29.25" customHeight="1" spans="2:5">
      <c r="B7" s="5">
        <v>4</v>
      </c>
      <c r="C7" s="6" t="s">
        <v>219</v>
      </c>
      <c r="D7" s="7">
        <v>0.25</v>
      </c>
      <c r="E7" s="8">
        <v>31920</v>
      </c>
    </row>
    <row r="8" ht="29.25" customHeight="1" spans="2:5">
      <c r="B8" s="5">
        <v>5</v>
      </c>
      <c r="C8" s="6" t="s">
        <v>220</v>
      </c>
      <c r="D8" s="7">
        <v>0.3</v>
      </c>
      <c r="E8" s="8">
        <v>52920</v>
      </c>
    </row>
    <row r="9" ht="29.25" customHeight="1" spans="2:5">
      <c r="B9" s="5">
        <v>6</v>
      </c>
      <c r="C9" s="6" t="s">
        <v>221</v>
      </c>
      <c r="D9" s="7">
        <v>0.35</v>
      </c>
      <c r="E9" s="8">
        <v>85920</v>
      </c>
    </row>
    <row r="10" ht="29.25" customHeight="1" spans="2:5">
      <c r="B10" s="5">
        <v>7</v>
      </c>
      <c r="C10" s="6" t="s">
        <v>222</v>
      </c>
      <c r="D10" s="7">
        <v>0.45</v>
      </c>
      <c r="E10" s="8">
        <v>181920</v>
      </c>
    </row>
    <row r="13" ht="57" customHeight="1" spans="2:5">
      <c r="B13" s="1" t="s">
        <v>223</v>
      </c>
      <c r="C13" s="1"/>
      <c r="D13" s="1"/>
      <c r="E13" s="1"/>
    </row>
    <row r="14" ht="21" spans="2:2">
      <c r="B14" s="2"/>
    </row>
    <row r="15" ht="27.75" customHeight="1" spans="2:5">
      <c r="B15" s="3" t="s">
        <v>212</v>
      </c>
      <c r="C15" s="4" t="s">
        <v>224</v>
      </c>
      <c r="D15" s="4" t="s">
        <v>214</v>
      </c>
      <c r="E15" s="4" t="s">
        <v>215</v>
      </c>
    </row>
    <row r="16" ht="29.25" customHeight="1" spans="2:5">
      <c r="B16" s="5">
        <v>1</v>
      </c>
      <c r="C16" s="6" t="s">
        <v>225</v>
      </c>
      <c r="D16" s="7">
        <v>0.2</v>
      </c>
      <c r="E16" s="8">
        <v>0</v>
      </c>
    </row>
    <row r="17" ht="29.25" customHeight="1" spans="2:5">
      <c r="B17" s="5">
        <v>2</v>
      </c>
      <c r="C17" s="6" t="s">
        <v>226</v>
      </c>
      <c r="D17" s="7">
        <v>0.3</v>
      </c>
      <c r="E17" s="8">
        <v>2000</v>
      </c>
    </row>
    <row r="18" ht="29.25" customHeight="1" spans="2:5">
      <c r="B18" s="5">
        <v>3</v>
      </c>
      <c r="C18" s="6" t="s">
        <v>227</v>
      </c>
      <c r="D18" s="7">
        <v>0.4</v>
      </c>
      <c r="E18" s="8">
        <v>7000</v>
      </c>
    </row>
    <row r="21" ht="47.25" customHeight="1" spans="2:5">
      <c r="B21" s="1" t="s">
        <v>228</v>
      </c>
      <c r="C21" s="1"/>
      <c r="D21" s="1"/>
      <c r="E21" s="1"/>
    </row>
    <row r="22" ht="21" spans="2:2">
      <c r="B22" s="2"/>
    </row>
    <row r="23" ht="27.75" customHeight="1" spans="2:5">
      <c r="B23" s="3" t="s">
        <v>212</v>
      </c>
      <c r="C23" s="4" t="s">
        <v>229</v>
      </c>
      <c r="D23" s="4" t="s">
        <v>214</v>
      </c>
      <c r="E23" s="4" t="s">
        <v>215</v>
      </c>
    </row>
    <row r="24" ht="29.25" customHeight="1" spans="2:5">
      <c r="B24" s="5">
        <v>1</v>
      </c>
      <c r="C24" s="6" t="s">
        <v>230</v>
      </c>
      <c r="D24" s="7">
        <v>0.03</v>
      </c>
      <c r="E24" s="8">
        <v>0</v>
      </c>
    </row>
    <row r="25" ht="29.25" customHeight="1" spans="2:5">
      <c r="B25" s="5">
        <v>2</v>
      </c>
      <c r="C25" s="6" t="s">
        <v>231</v>
      </c>
      <c r="D25" s="7">
        <v>0.1</v>
      </c>
      <c r="E25" s="8">
        <v>210</v>
      </c>
    </row>
    <row r="26" ht="29.25" customHeight="1" spans="2:5">
      <c r="B26" s="5">
        <v>3</v>
      </c>
      <c r="C26" s="6" t="s">
        <v>232</v>
      </c>
      <c r="D26" s="7">
        <v>0.2</v>
      </c>
      <c r="E26" s="8">
        <v>1410</v>
      </c>
    </row>
    <row r="27" ht="29.25" customHeight="1" spans="2:5">
      <c r="B27" s="5">
        <v>4</v>
      </c>
      <c r="C27" s="6" t="s">
        <v>233</v>
      </c>
      <c r="D27" s="7">
        <v>0.25</v>
      </c>
      <c r="E27" s="8">
        <v>2660</v>
      </c>
    </row>
    <row r="28" ht="29.25" customHeight="1" spans="2:5">
      <c r="B28" s="5">
        <v>5</v>
      </c>
      <c r="C28" s="6" t="s">
        <v>234</v>
      </c>
      <c r="D28" s="7">
        <v>0.3</v>
      </c>
      <c r="E28" s="8">
        <v>4410</v>
      </c>
    </row>
    <row r="29" ht="29.25" customHeight="1" spans="2:5">
      <c r="B29" s="5">
        <v>6</v>
      </c>
      <c r="C29" s="6" t="s">
        <v>235</v>
      </c>
      <c r="D29" s="7">
        <v>0.35</v>
      </c>
      <c r="E29" s="8">
        <v>7160</v>
      </c>
    </row>
    <row r="30" ht="29.25" customHeight="1" spans="2:5">
      <c r="B30" s="5">
        <v>7</v>
      </c>
      <c r="C30" s="6" t="s">
        <v>236</v>
      </c>
      <c r="D30" s="7">
        <v>0.45</v>
      </c>
      <c r="E30" s="8">
        <v>15160</v>
      </c>
    </row>
    <row r="35" ht="57" customHeight="1" spans="2:5">
      <c r="B35" s="9" t="s">
        <v>237</v>
      </c>
      <c r="C35" s="9"/>
      <c r="D35" s="9"/>
      <c r="E35" s="9"/>
    </row>
    <row r="36" ht="14.25"/>
    <row r="37" ht="21.75" customHeight="1" spans="2:5">
      <c r="B37" s="3" t="s">
        <v>212</v>
      </c>
      <c r="C37" s="4" t="s">
        <v>238</v>
      </c>
      <c r="D37" s="4" t="s">
        <v>239</v>
      </c>
      <c r="E37" s="4" t="s">
        <v>215</v>
      </c>
    </row>
    <row r="38" ht="21.75" customHeight="1" spans="2:5">
      <c r="B38" s="5">
        <v>1</v>
      </c>
      <c r="C38" s="6" t="s">
        <v>230</v>
      </c>
      <c r="D38" s="7">
        <v>0.03</v>
      </c>
      <c r="E38" s="8">
        <v>0</v>
      </c>
    </row>
    <row r="39" ht="21.75" customHeight="1" spans="2:5">
      <c r="B39" s="5">
        <v>2</v>
      </c>
      <c r="C39" s="6" t="s">
        <v>231</v>
      </c>
      <c r="D39" s="7">
        <v>0.1</v>
      </c>
      <c r="E39" s="8">
        <v>210</v>
      </c>
    </row>
    <row r="40" ht="21.75" customHeight="1" spans="2:5">
      <c r="B40" s="5">
        <v>3</v>
      </c>
      <c r="C40" s="6" t="s">
        <v>232</v>
      </c>
      <c r="D40" s="7">
        <v>0.2</v>
      </c>
      <c r="E40" s="8">
        <v>1410</v>
      </c>
    </row>
    <row r="41" ht="21.75" customHeight="1" spans="2:5">
      <c r="B41" s="5">
        <v>4</v>
      </c>
      <c r="C41" s="6" t="s">
        <v>233</v>
      </c>
      <c r="D41" s="7">
        <v>0.25</v>
      </c>
      <c r="E41" s="8">
        <v>2660</v>
      </c>
    </row>
    <row r="42" ht="21.75" customHeight="1" spans="2:5">
      <c r="B42" s="5">
        <v>5</v>
      </c>
      <c r="C42" s="6" t="s">
        <v>234</v>
      </c>
      <c r="D42" s="7">
        <v>0.3</v>
      </c>
      <c r="E42" s="8">
        <v>4410</v>
      </c>
    </row>
    <row r="43" ht="21.75" customHeight="1" spans="2:5">
      <c r="B43" s="5">
        <v>6</v>
      </c>
      <c r="C43" s="6" t="s">
        <v>235</v>
      </c>
      <c r="D43" s="7">
        <v>0.35</v>
      </c>
      <c r="E43" s="8">
        <v>7160</v>
      </c>
    </row>
    <row r="44" ht="21.75" customHeight="1" spans="2:5">
      <c r="B44" s="5">
        <v>7</v>
      </c>
      <c r="C44" s="6" t="s">
        <v>236</v>
      </c>
      <c r="D44" s="7">
        <v>0.45</v>
      </c>
      <c r="E44" s="8">
        <v>15160</v>
      </c>
    </row>
  </sheetData>
  <mergeCells count="4">
    <mergeCell ref="B1:E1"/>
    <mergeCell ref="B13:E13"/>
    <mergeCell ref="B21:E21"/>
    <mergeCell ref="B35:E35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N26"/>
  <sheetViews>
    <sheetView tabSelected="1" workbookViewId="0">
      <selection activeCell="N5" sqref="N5"/>
    </sheetView>
  </sheetViews>
  <sheetFormatPr defaultColWidth="9" defaultRowHeight="13.5"/>
  <cols>
    <col min="1" max="2" width="9" style="130"/>
    <col min="3" max="3" width="10.725" style="130" customWidth="1"/>
    <col min="4" max="4" width="16.725" style="130" customWidth="1"/>
    <col min="5" max="5" width="11.725" style="130" customWidth="1"/>
    <col min="6" max="6" width="9" style="130"/>
    <col min="7" max="7" width="10.725" style="130" customWidth="1"/>
    <col min="8" max="10" width="9" style="130"/>
    <col min="11" max="11" width="13.75" style="130" customWidth="1"/>
    <col min="12" max="12" width="9" style="130"/>
    <col min="13" max="13" width="9.45" style="130" customWidth="1"/>
    <col min="14" max="14" width="16.45" style="130" customWidth="1"/>
    <col min="15" max="16384" width="9" style="130"/>
  </cols>
  <sheetData>
    <row r="1" ht="25.5" spans="1:14">
      <c r="A1" s="131" t="s">
        <v>67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</row>
    <row r="2" ht="14.25" spans="1:14">
      <c r="A2" s="132"/>
      <c r="B2" s="133"/>
      <c r="C2" s="133"/>
      <c r="D2" s="134"/>
      <c r="E2" s="134"/>
      <c r="F2" s="134"/>
      <c r="G2" s="132"/>
      <c r="H2" s="132"/>
      <c r="I2" s="132"/>
      <c r="J2" s="134"/>
      <c r="K2" s="134"/>
      <c r="L2" s="134"/>
      <c r="M2" s="134"/>
      <c r="N2" s="134"/>
    </row>
    <row r="3" spans="1:14">
      <c r="A3" s="135"/>
      <c r="B3" s="136"/>
      <c r="C3" s="137"/>
      <c r="D3" s="138"/>
      <c r="E3" s="139"/>
      <c r="F3" s="139"/>
      <c r="G3" s="140"/>
      <c r="H3" s="141"/>
      <c r="I3" s="136"/>
      <c r="J3" s="137"/>
      <c r="K3" s="138"/>
      <c r="L3" s="209"/>
      <c r="M3" s="134"/>
      <c r="N3" s="134"/>
    </row>
    <row r="4" spans="1:14">
      <c r="A4" s="135"/>
      <c r="B4" s="142" t="s">
        <v>68</v>
      </c>
      <c r="C4" s="142"/>
      <c r="D4" s="142"/>
      <c r="E4" s="142"/>
      <c r="F4" s="143"/>
      <c r="G4" s="142"/>
      <c r="H4" s="141"/>
      <c r="K4" s="134"/>
      <c r="L4" s="210"/>
      <c r="M4" s="211"/>
      <c r="N4" s="134"/>
    </row>
    <row r="5" spans="1:14">
      <c r="A5" s="144"/>
      <c r="B5" s="145" t="s">
        <v>69</v>
      </c>
      <c r="C5" s="138"/>
      <c r="D5" s="138"/>
      <c r="E5" s="138"/>
      <c r="F5" s="138"/>
      <c r="G5" s="138"/>
      <c r="H5" s="146"/>
      <c r="I5" s="141"/>
      <c r="J5" s="136"/>
      <c r="K5" s="137"/>
      <c r="L5" s="209"/>
      <c r="M5" s="134"/>
      <c r="N5" s="134"/>
    </row>
    <row r="6" ht="9.75" customHeight="1" spans="1:14">
      <c r="A6" s="147"/>
      <c r="B6" s="147"/>
      <c r="C6" s="147"/>
      <c r="D6" s="147"/>
      <c r="E6" s="147"/>
      <c r="F6" s="147"/>
      <c r="G6" s="147"/>
      <c r="H6" s="147"/>
      <c r="I6" s="212"/>
      <c r="J6" s="212"/>
      <c r="K6" s="213"/>
      <c r="L6" s="213"/>
      <c r="M6" s="213"/>
      <c r="N6" s="213"/>
    </row>
    <row r="7" ht="17.25" spans="1:14">
      <c r="A7" s="147"/>
      <c r="B7" s="148" t="s">
        <v>70</v>
      </c>
      <c r="C7" s="149"/>
      <c r="D7" s="149"/>
      <c r="E7" s="149"/>
      <c r="F7" s="149"/>
      <c r="G7" s="149"/>
      <c r="H7" s="149"/>
      <c r="I7" s="214" t="s">
        <v>71</v>
      </c>
      <c r="J7" s="214" t="s">
        <v>72</v>
      </c>
      <c r="K7" s="215" t="s">
        <v>47</v>
      </c>
      <c r="L7" s="215" t="s">
        <v>72</v>
      </c>
      <c r="M7" s="215" t="s">
        <v>72</v>
      </c>
      <c r="N7" s="216"/>
    </row>
    <row r="8" ht="17.25" spans="1:14">
      <c r="A8" s="147"/>
      <c r="B8" s="150" t="s">
        <v>73</v>
      </c>
      <c r="C8" s="151"/>
      <c r="D8" s="151"/>
      <c r="E8" s="152">
        <f>D10</f>
        <v>114581.19</v>
      </c>
      <c r="F8" s="153"/>
      <c r="G8" s="153"/>
      <c r="H8" s="154"/>
      <c r="I8" s="217" t="s">
        <v>72</v>
      </c>
      <c r="J8" s="218" t="s">
        <v>74</v>
      </c>
      <c r="K8" s="219" t="s">
        <v>75</v>
      </c>
      <c r="L8" s="219" t="s">
        <v>72</v>
      </c>
      <c r="M8" s="219" t="s">
        <v>72</v>
      </c>
      <c r="N8" s="220"/>
    </row>
    <row r="9" ht="15.75" spans="1:14">
      <c r="A9" s="147"/>
      <c r="B9" s="155" t="s">
        <v>76</v>
      </c>
      <c r="C9" s="156"/>
      <c r="D9" s="156"/>
      <c r="E9" s="157">
        <f>G24</f>
        <v>114581.19</v>
      </c>
      <c r="F9" s="158"/>
      <c r="G9" s="158"/>
      <c r="H9" s="159"/>
      <c r="I9" s="221" t="s">
        <v>72</v>
      </c>
      <c r="J9" s="222" t="s">
        <v>77</v>
      </c>
      <c r="K9" s="223" t="s">
        <v>78</v>
      </c>
      <c r="L9" s="223" t="s">
        <v>72</v>
      </c>
      <c r="M9" s="223" t="s">
        <v>72</v>
      </c>
      <c r="N9" s="224"/>
    </row>
    <row r="10" ht="30.75" spans="1:14">
      <c r="A10" s="147"/>
      <c r="B10" s="160" t="s">
        <v>79</v>
      </c>
      <c r="C10" s="161"/>
      <c r="D10" s="162">
        <f>G24</f>
        <v>114581.19</v>
      </c>
      <c r="E10" s="163" t="s">
        <v>80</v>
      </c>
      <c r="F10" s="164"/>
      <c r="G10" s="165"/>
      <c r="H10" s="166">
        <v>0</v>
      </c>
      <c r="I10" s="225" t="s">
        <v>72</v>
      </c>
      <c r="J10" s="226" t="s">
        <v>81</v>
      </c>
      <c r="K10" s="328" t="s">
        <v>82</v>
      </c>
      <c r="L10" s="227" t="s">
        <v>72</v>
      </c>
      <c r="M10" s="227" t="s">
        <v>72</v>
      </c>
      <c r="N10" s="228"/>
    </row>
    <row r="11" ht="16.5" spans="1:14">
      <c r="A11" s="147"/>
      <c r="B11" s="167" t="s">
        <v>83</v>
      </c>
      <c r="C11" s="168"/>
      <c r="D11" s="169"/>
      <c r="E11" s="170" t="s">
        <v>84</v>
      </c>
      <c r="F11" s="171"/>
      <c r="G11" s="172"/>
      <c r="H11" s="173"/>
      <c r="I11" s="229" t="s">
        <v>72</v>
      </c>
      <c r="J11" s="230" t="s">
        <v>85</v>
      </c>
      <c r="K11" s="231" t="s">
        <v>86</v>
      </c>
      <c r="L11" s="229"/>
      <c r="M11" s="229" t="s">
        <v>72</v>
      </c>
      <c r="N11" s="232"/>
    </row>
    <row r="12" spans="1:14">
      <c r="A12" s="144"/>
      <c r="B12" s="167" t="s">
        <v>87</v>
      </c>
      <c r="C12" s="168"/>
      <c r="D12" s="169">
        <v>0</v>
      </c>
      <c r="E12" s="170" t="s">
        <v>88</v>
      </c>
      <c r="F12" s="171"/>
      <c r="G12" s="172"/>
      <c r="H12" s="173"/>
      <c r="I12" s="233"/>
      <c r="J12" s="234"/>
      <c r="K12" s="235"/>
      <c r="L12" s="235"/>
      <c r="M12" s="235"/>
      <c r="N12" s="235"/>
    </row>
    <row r="13" ht="14.25" spans="1:14">
      <c r="A13" s="134"/>
      <c r="B13" s="174" t="s">
        <v>89</v>
      </c>
      <c r="C13" s="175"/>
      <c r="D13" s="176">
        <v>0</v>
      </c>
      <c r="E13" s="177"/>
      <c r="F13" s="178"/>
      <c r="G13" s="179"/>
      <c r="H13" s="180"/>
      <c r="I13" s="147"/>
      <c r="J13" s="236"/>
      <c r="K13" s="237"/>
      <c r="L13" s="237"/>
      <c r="M13" s="237"/>
      <c r="N13" s="237"/>
    </row>
    <row r="14" ht="5.25" customHeight="1" spans="1:14">
      <c r="A14" s="181"/>
      <c r="B14" s="147"/>
      <c r="C14" s="147"/>
      <c r="D14" s="147"/>
      <c r="E14" s="147"/>
      <c r="F14" s="147"/>
      <c r="G14" s="147"/>
      <c r="H14" s="147"/>
      <c r="I14" s="147"/>
      <c r="J14" s="147"/>
      <c r="K14" s="147"/>
      <c r="L14" s="147"/>
      <c r="M14" s="147"/>
      <c r="N14" s="147"/>
    </row>
    <row r="15" spans="1:14">
      <c r="A15" s="134" t="s">
        <v>90</v>
      </c>
      <c r="B15" s="134"/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</row>
    <row r="16" ht="3" customHeight="1" spans="1:14">
      <c r="A16" s="134"/>
      <c r="B16" s="134"/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</row>
    <row r="17" ht="18.75" spans="2:13">
      <c r="B17" s="182" t="s">
        <v>0</v>
      </c>
      <c r="C17" s="183" t="s">
        <v>91</v>
      </c>
      <c r="D17" s="183" t="s">
        <v>92</v>
      </c>
      <c r="E17" s="183"/>
      <c r="F17" s="184" t="s">
        <v>93</v>
      </c>
      <c r="G17" s="185" t="s">
        <v>31</v>
      </c>
      <c r="H17" s="186" t="s">
        <v>24</v>
      </c>
      <c r="J17" s="238" t="s">
        <v>94</v>
      </c>
      <c r="K17" s="238"/>
      <c r="L17" s="238"/>
      <c r="M17" s="238"/>
    </row>
    <row r="18" ht="16.5" spans="2:13">
      <c r="B18" s="187">
        <v>1</v>
      </c>
      <c r="C18" s="188" t="s">
        <v>95</v>
      </c>
      <c r="D18" s="189" t="s">
        <v>96</v>
      </c>
      <c r="E18" s="189"/>
      <c r="F18" s="190"/>
      <c r="G18" s="191">
        <f>'（居民）工资表-3月'!E23</f>
        <v>114581.19</v>
      </c>
      <c r="H18" s="192"/>
      <c r="J18" s="238"/>
      <c r="K18" s="238"/>
      <c r="L18" s="238"/>
      <c r="M18" s="238"/>
    </row>
    <row r="19" ht="16.5" spans="2:13">
      <c r="B19" s="187">
        <v>2</v>
      </c>
      <c r="C19" s="188"/>
      <c r="D19" s="193" t="s">
        <v>97</v>
      </c>
      <c r="E19" s="194" t="s">
        <v>98</v>
      </c>
      <c r="F19" s="190"/>
      <c r="G19" s="191"/>
      <c r="H19" s="195"/>
      <c r="J19" s="238"/>
      <c r="K19" s="238"/>
      <c r="L19" s="238"/>
      <c r="M19" s="238"/>
    </row>
    <row r="20" ht="16.5" spans="2:13">
      <c r="B20" s="187">
        <v>3</v>
      </c>
      <c r="C20" s="188"/>
      <c r="D20" s="193" t="s">
        <v>99</v>
      </c>
      <c r="E20" s="194" t="s">
        <v>98</v>
      </c>
      <c r="F20" s="190"/>
      <c r="G20" s="191"/>
      <c r="H20" s="195"/>
      <c r="J20" s="238"/>
      <c r="K20" s="238"/>
      <c r="L20" s="238"/>
      <c r="M20" s="238"/>
    </row>
    <row r="21" ht="16.5" spans="2:13">
      <c r="B21" s="187">
        <v>4</v>
      </c>
      <c r="C21" s="188"/>
      <c r="D21" s="196" t="s">
        <v>38</v>
      </c>
      <c r="E21" s="196"/>
      <c r="F21" s="190"/>
      <c r="G21" s="197">
        <f>G18+G19+G20</f>
        <v>114581.19</v>
      </c>
      <c r="H21" s="198"/>
      <c r="J21" s="238"/>
      <c r="K21" s="238"/>
      <c r="L21" s="238"/>
      <c r="M21" s="238"/>
    </row>
    <row r="22" ht="16.5" spans="2:13">
      <c r="B22" s="187">
        <v>5</v>
      </c>
      <c r="C22" s="188" t="s">
        <v>100</v>
      </c>
      <c r="D22" s="196" t="s">
        <v>101</v>
      </c>
      <c r="E22" s="196"/>
      <c r="F22" s="190"/>
      <c r="G22" s="197"/>
      <c r="H22" s="192"/>
      <c r="J22" s="238"/>
      <c r="K22" s="238"/>
      <c r="L22" s="238"/>
      <c r="M22" s="238"/>
    </row>
    <row r="23" ht="18" customHeight="1" spans="2:13">
      <c r="B23" s="187">
        <v>6</v>
      </c>
      <c r="C23" s="199" t="s">
        <v>102</v>
      </c>
      <c r="D23" s="200">
        <v>0.056</v>
      </c>
      <c r="E23" s="200"/>
      <c r="F23" s="200"/>
      <c r="G23" s="197"/>
      <c r="H23" s="192"/>
      <c r="J23" s="238"/>
      <c r="K23" s="238"/>
      <c r="L23" s="238"/>
      <c r="M23" s="238"/>
    </row>
    <row r="24" ht="16.5" spans="2:8">
      <c r="B24" s="201" t="s">
        <v>103</v>
      </c>
      <c r="C24" s="202"/>
      <c r="D24" s="202"/>
      <c r="E24" s="202"/>
      <c r="F24" s="202"/>
      <c r="G24" s="203">
        <f>G21+G22</f>
        <v>114581.19</v>
      </c>
      <c r="H24" s="204"/>
    </row>
    <row r="25" ht="16" customHeight="1" spans="2:8">
      <c r="B25" s="205" t="s">
        <v>104</v>
      </c>
      <c r="C25" s="206"/>
      <c r="D25" s="206"/>
      <c r="E25" s="206"/>
      <c r="F25" s="206"/>
      <c r="G25" s="207">
        <f>G24</f>
        <v>114581.19</v>
      </c>
      <c r="H25" s="208"/>
    </row>
    <row r="26" ht="14.25"/>
  </sheetData>
  <mergeCells count="32">
    <mergeCell ref="A1:N1"/>
    <mergeCell ref="B4:F4"/>
    <mergeCell ref="B7:H7"/>
    <mergeCell ref="I7:J7"/>
    <mergeCell ref="K7:M7"/>
    <mergeCell ref="B8:D8"/>
    <mergeCell ref="E8:H8"/>
    <mergeCell ref="K8:M8"/>
    <mergeCell ref="B9:D9"/>
    <mergeCell ref="E9:H9"/>
    <mergeCell ref="K9:M9"/>
    <mergeCell ref="B10:C10"/>
    <mergeCell ref="E10:G10"/>
    <mergeCell ref="K10:M10"/>
    <mergeCell ref="B11:C11"/>
    <mergeCell ref="E11:G11"/>
    <mergeCell ref="B12:C12"/>
    <mergeCell ref="E12:G12"/>
    <mergeCell ref="K12:N12"/>
    <mergeCell ref="B13:C13"/>
    <mergeCell ref="E13:G13"/>
    <mergeCell ref="K13:N13"/>
    <mergeCell ref="A15:N15"/>
    <mergeCell ref="D17:E17"/>
    <mergeCell ref="D18:E18"/>
    <mergeCell ref="D21:E21"/>
    <mergeCell ref="D22:E22"/>
    <mergeCell ref="D23:F23"/>
    <mergeCell ref="B24:F24"/>
    <mergeCell ref="B25:F25"/>
    <mergeCell ref="C18:C21"/>
    <mergeCell ref="J17:M23"/>
  </mergeCells>
  <conditionalFormatting sqref="G20:H21 C21:E21 F19:F22">
    <cfRule type="cellIs" dxfId="2" priority="1" stopIfTrue="1" operator="equal">
      <formula>"信用卡"</formula>
    </cfRule>
    <cfRule type="cellIs" dxfId="3" priority="2" stopIfTrue="1" operator="equal">
      <formula>"現金"</formula>
    </cfRule>
  </conditionalFormatting>
  <pageMargins left="0.75" right="0.75" top="1" bottom="1" header="0.5" footer="0.5"/>
  <headerFooter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tabColor rgb="FF00B050"/>
    <pageSetUpPr fitToPage="1"/>
  </sheetPr>
  <dimension ref="A1:AN36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18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16384" width="9" style="15"/>
  </cols>
  <sheetData>
    <row r="1" s="10" customFormat="1" ht="29.25" customHeight="1" spans="1:38">
      <c r="A1" s="20" t="s">
        <v>105</v>
      </c>
      <c r="B1" s="21"/>
      <c r="C1" s="22"/>
      <c r="D1" s="23"/>
      <c r="E1" s="24"/>
      <c r="F1" s="24"/>
      <c r="G1" s="25"/>
      <c r="J1" s="60"/>
      <c r="L1" s="61"/>
      <c r="M1" s="62" t="s">
        <v>106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</row>
    <row r="2" s="11" customFormat="1" ht="20.15" customHeight="1" spans="1:38">
      <c r="A2" s="26" t="s">
        <v>0</v>
      </c>
      <c r="B2" s="27" t="s">
        <v>107</v>
      </c>
      <c r="C2" s="28" t="s">
        <v>108</v>
      </c>
      <c r="D2" s="28" t="s">
        <v>109</v>
      </c>
      <c r="E2" s="29" t="s">
        <v>110</v>
      </c>
      <c r="F2" s="30" t="s">
        <v>111</v>
      </c>
      <c r="G2" s="29" t="s">
        <v>112</v>
      </c>
      <c r="H2" s="29" t="s">
        <v>113</v>
      </c>
      <c r="I2" s="29" t="s">
        <v>114</v>
      </c>
      <c r="J2" s="63" t="s">
        <v>115</v>
      </c>
      <c r="K2" s="29" t="s">
        <v>116</v>
      </c>
      <c r="L2" s="29" t="s">
        <v>117</v>
      </c>
      <c r="M2" s="64" t="s">
        <v>118</v>
      </c>
      <c r="N2" s="65"/>
      <c r="O2" s="65"/>
      <c r="P2" s="66"/>
      <c r="Q2" s="30" t="s">
        <v>119</v>
      </c>
      <c r="R2" s="29" t="s">
        <v>120</v>
      </c>
      <c r="S2" s="30" t="s">
        <v>121</v>
      </c>
      <c r="T2" s="84" t="s">
        <v>122</v>
      </c>
      <c r="U2" s="30" t="s">
        <v>123</v>
      </c>
      <c r="V2" s="85" t="s">
        <v>124</v>
      </c>
      <c r="W2" s="86"/>
      <c r="X2" s="86"/>
      <c r="Y2" s="86"/>
      <c r="Z2" s="86"/>
      <c r="AA2" s="94"/>
      <c r="AB2" s="30" t="s">
        <v>125</v>
      </c>
      <c r="AC2" s="30" t="s">
        <v>126</v>
      </c>
      <c r="AD2" s="84" t="s">
        <v>127</v>
      </c>
      <c r="AE2" s="84" t="s">
        <v>128</v>
      </c>
      <c r="AF2" s="84" t="s">
        <v>129</v>
      </c>
      <c r="AG2" s="84" t="s">
        <v>130</v>
      </c>
      <c r="AH2" s="103" t="s">
        <v>131</v>
      </c>
      <c r="AI2" s="104" t="s">
        <v>132</v>
      </c>
      <c r="AJ2" s="103" t="s">
        <v>133</v>
      </c>
      <c r="AK2" s="28" t="s">
        <v>22</v>
      </c>
      <c r="AL2" s="103" t="s">
        <v>134</v>
      </c>
    </row>
    <row r="3" s="11" customFormat="1" ht="27" customHeight="1" spans="1:38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135</v>
      </c>
      <c r="N3" s="68" t="s">
        <v>136</v>
      </c>
      <c r="O3" s="68" t="s">
        <v>137</v>
      </c>
      <c r="P3" s="68" t="s">
        <v>37</v>
      </c>
      <c r="Q3" s="35"/>
      <c r="R3" s="34"/>
      <c r="S3" s="35"/>
      <c r="T3" s="87"/>
      <c r="U3" s="35"/>
      <c r="V3" s="88" t="s">
        <v>138</v>
      </c>
      <c r="W3" s="88" t="s">
        <v>139</v>
      </c>
      <c r="X3" s="88" t="s">
        <v>140</v>
      </c>
      <c r="Y3" s="88" t="s">
        <v>141</v>
      </c>
      <c r="Z3" s="88" t="s">
        <v>142</v>
      </c>
      <c r="AA3" s="88" t="s">
        <v>143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</row>
    <row r="4" s="12" customFormat="1" ht="18" customHeight="1" spans="1:40">
      <c r="A4" s="36">
        <v>1</v>
      </c>
      <c r="B4" s="37" t="s">
        <v>144</v>
      </c>
      <c r="C4" s="37" t="s">
        <v>61</v>
      </c>
      <c r="D4" s="37" t="s">
        <v>145</v>
      </c>
      <c r="E4" s="37" t="s">
        <v>62</v>
      </c>
      <c r="F4" s="38" t="s">
        <v>146</v>
      </c>
      <c r="G4" s="39">
        <v>13944441728</v>
      </c>
      <c r="H4" s="40"/>
      <c r="I4" s="40"/>
      <c r="J4" s="69"/>
      <c r="K4" s="40"/>
      <c r="L4" s="70">
        <v>8000</v>
      </c>
      <c r="M4" s="71">
        <f>VLOOKUP(C4,[2]Sheet1!$B$2:$D$16,3,0)</f>
        <v>319.46</v>
      </c>
      <c r="N4" s="71">
        <f>VLOOKUP(C4,[2]Sheet1!$B$2:$F$16,5,0)</f>
        <v>79.86</v>
      </c>
      <c r="O4" s="71">
        <f>VLOOKUP(C4,[2]Sheet1!$B$1:$E$16,4,0)</f>
        <v>11.98</v>
      </c>
      <c r="P4" s="71">
        <f>VLOOKUP(C4,[2]Sheet1!$B$2:$H$16,7,0)</f>
        <v>177.4</v>
      </c>
      <c r="Q4" s="89">
        <f>ROUND(SUM(M4:P4),2)</f>
        <v>588.7</v>
      </c>
      <c r="R4" s="70">
        <v>0</v>
      </c>
      <c r="S4" s="90">
        <f>L4+IFERROR(VLOOKUP($E:$E,'（居民）工资表-6月'!$E:$S,15,0),0)</f>
        <v>48000</v>
      </c>
      <c r="T4" s="91">
        <f>5000+IFERROR(VLOOKUP($E:$E,'（居民）工资表-6月'!$E:$T,16,0),0)</f>
        <v>30000</v>
      </c>
      <c r="U4" s="91">
        <f>Q4+IFERROR(VLOOKUP($E:$E,'（居民）工资表-6月'!$E:$U,17,0),0)</f>
        <v>3596.86</v>
      </c>
      <c r="V4" s="70">
        <v>7000</v>
      </c>
      <c r="W4" s="70"/>
      <c r="X4" s="70">
        <v>7000</v>
      </c>
      <c r="Y4" s="70"/>
      <c r="Z4" s="70">
        <v>2800</v>
      </c>
      <c r="AA4" s="70"/>
      <c r="AB4" s="90">
        <f>ROUND(SUM(V4:AA4),2)</f>
        <v>16800</v>
      </c>
      <c r="AC4" s="90">
        <f>R4+IFERROR(VLOOKUP($E:$E,'（居民）工资表-6月'!$E:$AC,25,0),0)</f>
        <v>0</v>
      </c>
      <c r="AD4" s="95">
        <f>ROUND(S4-T4-U4-AB4-AC4,2)</f>
        <v>-2396.86</v>
      </c>
      <c r="AE4" s="96">
        <f>ROUND(MAX((AD4)*{0.03;0.1;0.2;0.25;0.3;0.35;0.45}-{0;2520;16920;31920;52920;85920;181920},0),2)</f>
        <v>0</v>
      </c>
      <c r="AF4" s="97">
        <f>IFERROR(VLOOKUP(E:E,'（居民）工资表-6月'!E:AF,28,0)+VLOOKUP(E:E,'（居民）工资表-6月'!E:AG,29,0),0)</f>
        <v>359.76</v>
      </c>
      <c r="AG4" s="97">
        <f>IF((AE4-AF4)&lt;0,0,AE4-AF4)</f>
        <v>0</v>
      </c>
      <c r="AH4" s="107">
        <f>ROUND(IF((L4-Q4-AG4)&lt;0,0,(L4-Q4-AG4)),2)</f>
        <v>7411.3</v>
      </c>
      <c r="AI4" s="108"/>
      <c r="AJ4" s="107">
        <f>AH4+AI4</f>
        <v>7411.3</v>
      </c>
      <c r="AK4" s="109"/>
      <c r="AL4" s="107">
        <f>AJ4+AG4+AK4</f>
        <v>7411.3</v>
      </c>
      <c r="AM4" s="12" t="s">
        <v>147</v>
      </c>
      <c r="AN4" s="12" t="s">
        <v>51</v>
      </c>
    </row>
    <row r="5" s="12" customFormat="1" ht="18" customHeight="1" spans="1:40">
      <c r="A5" s="36">
        <v>2</v>
      </c>
      <c r="B5" s="37" t="s">
        <v>144</v>
      </c>
      <c r="C5" s="37" t="s">
        <v>148</v>
      </c>
      <c r="D5" s="37" t="s">
        <v>145</v>
      </c>
      <c r="E5" s="329" t="s">
        <v>149</v>
      </c>
      <c r="F5" s="38" t="s">
        <v>150</v>
      </c>
      <c r="G5" s="39">
        <v>15360550807</v>
      </c>
      <c r="H5" s="40"/>
      <c r="I5" s="40"/>
      <c r="J5" s="69"/>
      <c r="K5" s="40"/>
      <c r="L5" s="70">
        <v>6100</v>
      </c>
      <c r="M5" s="71">
        <f>VLOOKUP(C5,[2]Sheet1!$B$2:$D$16,3,0)</f>
        <v>422.72</v>
      </c>
      <c r="N5" s="71">
        <f>VLOOKUP(C5,[2]Sheet1!$B$2:$F$16,5,0)</f>
        <v>119.92</v>
      </c>
      <c r="O5" s="71">
        <f>VLOOKUP(C5,[2]Sheet1!$B$1:$E$16,4,0)</f>
        <v>4.6</v>
      </c>
      <c r="P5" s="71">
        <f>VLOOKUP(C5,[2]Sheet1!$B$2:$H$16,7,0)</f>
        <v>115</v>
      </c>
      <c r="Q5" s="89">
        <f>ROUND(SUM(M5:P5),2)</f>
        <v>662.24</v>
      </c>
      <c r="R5" s="70">
        <v>0</v>
      </c>
      <c r="S5" s="90">
        <f>L5+IFERROR(VLOOKUP($E:$E,'（居民）工资表-6月'!$E:$S,15,0),0)</f>
        <v>35920</v>
      </c>
      <c r="T5" s="91">
        <f>5000+IFERROR(VLOOKUP($E:$E,'（居民）工资表-6月'!$E:$T,16,0),0)</f>
        <v>30000</v>
      </c>
      <c r="U5" s="91">
        <f>Q5+IFERROR(VLOOKUP($E:$E,'（居民）工资表-6月'!$E:$U,17,0),0)</f>
        <v>4143.36</v>
      </c>
      <c r="V5" s="70"/>
      <c r="W5" s="70"/>
      <c r="X5" s="70">
        <v>7000</v>
      </c>
      <c r="Y5" s="70"/>
      <c r="Z5" s="70"/>
      <c r="AA5" s="70"/>
      <c r="AB5" s="90">
        <f>ROUND(SUM(V5:AA5),2)</f>
        <v>7000</v>
      </c>
      <c r="AC5" s="90">
        <f>R5+IFERROR(VLOOKUP($E:$E,'（居民）工资表-6月'!$E:$AC,25,0),0)</f>
        <v>0</v>
      </c>
      <c r="AD5" s="95">
        <f>ROUND(S5-T5-U5-AB5-AC5,2)</f>
        <v>-5223.36</v>
      </c>
      <c r="AE5" s="96">
        <f>ROUND(MAX((AD5)*{0.03;0.1;0.2;0.25;0.3;0.35;0.45}-{0;2520;16920;31920;52920;85920;181920},0),2)</f>
        <v>0</v>
      </c>
      <c r="AF5" s="97">
        <f>IFERROR(VLOOKUP(E:E,'（居民）工资表-6月'!E:AF,28,0)+VLOOKUP(E:E,'（居民）工资表-6月'!E:AG,29,0),0)</f>
        <v>40.17</v>
      </c>
      <c r="AG5" s="97">
        <f>IF((AE5-AF5)&lt;0,0,AE5-AF5)</f>
        <v>0</v>
      </c>
      <c r="AH5" s="107">
        <f>ROUND(IF((L5-Q5-AG5)&lt;0,0,(L5-Q5-AG5)),2)</f>
        <v>5437.76</v>
      </c>
      <c r="AI5" s="108"/>
      <c r="AJ5" s="107">
        <f>AH5+AI5</f>
        <v>5437.76</v>
      </c>
      <c r="AK5" s="109"/>
      <c r="AL5" s="107">
        <f>AJ5+AG5+AK5</f>
        <v>5437.76</v>
      </c>
      <c r="AM5" s="12" t="s">
        <v>50</v>
      </c>
      <c r="AN5" s="12" t="s">
        <v>51</v>
      </c>
    </row>
    <row r="6" s="12" customFormat="1" ht="18" customHeight="1" spans="1:40">
      <c r="A6" s="36">
        <v>3</v>
      </c>
      <c r="B6" s="37" t="s">
        <v>144</v>
      </c>
      <c r="C6" s="37" t="s">
        <v>151</v>
      </c>
      <c r="D6" s="37" t="s">
        <v>145</v>
      </c>
      <c r="E6" s="329" t="s">
        <v>152</v>
      </c>
      <c r="F6" s="38" t="s">
        <v>146</v>
      </c>
      <c r="G6" s="39" t="s">
        <v>153</v>
      </c>
      <c r="H6" s="40"/>
      <c r="I6" s="40"/>
      <c r="J6" s="69"/>
      <c r="K6" s="40"/>
      <c r="L6" s="70">
        <v>30060</v>
      </c>
      <c r="M6" s="71">
        <f>VLOOKUP(C6,[2]Sheet1!$B$2:$D$16,3,0)</f>
        <v>584.8</v>
      </c>
      <c r="N6" s="71">
        <f>VLOOKUP(C6,[2]Sheet1!$B$2:$F$16,5,0)</f>
        <v>146.2</v>
      </c>
      <c r="O6" s="71">
        <f>VLOOKUP(C6,[2]Sheet1!$B$1:$E$16,4,0)</f>
        <v>36.55</v>
      </c>
      <c r="P6" s="71">
        <f>VLOOKUP(C6,[2]Sheet1!$B$2:$H$16,7,0)</f>
        <v>181</v>
      </c>
      <c r="Q6" s="89">
        <f>ROUND(SUM(M6:P6),2)</f>
        <v>948.55</v>
      </c>
      <c r="R6" s="70">
        <v>0</v>
      </c>
      <c r="S6" s="90">
        <f>L6+IFERROR(VLOOKUP($E:$E,'（居民）工资表-6月'!$E:$S,15,0),0)</f>
        <v>180360</v>
      </c>
      <c r="T6" s="91">
        <f>5000+IFERROR(VLOOKUP($E:$E,'（居民）工资表-6月'!$E:$T,16,0),0)</f>
        <v>30000</v>
      </c>
      <c r="U6" s="91">
        <f>Q6+IFERROR(VLOOKUP($E:$E,'（居民）工资表-6月'!$E:$U,17,0),0)</f>
        <v>5720.84</v>
      </c>
      <c r="V6" s="70"/>
      <c r="W6" s="70"/>
      <c r="X6" s="70"/>
      <c r="Y6" s="70">
        <v>10500</v>
      </c>
      <c r="Z6" s="70"/>
      <c r="AA6" s="70"/>
      <c r="AB6" s="90">
        <f>ROUND(SUM(V6:AA6),2)</f>
        <v>10500</v>
      </c>
      <c r="AC6" s="90">
        <f>R6+IFERROR(VLOOKUP($E:$E,'（居民）工资表-6月'!$E:$AC,25,0),0)</f>
        <v>0</v>
      </c>
      <c r="AD6" s="95">
        <f>ROUND(S6-T6-U6-AB6-AC6,2)</f>
        <v>134139.16</v>
      </c>
      <c r="AE6" s="96">
        <f>ROUND(MAX((AD6)*{0.03;0.1;0.2;0.25;0.3;0.35;0.45}-{0;2520;16920;31920;52920;85920;181920},0),2)</f>
        <v>10893.92</v>
      </c>
      <c r="AF6" s="97">
        <f>IFERROR(VLOOKUP(E:E,'（居民）工资表-6月'!E:AF,28,0)+VLOOKUP(E:E,'（居民）工资表-6月'!E:AG,29,0),0)</f>
        <v>9532.77</v>
      </c>
      <c r="AG6" s="97">
        <f>IF((AE6-AF6)&lt;0,0,AE6-AF6)</f>
        <v>1361.15</v>
      </c>
      <c r="AH6" s="107">
        <f>ROUND(IF((L6-Q6-AG6)&lt;0,0,(L6-Q6-AG6)),2)</f>
        <v>27750.3</v>
      </c>
      <c r="AI6" s="108"/>
      <c r="AJ6" s="107">
        <f>AH6+AI6</f>
        <v>27750.3</v>
      </c>
      <c r="AK6" s="109"/>
      <c r="AL6" s="107">
        <f>AJ6+AG6+AK6</f>
        <v>29111.45</v>
      </c>
      <c r="AM6" s="12" t="s">
        <v>154</v>
      </c>
      <c r="AN6" s="12" t="s">
        <v>155</v>
      </c>
    </row>
    <row r="7" s="12" customFormat="1" ht="18" customHeight="1" spans="1:40">
      <c r="A7" s="36">
        <v>4</v>
      </c>
      <c r="B7" s="37" t="s">
        <v>144</v>
      </c>
      <c r="C7" s="37" t="s">
        <v>156</v>
      </c>
      <c r="D7" s="37" t="s">
        <v>145</v>
      </c>
      <c r="E7" s="329" t="s">
        <v>157</v>
      </c>
      <c r="F7" s="38" t="s">
        <v>146</v>
      </c>
      <c r="G7" s="39" t="s">
        <v>158</v>
      </c>
      <c r="H7" s="40"/>
      <c r="I7" s="40"/>
      <c r="J7" s="69"/>
      <c r="K7" s="40"/>
      <c r="L7" s="70">
        <v>11000</v>
      </c>
      <c r="M7" s="71">
        <f>VLOOKUP(C7,[2]Sheet1!$B$2:$D$16,3,0)</f>
        <v>321.52</v>
      </c>
      <c r="N7" s="71">
        <f>VLOOKUP(C7,[2]Sheet1!$B$2:$F$16,5,0)</f>
        <v>89.09</v>
      </c>
      <c r="O7" s="71">
        <f>VLOOKUP(C7,[2]Sheet1!$B$1:$E$16,4,0)</f>
        <v>20.1</v>
      </c>
      <c r="P7" s="71">
        <f>VLOOKUP(C7,[2]Sheet1!$B$2:$H$16,7,0)</f>
        <v>97</v>
      </c>
      <c r="Q7" s="89">
        <f t="shared" ref="Q7:Q19" si="0">ROUND(SUM(M7:P7),2)</f>
        <v>527.71</v>
      </c>
      <c r="R7" s="70">
        <v>0</v>
      </c>
      <c r="S7" s="90">
        <f>L7+IFERROR(VLOOKUP($E:$E,'（居民）工资表-6月'!$E:$S,15,0),0)</f>
        <v>55000</v>
      </c>
      <c r="T7" s="91">
        <f>5000+IFERROR(VLOOKUP($E:$E,'（居民）工资表-6月'!$E:$T,16,0),0)</f>
        <v>30000</v>
      </c>
      <c r="U7" s="91">
        <f>Q7+IFERROR(VLOOKUP($E:$E,'（居民）工资表-6月'!$E:$U,17,0),0)</f>
        <v>3210.84</v>
      </c>
      <c r="V7" s="70"/>
      <c r="W7" s="70"/>
      <c r="X7" s="70">
        <v>5000</v>
      </c>
      <c r="Y7" s="70"/>
      <c r="Z7" s="70"/>
      <c r="AA7" s="70"/>
      <c r="AB7" s="90">
        <f t="shared" ref="AB7:AB19" si="1">ROUND(SUM(V7:AA7),2)</f>
        <v>5000</v>
      </c>
      <c r="AC7" s="90">
        <f>R7+IFERROR(VLOOKUP($E:$E,'（居民）工资表-6月'!$E:$AC,25,0),0)</f>
        <v>0</v>
      </c>
      <c r="AD7" s="95">
        <f t="shared" ref="AD7:AD19" si="2">ROUND(S7-T7-U7-AB7-AC7,2)</f>
        <v>16789.16</v>
      </c>
      <c r="AE7" s="96">
        <f>ROUND(MAX((AD7)*{0.03;0.1;0.2;0.25;0.3;0.35;0.45}-{0;2520;16920;31920;52920;85920;181920},0),2)</f>
        <v>503.67</v>
      </c>
      <c r="AF7" s="97">
        <f>IFERROR(VLOOKUP(E:E,'（居民）工资表-6月'!E:AF,28,0)+VLOOKUP(E:E,'（居民）工资表-6月'!E:AG,29,0),0)</f>
        <v>489.51</v>
      </c>
      <c r="AG7" s="97">
        <f t="shared" ref="AG7:AG19" si="3">IF((AE7-AF7)&lt;0,0,AE7-AF7)</f>
        <v>14.16</v>
      </c>
      <c r="AH7" s="107">
        <f t="shared" ref="AH7:AH19" si="4">ROUND(IF((L7-Q7-AG7)&lt;0,0,(L7-Q7-AG7)),2)</f>
        <v>10458.13</v>
      </c>
      <c r="AI7" s="108"/>
      <c r="AJ7" s="107">
        <f t="shared" ref="AJ7:AJ19" si="5">AH7+AI7</f>
        <v>10458.13</v>
      </c>
      <c r="AK7" s="109"/>
      <c r="AL7" s="107">
        <f t="shared" ref="AL7:AL19" si="6">AJ7+AG7+AK7</f>
        <v>10472.29</v>
      </c>
      <c r="AM7" s="12" t="s">
        <v>159</v>
      </c>
      <c r="AN7" s="12" t="s">
        <v>51</v>
      </c>
    </row>
    <row r="8" s="12" customFormat="1" ht="18" customHeight="1" spans="1:40">
      <c r="A8" s="36">
        <v>5</v>
      </c>
      <c r="B8" s="37" t="s">
        <v>144</v>
      </c>
      <c r="C8" s="37" t="s">
        <v>160</v>
      </c>
      <c r="D8" s="37" t="s">
        <v>145</v>
      </c>
      <c r="E8" s="329" t="s">
        <v>161</v>
      </c>
      <c r="F8" s="38" t="s">
        <v>146</v>
      </c>
      <c r="G8" s="39">
        <v>19356875630</v>
      </c>
      <c r="H8" s="40"/>
      <c r="I8" s="40"/>
      <c r="J8" s="69"/>
      <c r="K8" s="40"/>
      <c r="L8" s="70">
        <v>12500</v>
      </c>
      <c r="M8" s="71">
        <f>VLOOKUP(C8,[2]Sheet1!$B$2:$D$16,3,0)</f>
        <v>321.52</v>
      </c>
      <c r="N8" s="71">
        <f>VLOOKUP(C8,[2]Sheet1!$B$2:$F$16,5,0)</f>
        <v>86.38</v>
      </c>
      <c r="O8" s="71">
        <f>VLOOKUP(C8,[2]Sheet1!$B$1:$E$16,4,0)</f>
        <v>20.1</v>
      </c>
      <c r="P8" s="71">
        <f>VLOOKUP(C8,[2]Sheet1!$B$2:$H$16,7,0)</f>
        <v>344</v>
      </c>
      <c r="Q8" s="89">
        <f t="shared" si="0"/>
        <v>772</v>
      </c>
      <c r="R8" s="70">
        <v>0</v>
      </c>
      <c r="S8" s="90">
        <f>L8+IFERROR(VLOOKUP($E:$E,'（居民）工资表-6月'!$E:$S,15,0),0)</f>
        <v>65000</v>
      </c>
      <c r="T8" s="91">
        <f>5000+IFERROR(VLOOKUP($E:$E,'（居民）工资表-6月'!$E:$T,16,0),0)</f>
        <v>30000</v>
      </c>
      <c r="U8" s="91">
        <f>Q8+IFERROR(VLOOKUP($E:$E,'（居民）工资表-6月'!$E:$U,17,0),0)</f>
        <v>4675.68</v>
      </c>
      <c r="V8" s="70"/>
      <c r="W8" s="70"/>
      <c r="X8" s="70"/>
      <c r="Y8" s="70"/>
      <c r="Z8" s="70"/>
      <c r="AA8" s="70"/>
      <c r="AB8" s="90">
        <f t="shared" si="1"/>
        <v>0</v>
      </c>
      <c r="AC8" s="90">
        <f>R8+IFERROR(VLOOKUP($E:$E,'（居民）工资表-6月'!$E:$AC,25,0),0)</f>
        <v>0</v>
      </c>
      <c r="AD8" s="95">
        <f t="shared" si="2"/>
        <v>30324.32</v>
      </c>
      <c r="AE8" s="96">
        <f>ROUND(MAX((AD8)*{0.03;0.1;0.2;0.25;0.3;0.35;0.45}-{0;2520;16920;31920;52920;85920;181920},0),2)</f>
        <v>909.73</v>
      </c>
      <c r="AF8" s="97">
        <f>IFERROR(VLOOKUP(E:E,'（居民）工资表-6月'!E:AF,28,0)+VLOOKUP(E:E,'（居民）工资表-6月'!E:AG,29,0),0)</f>
        <v>707.89</v>
      </c>
      <c r="AG8" s="97">
        <f t="shared" si="3"/>
        <v>201.84</v>
      </c>
      <c r="AH8" s="107">
        <f t="shared" si="4"/>
        <v>11526.16</v>
      </c>
      <c r="AI8" s="108"/>
      <c r="AJ8" s="107">
        <f t="shared" si="5"/>
        <v>11526.16</v>
      </c>
      <c r="AK8" s="109"/>
      <c r="AL8" s="107">
        <f t="shared" si="6"/>
        <v>11728</v>
      </c>
      <c r="AM8" s="12" t="s">
        <v>159</v>
      </c>
      <c r="AN8" s="12" t="s">
        <v>51</v>
      </c>
    </row>
    <row r="9" s="12" customFormat="1" ht="18" customHeight="1" spans="1:40">
      <c r="A9" s="36">
        <v>6</v>
      </c>
      <c r="B9" s="37" t="s">
        <v>144</v>
      </c>
      <c r="C9" s="37" t="s">
        <v>162</v>
      </c>
      <c r="D9" s="37" t="s">
        <v>145</v>
      </c>
      <c r="E9" s="329" t="s">
        <v>163</v>
      </c>
      <c r="F9" s="38" t="s">
        <v>146</v>
      </c>
      <c r="G9" s="39">
        <v>13973652684</v>
      </c>
      <c r="H9" s="40"/>
      <c r="I9" s="40"/>
      <c r="J9" s="69"/>
      <c r="K9" s="40"/>
      <c r="L9" s="70">
        <v>6500</v>
      </c>
      <c r="M9" s="71">
        <f>VLOOKUP(C9,[2]Sheet1!$B$2:$D$16,3,0)</f>
        <v>324.24</v>
      </c>
      <c r="N9" s="71">
        <f>VLOOKUP(C9,[2]Sheet1!$B$2:$F$16,5,0)</f>
        <v>90.4</v>
      </c>
      <c r="O9" s="71">
        <f>VLOOKUP(C9,[2]Sheet1!$B$1:$E$16,4,0)</f>
        <v>12.16</v>
      </c>
      <c r="P9" s="71">
        <f>VLOOKUP(C9,[2]Sheet1!$B$2:$H$16,7,0)</f>
        <v>100</v>
      </c>
      <c r="Q9" s="89">
        <f t="shared" si="0"/>
        <v>526.8</v>
      </c>
      <c r="R9" s="70">
        <v>0</v>
      </c>
      <c r="S9" s="90">
        <f>L9+IFERROR(VLOOKUP($E:$E,'（居民）工资表-6月'!$E:$S,15,0),0)</f>
        <v>39000</v>
      </c>
      <c r="T9" s="91">
        <f>5000+IFERROR(VLOOKUP($E:$E,'（居民）工资表-6月'!$E:$T,16,0),0)</f>
        <v>30000</v>
      </c>
      <c r="U9" s="91">
        <f>Q9+IFERROR(VLOOKUP($E:$E,'（居民）工资表-6月'!$E:$U,17,0),0)</f>
        <v>3260.05</v>
      </c>
      <c r="V9" s="70"/>
      <c r="W9" s="70"/>
      <c r="X9" s="70"/>
      <c r="Y9" s="70"/>
      <c r="Z9" s="70"/>
      <c r="AA9" s="70"/>
      <c r="AB9" s="90">
        <f t="shared" si="1"/>
        <v>0</v>
      </c>
      <c r="AC9" s="90">
        <f>R9+IFERROR(VLOOKUP($E:$E,'（居民）工资表-6月'!$E:$AC,25,0),0)</f>
        <v>0</v>
      </c>
      <c r="AD9" s="95">
        <f t="shared" si="2"/>
        <v>5739.95</v>
      </c>
      <c r="AE9" s="96">
        <f>ROUND(MAX((AD9)*{0.03;0.1;0.2;0.25;0.3;0.35;0.45}-{0;2520;16920;31920;52920;85920;181920},0),2)</f>
        <v>172.2</v>
      </c>
      <c r="AF9" s="97">
        <f>IFERROR(VLOOKUP(E:E,'（居民）工资表-6月'!E:AF,28,0)+VLOOKUP(E:E,'（居民）工资表-6月'!E:AG,29,0),0)</f>
        <v>143</v>
      </c>
      <c r="AG9" s="97">
        <f t="shared" si="3"/>
        <v>29.2</v>
      </c>
      <c r="AH9" s="107">
        <f t="shared" si="4"/>
        <v>5944</v>
      </c>
      <c r="AI9" s="108"/>
      <c r="AJ9" s="107">
        <f t="shared" si="5"/>
        <v>5944</v>
      </c>
      <c r="AK9" s="109"/>
      <c r="AL9" s="107">
        <f t="shared" si="6"/>
        <v>5973.2</v>
      </c>
      <c r="AM9" s="12" t="s">
        <v>164</v>
      </c>
      <c r="AN9" s="12" t="s">
        <v>51</v>
      </c>
    </row>
    <row r="10" s="12" customFormat="1" ht="18" customHeight="1" spans="1:40">
      <c r="A10" s="36">
        <v>7</v>
      </c>
      <c r="B10" s="37" t="s">
        <v>144</v>
      </c>
      <c r="C10" s="37" t="s">
        <v>165</v>
      </c>
      <c r="D10" s="37" t="s">
        <v>145</v>
      </c>
      <c r="E10" s="329" t="s">
        <v>166</v>
      </c>
      <c r="F10" s="38" t="s">
        <v>150</v>
      </c>
      <c r="G10" s="39" t="s">
        <v>167</v>
      </c>
      <c r="H10" s="40"/>
      <c r="I10" s="40"/>
      <c r="J10" s="69"/>
      <c r="K10" s="40"/>
      <c r="L10" s="70">
        <v>4525.84</v>
      </c>
      <c r="M10" s="71">
        <f>VLOOKUP(C10,[2]Sheet1!$B$2:$D$16,3,0)</f>
        <v>380.08</v>
      </c>
      <c r="N10" s="71">
        <f>VLOOKUP(C10,[2]Sheet1!$B$2:$F$16,5,0)</f>
        <v>117.02</v>
      </c>
      <c r="O10" s="71">
        <f>VLOOKUP(C10,[2]Sheet1!$B$1:$E$16,4,0)</f>
        <v>23.76</v>
      </c>
      <c r="P10" s="71">
        <f>VLOOKUP(C10,[2]Sheet1!$B$2:$H$16,7,0)</f>
        <v>109</v>
      </c>
      <c r="Q10" s="89">
        <f t="shared" si="0"/>
        <v>629.86</v>
      </c>
      <c r="R10" s="70">
        <v>0</v>
      </c>
      <c r="S10" s="90">
        <f>L10+IFERROR(VLOOKUP($E:$E,'（居民）工资表-6月'!$E:$S,15,0),0)</f>
        <v>26949.16</v>
      </c>
      <c r="T10" s="91">
        <f>5000+IFERROR(VLOOKUP($E:$E,'（居民）工资表-6月'!$E:$T,16,0),0)</f>
        <v>30000</v>
      </c>
      <c r="U10" s="91">
        <f>Q10+IFERROR(VLOOKUP($E:$E,'（居民）工资表-6月'!$E:$U,17,0),0)</f>
        <v>3848.18</v>
      </c>
      <c r="V10" s="70"/>
      <c r="W10" s="70"/>
      <c r="X10" s="70"/>
      <c r="Y10" s="70"/>
      <c r="Z10" s="70"/>
      <c r="AA10" s="70"/>
      <c r="AB10" s="90">
        <f t="shared" si="1"/>
        <v>0</v>
      </c>
      <c r="AC10" s="90">
        <f>R10+IFERROR(VLOOKUP($E:$E,'（居民）工资表-6月'!$E:$AC,25,0),0)</f>
        <v>0</v>
      </c>
      <c r="AD10" s="95">
        <f t="shared" si="2"/>
        <v>-6899.02</v>
      </c>
      <c r="AE10" s="96">
        <f>ROUND(MAX((AD10)*{0.03;0.1;0.2;0.25;0.3;0.35;0.45}-{0;2520;16920;31920;52920;85920;181920},0),2)</f>
        <v>0</v>
      </c>
      <c r="AF10" s="97">
        <f>IFERROR(VLOOKUP(E:E,'（居民）工资表-6月'!E:AF,28,0)+VLOOKUP(E:E,'（居民）工资表-6月'!E:AG,29,0),0)</f>
        <v>0</v>
      </c>
      <c r="AG10" s="97">
        <f t="shared" si="3"/>
        <v>0</v>
      </c>
      <c r="AH10" s="107">
        <f t="shared" si="4"/>
        <v>3895.98</v>
      </c>
      <c r="AI10" s="108"/>
      <c r="AJ10" s="107">
        <f t="shared" si="5"/>
        <v>3895.98</v>
      </c>
      <c r="AK10" s="109"/>
      <c r="AL10" s="107">
        <f t="shared" si="6"/>
        <v>3895.98</v>
      </c>
      <c r="AM10" s="12" t="s">
        <v>168</v>
      </c>
      <c r="AN10" s="12" t="s">
        <v>169</v>
      </c>
    </row>
    <row r="11" s="12" customFormat="1" ht="18" customHeight="1" spans="1:40">
      <c r="A11" s="36">
        <v>8</v>
      </c>
      <c r="B11" s="37" t="s">
        <v>144</v>
      </c>
      <c r="C11" s="37" t="s">
        <v>170</v>
      </c>
      <c r="D11" s="37" t="s">
        <v>145</v>
      </c>
      <c r="E11" s="329" t="s">
        <v>171</v>
      </c>
      <c r="F11" s="38" t="s">
        <v>146</v>
      </c>
      <c r="G11" s="39">
        <v>18356553626</v>
      </c>
      <c r="H11" s="40"/>
      <c r="I11" s="40"/>
      <c r="J11" s="69"/>
      <c r="K11" s="40"/>
      <c r="L11" s="70">
        <v>9500</v>
      </c>
      <c r="M11" s="71">
        <f>VLOOKUP(C11,[2]Sheet1!$B$2:$D$16,3,0)</f>
        <v>321.52</v>
      </c>
      <c r="N11" s="71">
        <f>VLOOKUP(C11,[2]Sheet1!$B$2:$F$16,5,0)</f>
        <v>120.38</v>
      </c>
      <c r="O11" s="71">
        <f>VLOOKUP(C11,[2]Sheet1!$B$1:$E$16,4,0)</f>
        <v>20.1</v>
      </c>
      <c r="P11" s="71">
        <f>VLOOKUP(C11,[2]Sheet1!$B$2:$H$16,7,0)</f>
        <v>97</v>
      </c>
      <c r="Q11" s="89">
        <f t="shared" si="0"/>
        <v>559</v>
      </c>
      <c r="R11" s="70">
        <v>0</v>
      </c>
      <c r="S11" s="90">
        <f>L11+IFERROR(VLOOKUP($E:$E,'（居民）工资表-6月'!$E:$S,15,0),0)</f>
        <v>53000</v>
      </c>
      <c r="T11" s="91">
        <f>5000+IFERROR(VLOOKUP($E:$E,'（居民）工资表-6月'!$E:$T,16,0),0)</f>
        <v>30000</v>
      </c>
      <c r="U11" s="91">
        <f>Q11+IFERROR(VLOOKUP($E:$E,'（居民）工资表-6月'!$E:$U,17,0),0)</f>
        <v>3397.68</v>
      </c>
      <c r="V11" s="70"/>
      <c r="W11" s="70"/>
      <c r="X11" s="70"/>
      <c r="Y11" s="70"/>
      <c r="Z11" s="70"/>
      <c r="AA11" s="70"/>
      <c r="AB11" s="90">
        <f t="shared" si="1"/>
        <v>0</v>
      </c>
      <c r="AC11" s="90">
        <f>R11+IFERROR(VLOOKUP($E:$E,'（居民）工资表-6月'!$E:$AC,25,0),0)</f>
        <v>0</v>
      </c>
      <c r="AD11" s="95">
        <f t="shared" si="2"/>
        <v>19602.32</v>
      </c>
      <c r="AE11" s="96">
        <f>ROUND(MAX((AD11)*{0.03;0.1;0.2;0.25;0.3;0.35;0.45}-{0;2520;16920;31920;52920;85920;181920},0),2)</f>
        <v>588.07</v>
      </c>
      <c r="AF11" s="97">
        <f>IFERROR(VLOOKUP(E:E,'（居民）工资表-6月'!E:AF,28,0)+VLOOKUP(E:E,'（居民）工资表-6月'!E:AG,29,0),0)</f>
        <v>469.84</v>
      </c>
      <c r="AG11" s="97">
        <f t="shared" si="3"/>
        <v>118.23</v>
      </c>
      <c r="AH11" s="107">
        <f t="shared" si="4"/>
        <v>8822.77</v>
      </c>
      <c r="AI11" s="108"/>
      <c r="AJ11" s="107">
        <f t="shared" si="5"/>
        <v>8822.77</v>
      </c>
      <c r="AK11" s="109"/>
      <c r="AL11" s="107">
        <f t="shared" si="6"/>
        <v>8941</v>
      </c>
      <c r="AM11" s="12" t="s">
        <v>172</v>
      </c>
      <c r="AN11" s="12" t="s">
        <v>173</v>
      </c>
    </row>
    <row r="12" s="12" customFormat="1" ht="18" customHeight="1" spans="1:40">
      <c r="A12" s="36">
        <v>9</v>
      </c>
      <c r="B12" s="37" t="s">
        <v>144</v>
      </c>
      <c r="C12" s="37" t="s">
        <v>174</v>
      </c>
      <c r="D12" s="37" t="s">
        <v>145</v>
      </c>
      <c r="E12" s="329" t="s">
        <v>175</v>
      </c>
      <c r="F12" s="38" t="s">
        <v>146</v>
      </c>
      <c r="G12" s="39">
        <v>18326897140</v>
      </c>
      <c r="H12" s="40"/>
      <c r="I12" s="40"/>
      <c r="J12" s="69"/>
      <c r="K12" s="40"/>
      <c r="L12" s="70">
        <v>8000</v>
      </c>
      <c r="M12" s="71">
        <f>VLOOKUP(C12,[2]Sheet1!$B$2:$D$16,3,0)</f>
        <v>321.52</v>
      </c>
      <c r="N12" s="71">
        <f>VLOOKUP(C12,[2]Sheet1!$B$2:$F$16,5,0)</f>
        <v>86.38</v>
      </c>
      <c r="O12" s="71">
        <f>VLOOKUP(C12,[2]Sheet1!$B$1:$E$16,4,0)</f>
        <v>20.1</v>
      </c>
      <c r="P12" s="71">
        <f>VLOOKUP(C12,[2]Sheet1!$B$2:$H$16,7,0)</f>
        <v>344</v>
      </c>
      <c r="Q12" s="89">
        <f t="shared" si="0"/>
        <v>772</v>
      </c>
      <c r="R12" s="70">
        <v>0</v>
      </c>
      <c r="S12" s="90">
        <f>L12+IFERROR(VLOOKUP($E:$E,'（居民）工资表-6月'!$E:$S,15,0),0)</f>
        <v>44000</v>
      </c>
      <c r="T12" s="91">
        <f>5000+IFERROR(VLOOKUP($E:$E,'（居民）工资表-6月'!$E:$T,16,0),0)</f>
        <v>30000</v>
      </c>
      <c r="U12" s="91">
        <f>Q12+IFERROR(VLOOKUP($E:$E,'（居民）工资表-6月'!$E:$U,17,0),0)</f>
        <v>4675.68</v>
      </c>
      <c r="V12" s="70"/>
      <c r="W12" s="70"/>
      <c r="X12" s="70"/>
      <c r="Y12" s="70"/>
      <c r="Z12" s="70"/>
      <c r="AA12" s="70"/>
      <c r="AB12" s="90">
        <f t="shared" si="1"/>
        <v>0</v>
      </c>
      <c r="AC12" s="90">
        <f>R12+IFERROR(VLOOKUP($E:$E,'（居民）工资表-6月'!$E:$AC,25,0),0)</f>
        <v>0</v>
      </c>
      <c r="AD12" s="95">
        <f t="shared" si="2"/>
        <v>9324.32</v>
      </c>
      <c r="AE12" s="96">
        <f>ROUND(MAX((AD12)*{0.03;0.1;0.2;0.25;0.3;0.35;0.45}-{0;2520;16920;31920;52920;85920;181920},0),2)</f>
        <v>279.73</v>
      </c>
      <c r="AF12" s="97">
        <f>IFERROR(VLOOKUP(E:E,'（居民）工资表-6月'!E:AF,28,0)+VLOOKUP(E:E,'（居民）工资表-6月'!E:AG,29,0),0)</f>
        <v>212.89</v>
      </c>
      <c r="AG12" s="97">
        <f t="shared" si="3"/>
        <v>66.84</v>
      </c>
      <c r="AH12" s="107">
        <f t="shared" si="4"/>
        <v>7161.16</v>
      </c>
      <c r="AI12" s="108"/>
      <c r="AJ12" s="107">
        <f t="shared" si="5"/>
        <v>7161.16</v>
      </c>
      <c r="AK12" s="109"/>
      <c r="AL12" s="107">
        <f t="shared" si="6"/>
        <v>7228</v>
      </c>
      <c r="AM12" s="12" t="s">
        <v>159</v>
      </c>
      <c r="AN12" s="12" t="s">
        <v>51</v>
      </c>
    </row>
    <row r="13" s="12" customFormat="1" ht="18" customHeight="1" spans="1:40">
      <c r="A13" s="36">
        <v>10</v>
      </c>
      <c r="B13" s="37" t="s">
        <v>144</v>
      </c>
      <c r="C13" s="37" t="s">
        <v>176</v>
      </c>
      <c r="D13" s="37" t="s">
        <v>145</v>
      </c>
      <c r="E13" s="329" t="s">
        <v>177</v>
      </c>
      <c r="F13" s="38" t="s">
        <v>146</v>
      </c>
      <c r="G13" s="39">
        <v>17201857014</v>
      </c>
      <c r="H13" s="40"/>
      <c r="I13" s="40"/>
      <c r="J13" s="69"/>
      <c r="K13" s="40"/>
      <c r="L13" s="70">
        <v>9000</v>
      </c>
      <c r="M13" s="71">
        <f>VLOOKUP(C13,[2]Sheet1!$B$2:$D$16,3,0)</f>
        <v>321.52</v>
      </c>
      <c r="N13" s="71">
        <f>VLOOKUP(C13,[2]Sheet1!$B$2:$F$16,5,0)</f>
        <v>86.38</v>
      </c>
      <c r="O13" s="71">
        <f>VLOOKUP(C13,[2]Sheet1!$B$1:$E$16,4,0)</f>
        <v>20.1</v>
      </c>
      <c r="P13" s="71">
        <f>VLOOKUP(C13,[2]Sheet1!$B$2:$H$16,7,0)</f>
        <v>344</v>
      </c>
      <c r="Q13" s="89">
        <f t="shared" si="0"/>
        <v>772</v>
      </c>
      <c r="R13" s="70">
        <v>0</v>
      </c>
      <c r="S13" s="90">
        <f>L13+IFERROR(VLOOKUP($E:$E,'（居民）工资表-6月'!$E:$S,15,0),0)</f>
        <v>46000</v>
      </c>
      <c r="T13" s="91">
        <f>5000+IFERROR(VLOOKUP($E:$E,'（居民）工资表-6月'!$E:$T,16,0),0)</f>
        <v>30000</v>
      </c>
      <c r="U13" s="91">
        <f>Q13+IFERROR(VLOOKUP($E:$E,'（居民）工资表-6月'!$E:$U,17,0),0)</f>
        <v>4675.68</v>
      </c>
      <c r="V13" s="70"/>
      <c r="W13" s="70"/>
      <c r="X13" s="70"/>
      <c r="Y13" s="70"/>
      <c r="Z13" s="70"/>
      <c r="AA13" s="70"/>
      <c r="AB13" s="90">
        <f t="shared" si="1"/>
        <v>0</v>
      </c>
      <c r="AC13" s="90">
        <f>R13+IFERROR(VLOOKUP($E:$E,'（居民）工资表-6月'!$E:$AC,25,0),0)</f>
        <v>0</v>
      </c>
      <c r="AD13" s="95">
        <f t="shared" si="2"/>
        <v>11324.32</v>
      </c>
      <c r="AE13" s="96">
        <f>ROUND(MAX((AD13)*{0.03;0.1;0.2;0.25;0.3;0.35;0.45}-{0;2520;16920;31920;52920;85920;181920},0),2)</f>
        <v>339.73</v>
      </c>
      <c r="AF13" s="97">
        <f>IFERROR(VLOOKUP(E:E,'（居民）工资表-6月'!E:AF,28,0)+VLOOKUP(E:E,'（居民）工资表-6月'!E:AG,29,0),0)</f>
        <v>242.89</v>
      </c>
      <c r="AG13" s="97">
        <f t="shared" si="3"/>
        <v>96.84</v>
      </c>
      <c r="AH13" s="107">
        <f t="shared" si="4"/>
        <v>8131.16</v>
      </c>
      <c r="AI13" s="108"/>
      <c r="AJ13" s="107">
        <f t="shared" si="5"/>
        <v>8131.16</v>
      </c>
      <c r="AK13" s="109"/>
      <c r="AL13" s="107">
        <f t="shared" si="6"/>
        <v>8228</v>
      </c>
      <c r="AM13" s="12" t="s">
        <v>159</v>
      </c>
      <c r="AN13" s="12" t="s">
        <v>51</v>
      </c>
    </row>
    <row r="14" s="12" customFormat="1" ht="18" customHeight="1" spans="1:40">
      <c r="A14" s="36">
        <v>11</v>
      </c>
      <c r="B14" s="37" t="s">
        <v>144</v>
      </c>
      <c r="C14" s="37" t="s">
        <v>178</v>
      </c>
      <c r="D14" s="37" t="s">
        <v>145</v>
      </c>
      <c r="E14" s="329" t="s">
        <v>179</v>
      </c>
      <c r="F14" s="38" t="s">
        <v>150</v>
      </c>
      <c r="G14" s="39" t="s">
        <v>180</v>
      </c>
      <c r="H14" s="40"/>
      <c r="I14" s="40"/>
      <c r="J14" s="69"/>
      <c r="K14" s="40"/>
      <c r="L14" s="70">
        <v>7600</v>
      </c>
      <c r="M14" s="71">
        <f>VLOOKUP(C14,[2]Sheet1!$B$2:$D$16,3,0)</f>
        <v>321.52</v>
      </c>
      <c r="N14" s="71">
        <f>VLOOKUP(C14,[2]Sheet1!$B$2:$F$16,5,0)</f>
        <v>120.38</v>
      </c>
      <c r="O14" s="71">
        <f>VLOOKUP(C14,[2]Sheet1!$B$1:$E$16,4,0)</f>
        <v>20.1</v>
      </c>
      <c r="P14" s="71">
        <f>VLOOKUP(C14,[2]Sheet1!$B$2:$H$16,7,0)</f>
        <v>97</v>
      </c>
      <c r="Q14" s="89">
        <f t="shared" si="0"/>
        <v>559</v>
      </c>
      <c r="R14" s="70">
        <v>0</v>
      </c>
      <c r="S14" s="90">
        <f>L14+IFERROR(VLOOKUP($E:$E,'（居民）工资表-6月'!$E:$S,15,0),0)</f>
        <v>28600</v>
      </c>
      <c r="T14" s="91">
        <f>5000+IFERROR(VLOOKUP($E:$E,'（居民）工资表-6月'!$E:$T,16,0),0)</f>
        <v>20000</v>
      </c>
      <c r="U14" s="91">
        <f>Q14+IFERROR(VLOOKUP($E:$E,'（居民）工资表-6月'!$E:$U,17,0),0)</f>
        <v>2236</v>
      </c>
      <c r="V14" s="70"/>
      <c r="W14" s="70"/>
      <c r="X14" s="70"/>
      <c r="Y14" s="70"/>
      <c r="Z14" s="70"/>
      <c r="AA14" s="70"/>
      <c r="AB14" s="90">
        <f t="shared" si="1"/>
        <v>0</v>
      </c>
      <c r="AC14" s="90">
        <f>R14+IFERROR(VLOOKUP($E:$E,'（居民）工资表-6月'!$E:$AC,25,0),0)</f>
        <v>0</v>
      </c>
      <c r="AD14" s="95">
        <f t="shared" si="2"/>
        <v>6364</v>
      </c>
      <c r="AE14" s="96">
        <f>ROUND(MAX((AD14)*{0.03;0.1;0.2;0.25;0.3;0.35;0.45}-{0;2520;16920;31920;52920;85920;181920},0),2)</f>
        <v>190.92</v>
      </c>
      <c r="AF14" s="97">
        <f>IFERROR(VLOOKUP(E:E,'（居民）工资表-6月'!E:AF,28,0)+VLOOKUP(E:E,'（居民）工资表-6月'!E:AG,29,0),0)</f>
        <v>129.69</v>
      </c>
      <c r="AG14" s="97">
        <f t="shared" si="3"/>
        <v>61.23</v>
      </c>
      <c r="AH14" s="107">
        <f t="shared" si="4"/>
        <v>6979.77</v>
      </c>
      <c r="AI14" s="108"/>
      <c r="AJ14" s="107">
        <f t="shared" si="5"/>
        <v>6979.77</v>
      </c>
      <c r="AK14" s="109"/>
      <c r="AL14" s="107">
        <f t="shared" si="6"/>
        <v>7041</v>
      </c>
      <c r="AM14" s="12" t="s">
        <v>159</v>
      </c>
      <c r="AN14" s="12" t="s">
        <v>51</v>
      </c>
    </row>
    <row r="15" s="12" customFormat="1" ht="18" customHeight="1" spans="1:40">
      <c r="A15" s="36">
        <v>12</v>
      </c>
      <c r="B15" s="37" t="s">
        <v>144</v>
      </c>
      <c r="C15" s="37" t="s">
        <v>181</v>
      </c>
      <c r="D15" s="37" t="s">
        <v>145</v>
      </c>
      <c r="E15" s="329" t="s">
        <v>182</v>
      </c>
      <c r="F15" s="38" t="s">
        <v>150</v>
      </c>
      <c r="G15" s="39">
        <v>15855788591</v>
      </c>
      <c r="H15" s="40"/>
      <c r="I15" s="40"/>
      <c r="J15" s="69"/>
      <c r="K15" s="40"/>
      <c r="L15" s="70">
        <v>6625.64</v>
      </c>
      <c r="M15" s="71">
        <f>VLOOKUP(C15,[2]Sheet1!$B$2:$D$16,3,0)</f>
        <v>321.52</v>
      </c>
      <c r="N15" s="71">
        <f>VLOOKUP(C15,[2]Sheet1!$B$2:$F$16,5,0)</f>
        <v>89.09</v>
      </c>
      <c r="O15" s="71">
        <f>VLOOKUP(C15,[2]Sheet1!$B$1:$E$16,4,0)</f>
        <v>20.1</v>
      </c>
      <c r="P15" s="71">
        <f>VLOOKUP(C15,[2]Sheet1!$B$2:$H$16,7,0)</f>
        <v>97</v>
      </c>
      <c r="Q15" s="89">
        <f t="shared" si="0"/>
        <v>527.71</v>
      </c>
      <c r="R15" s="70">
        <v>0</v>
      </c>
      <c r="S15" s="90">
        <f>L15+IFERROR(VLOOKUP($E:$E,'（居民）工资表-6月'!$E:$S,15,0),0)</f>
        <v>25045.64</v>
      </c>
      <c r="T15" s="91">
        <f>5000+IFERROR(VLOOKUP($E:$E,'（居民）工资表-6月'!$E:$T,16,0),0)</f>
        <v>20000</v>
      </c>
      <c r="U15" s="91">
        <f>Q15+IFERROR(VLOOKUP($E:$E,'（居民）工资表-6月'!$E:$U,17,0),0)</f>
        <v>2110.84</v>
      </c>
      <c r="V15" s="70"/>
      <c r="W15" s="70"/>
      <c r="X15" s="70"/>
      <c r="Y15" s="70"/>
      <c r="Z15" s="70"/>
      <c r="AA15" s="70"/>
      <c r="AB15" s="90">
        <f t="shared" si="1"/>
        <v>0</v>
      </c>
      <c r="AC15" s="90">
        <f>R15+IFERROR(VLOOKUP($E:$E,'（居民）工资表-6月'!$E:$AC,25,0),0)</f>
        <v>0</v>
      </c>
      <c r="AD15" s="95">
        <f t="shared" si="2"/>
        <v>2934.8</v>
      </c>
      <c r="AE15" s="96">
        <f>ROUND(MAX((AD15)*{0.03;0.1;0.2;0.25;0.3;0.35;0.45}-{0;2520;16920;31920;52920;85920;181920},0),2)</f>
        <v>88.04</v>
      </c>
      <c r="AF15" s="97">
        <f>IFERROR(VLOOKUP(E:E,'（居民）工资表-6月'!E:AF,28,0)+VLOOKUP(E:E,'（居民）工资表-6月'!E:AG,29,0),0)</f>
        <v>55.11</v>
      </c>
      <c r="AG15" s="97">
        <f t="shared" si="3"/>
        <v>32.93</v>
      </c>
      <c r="AH15" s="107">
        <f t="shared" si="4"/>
        <v>6065</v>
      </c>
      <c r="AI15" s="108"/>
      <c r="AJ15" s="107">
        <f t="shared" si="5"/>
        <v>6065</v>
      </c>
      <c r="AK15" s="109"/>
      <c r="AL15" s="107">
        <f t="shared" si="6"/>
        <v>6097.93</v>
      </c>
      <c r="AM15" s="12" t="s">
        <v>159</v>
      </c>
      <c r="AN15" s="12" t="s">
        <v>51</v>
      </c>
    </row>
    <row r="16" s="12" customFormat="1" ht="18" customHeight="1" spans="1:40">
      <c r="A16" s="36">
        <v>13</v>
      </c>
      <c r="B16" s="37" t="s">
        <v>144</v>
      </c>
      <c r="C16" s="37" t="s">
        <v>183</v>
      </c>
      <c r="D16" s="37" t="s">
        <v>145</v>
      </c>
      <c r="E16" s="329" t="s">
        <v>184</v>
      </c>
      <c r="F16" s="38" t="s">
        <v>150</v>
      </c>
      <c r="G16" s="39"/>
      <c r="H16" s="40"/>
      <c r="I16" s="40"/>
      <c r="J16" s="69"/>
      <c r="K16" s="40"/>
      <c r="L16" s="70">
        <v>6000</v>
      </c>
      <c r="M16" s="71">
        <f>VLOOKUP(C16,[2]Sheet1!$B$2:$D$16,3,0)</f>
        <v>321.52</v>
      </c>
      <c r="N16" s="71">
        <f>VLOOKUP(C16,[2]Sheet1!$B$2:$F$16,5,0)</f>
        <v>80.38</v>
      </c>
      <c r="O16" s="71">
        <f>VLOOKUP(C16,[2]Sheet1!$B$1:$E$16,4,0)</f>
        <v>20.1</v>
      </c>
      <c r="P16" s="71">
        <f>VLOOKUP(C16,[2]Sheet1!$B$2:$H$16,7,0)</f>
        <v>103</v>
      </c>
      <c r="Q16" s="89">
        <f t="shared" si="0"/>
        <v>525</v>
      </c>
      <c r="R16" s="70">
        <v>0</v>
      </c>
      <c r="S16" s="90">
        <f>L16+IFERROR(VLOOKUP($E:$E,'（居民）工资表-6月'!$E:$S,15,0),0)</f>
        <v>36000</v>
      </c>
      <c r="T16" s="91">
        <f>5000+IFERROR(VLOOKUP($E:$E,'（居民）工资表-6月'!$E:$T,16,0),0)</f>
        <v>30000</v>
      </c>
      <c r="U16" s="91">
        <f>Q16+IFERROR(VLOOKUP($E:$E,'（居民）工资表-6月'!$E:$U,17,0),0)</f>
        <v>3193.68</v>
      </c>
      <c r="V16" s="70"/>
      <c r="W16" s="70"/>
      <c r="X16" s="70"/>
      <c r="Y16" s="70"/>
      <c r="Z16" s="70"/>
      <c r="AA16" s="70"/>
      <c r="AB16" s="90">
        <f t="shared" si="1"/>
        <v>0</v>
      </c>
      <c r="AC16" s="90">
        <f>R16+IFERROR(VLOOKUP($E:$E,'（居民）工资表-6月'!$E:$AC,25,0),0)</f>
        <v>0</v>
      </c>
      <c r="AD16" s="95">
        <f t="shared" si="2"/>
        <v>2806.32</v>
      </c>
      <c r="AE16" s="96">
        <f>ROUND(MAX((AD16)*{0.03;0.1;0.2;0.25;0.3;0.35;0.45}-{0;2520;16920;31920;52920;85920;181920},0),2)</f>
        <v>84.19</v>
      </c>
      <c r="AF16" s="97">
        <f>IFERROR(VLOOKUP(E:E,'（居民）工资表-6月'!E:AF,28,0)+VLOOKUP(E:E,'（居民）工资表-6月'!E:AG,29,0),0)</f>
        <v>69.94</v>
      </c>
      <c r="AG16" s="97">
        <f t="shared" si="3"/>
        <v>14.25</v>
      </c>
      <c r="AH16" s="107">
        <f t="shared" si="4"/>
        <v>5460.75</v>
      </c>
      <c r="AI16" s="108"/>
      <c r="AJ16" s="107">
        <f t="shared" si="5"/>
        <v>5460.75</v>
      </c>
      <c r="AK16" s="109"/>
      <c r="AL16" s="107">
        <f t="shared" si="6"/>
        <v>5475</v>
      </c>
      <c r="AM16" s="12" t="s">
        <v>159</v>
      </c>
      <c r="AN16" s="12" t="s">
        <v>51</v>
      </c>
    </row>
    <row r="17" s="12" customFormat="1" ht="18" customHeight="1" spans="1:40">
      <c r="A17" s="36">
        <v>14</v>
      </c>
      <c r="B17" s="37" t="s">
        <v>144</v>
      </c>
      <c r="C17" s="37" t="s">
        <v>185</v>
      </c>
      <c r="D17" s="37" t="s">
        <v>145</v>
      </c>
      <c r="E17" s="329" t="s">
        <v>186</v>
      </c>
      <c r="F17" s="38" t="s">
        <v>146</v>
      </c>
      <c r="G17" s="39">
        <v>15056587375</v>
      </c>
      <c r="H17" s="40"/>
      <c r="I17" s="40"/>
      <c r="J17" s="69"/>
      <c r="K17" s="40"/>
      <c r="L17" s="70">
        <v>10000</v>
      </c>
      <c r="M17" s="71">
        <f>VLOOKUP(C17,[2]Sheet1!$B$2:$D$16,3,0)</f>
        <v>321.52</v>
      </c>
      <c r="N17" s="71">
        <f>VLOOKUP(C17,[2]Sheet1!$B$2:$F$16,5,0)</f>
        <v>89.09</v>
      </c>
      <c r="O17" s="71">
        <f>VLOOKUP(C17,[2]Sheet1!$B$1:$E$16,4,0)</f>
        <v>20.1</v>
      </c>
      <c r="P17" s="71">
        <f>VLOOKUP(C17,[2]Sheet1!$B$2:$H$16,7,0)</f>
        <v>97</v>
      </c>
      <c r="Q17" s="89">
        <f t="shared" si="0"/>
        <v>527.71</v>
      </c>
      <c r="R17" s="70">
        <v>0</v>
      </c>
      <c r="S17" s="90">
        <f>L17+IFERROR(VLOOKUP($E:$E,'（居民）工资表-6月'!$E:$S,15,0),0)</f>
        <v>60000</v>
      </c>
      <c r="T17" s="91">
        <f>5000+IFERROR(VLOOKUP($E:$E,'（居民）工资表-6月'!$E:$T,16,0),0)</f>
        <v>30000</v>
      </c>
      <c r="U17" s="91">
        <f>Q17+IFERROR(VLOOKUP($E:$E,'（居民）工资表-6月'!$E:$U,17,0),0)</f>
        <v>3210.84</v>
      </c>
      <c r="V17" s="70"/>
      <c r="W17" s="70"/>
      <c r="X17" s="70"/>
      <c r="Y17" s="70"/>
      <c r="Z17" s="70"/>
      <c r="AA17" s="70"/>
      <c r="AB17" s="90">
        <f t="shared" si="1"/>
        <v>0</v>
      </c>
      <c r="AC17" s="90">
        <f>R17+IFERROR(VLOOKUP($E:$E,'（居民）工资表-6月'!$E:$AC,25,0),0)</f>
        <v>0</v>
      </c>
      <c r="AD17" s="95">
        <f t="shared" si="2"/>
        <v>26789.16</v>
      </c>
      <c r="AE17" s="96">
        <f>ROUND(MAX((AD17)*{0.03;0.1;0.2;0.25;0.3;0.35;0.45}-{0;2520;16920;31920;52920;85920;181920},0),2)</f>
        <v>803.67</v>
      </c>
      <c r="AF17" s="97">
        <f>IFERROR(VLOOKUP(E:E,'（居民）工资表-6月'!E:AF,28,0)+VLOOKUP(E:E,'（居民）工资表-6月'!E:AG,29,0),0)</f>
        <v>669.51</v>
      </c>
      <c r="AG17" s="97">
        <f t="shared" si="3"/>
        <v>134.16</v>
      </c>
      <c r="AH17" s="107">
        <f t="shared" si="4"/>
        <v>9338.13</v>
      </c>
      <c r="AI17" s="108"/>
      <c r="AJ17" s="107">
        <f t="shared" si="5"/>
        <v>9338.13</v>
      </c>
      <c r="AK17" s="109"/>
      <c r="AL17" s="107">
        <f t="shared" si="6"/>
        <v>9472.29</v>
      </c>
      <c r="AM17" s="12" t="s">
        <v>164</v>
      </c>
      <c r="AN17" s="12" t="s">
        <v>51</v>
      </c>
    </row>
    <row r="18" s="12" customFormat="1" ht="21" customHeight="1" spans="1:40">
      <c r="A18" s="36">
        <v>15</v>
      </c>
      <c r="B18" s="37" t="s">
        <v>144</v>
      </c>
      <c r="C18" s="37" t="s">
        <v>187</v>
      </c>
      <c r="D18" s="37" t="s">
        <v>145</v>
      </c>
      <c r="E18" s="37" t="s">
        <v>188</v>
      </c>
      <c r="F18" s="38" t="s">
        <v>146</v>
      </c>
      <c r="G18" s="39">
        <v>13711361074</v>
      </c>
      <c r="H18" s="40"/>
      <c r="I18" s="40"/>
      <c r="J18" s="69"/>
      <c r="K18" s="40"/>
      <c r="L18" s="70">
        <v>6563.63</v>
      </c>
      <c r="M18" s="71">
        <f>VLOOKUP(C18,[2]Sheet1!$B$2:$D$16,3,0)</f>
        <v>337.92</v>
      </c>
      <c r="N18" s="71">
        <f>VLOOKUP(C18,[2]Sheet1!$B$2:$F$16,5,0)</f>
        <v>91.48</v>
      </c>
      <c r="O18" s="71">
        <f>VLOOKUP(C18,[2]Sheet1!$B$1:$E$16,4,0)</f>
        <v>12.67</v>
      </c>
      <c r="P18" s="71">
        <f>VLOOKUP(C18,[2]Sheet1!$B$2:$H$16,7,0)</f>
        <v>110.5</v>
      </c>
      <c r="Q18" s="89">
        <f t="shared" si="0"/>
        <v>552.57</v>
      </c>
      <c r="R18" s="70">
        <v>0</v>
      </c>
      <c r="S18" s="90">
        <f>L18+IFERROR(VLOOKUP($E:$E,'（居民）工资表-6月'!$E:$S,15,0),0)</f>
        <v>35950.3</v>
      </c>
      <c r="T18" s="91">
        <f>5000+IFERROR(VLOOKUP($E:$E,'（居民）工资表-6月'!$E:$T,16,0),0)</f>
        <v>30000</v>
      </c>
      <c r="U18" s="91">
        <f>Q18+IFERROR(VLOOKUP($E:$E,'（居民）工资表-6月'!$E:$U,17,0),0)</f>
        <v>3343.23</v>
      </c>
      <c r="V18" s="70"/>
      <c r="W18" s="70"/>
      <c r="X18" s="70"/>
      <c r="Y18" s="70"/>
      <c r="Z18" s="70"/>
      <c r="AA18" s="70"/>
      <c r="AB18" s="90">
        <f t="shared" si="1"/>
        <v>0</v>
      </c>
      <c r="AC18" s="90">
        <f>R18+IFERROR(VLOOKUP($E:$E,'（居民）工资表-6月'!$E:$AC,25,0),0)</f>
        <v>0</v>
      </c>
      <c r="AD18" s="95">
        <f t="shared" si="2"/>
        <v>2607.07</v>
      </c>
      <c r="AE18" s="96">
        <f>ROUND(MAX((AD18)*{0.03;0.1;0.2;0.25;0.3;0.35;0.45}-{0;2520;16920;31920;52920;85920;181920},0),2)</f>
        <v>78.21</v>
      </c>
      <c r="AF18" s="97">
        <f>IFERROR(VLOOKUP(E:E,'（居民）工资表-6月'!E:AF,28,0)+VLOOKUP(E:E,'（居民）工资表-6月'!E:AG,29,0),0)</f>
        <v>138.59</v>
      </c>
      <c r="AG18" s="97">
        <f t="shared" si="3"/>
        <v>0</v>
      </c>
      <c r="AH18" s="107">
        <f t="shared" si="4"/>
        <v>6011.06</v>
      </c>
      <c r="AI18" s="108"/>
      <c r="AJ18" s="107">
        <f t="shared" si="5"/>
        <v>6011.06</v>
      </c>
      <c r="AK18" s="109"/>
      <c r="AL18" s="107">
        <f t="shared" si="6"/>
        <v>6011.06</v>
      </c>
      <c r="AM18" s="12" t="s">
        <v>159</v>
      </c>
      <c r="AN18" s="12" t="s">
        <v>51</v>
      </c>
    </row>
    <row r="19" s="12" customFormat="1" ht="18" customHeight="1" spans="1:38">
      <c r="A19" s="36"/>
      <c r="B19" s="37"/>
      <c r="C19" s="37"/>
      <c r="D19" s="37"/>
      <c r="E19" s="37"/>
      <c r="F19" s="38"/>
      <c r="G19" s="39"/>
      <c r="H19" s="40"/>
      <c r="I19" s="40"/>
      <c r="J19" s="69"/>
      <c r="K19" s="40"/>
      <c r="L19" s="70"/>
      <c r="M19" s="71"/>
      <c r="N19" s="71"/>
      <c r="O19" s="71"/>
      <c r="P19" s="71"/>
      <c r="Q19" s="89"/>
      <c r="R19" s="70"/>
      <c r="S19" s="90"/>
      <c r="T19" s="91"/>
      <c r="U19" s="91"/>
      <c r="V19" s="70"/>
      <c r="W19" s="70"/>
      <c r="X19" s="70"/>
      <c r="Y19" s="70"/>
      <c r="Z19" s="70"/>
      <c r="AA19" s="70"/>
      <c r="AB19" s="90"/>
      <c r="AC19" s="90"/>
      <c r="AD19" s="95"/>
      <c r="AE19" s="96"/>
      <c r="AF19" s="97"/>
      <c r="AG19" s="97"/>
      <c r="AH19" s="107"/>
      <c r="AI19" s="108"/>
      <c r="AJ19" s="107"/>
      <c r="AK19" s="109"/>
      <c r="AL19" s="107"/>
    </row>
    <row r="20" s="13" customFormat="1" ht="18" customHeight="1" spans="1:38">
      <c r="A20" s="41"/>
      <c r="B20" s="42" t="s">
        <v>189</v>
      </c>
      <c r="C20" s="42"/>
      <c r="D20" s="43"/>
      <c r="E20" s="44"/>
      <c r="F20" s="45"/>
      <c r="G20" s="46"/>
      <c r="H20" s="45"/>
      <c r="I20" s="72"/>
      <c r="J20" s="73"/>
      <c r="K20" s="72"/>
      <c r="L20" s="74">
        <f>SUM(L4:L19)</f>
        <v>141975.11</v>
      </c>
      <c r="M20" s="74">
        <f t="shared" ref="M20:AL20" si="7">SUM(M4:M19)</f>
        <v>5262.9</v>
      </c>
      <c r="N20" s="74">
        <f t="shared" si="7"/>
        <v>1492.43</v>
      </c>
      <c r="O20" s="74">
        <f t="shared" si="7"/>
        <v>282.62</v>
      </c>
      <c r="P20" s="74">
        <f t="shared" si="7"/>
        <v>2412.9</v>
      </c>
      <c r="Q20" s="74">
        <f t="shared" si="7"/>
        <v>9450.85</v>
      </c>
      <c r="R20" s="74">
        <f t="shared" si="7"/>
        <v>0</v>
      </c>
      <c r="S20" s="74">
        <f t="shared" si="7"/>
        <v>778825.1</v>
      </c>
      <c r="T20" s="74">
        <f t="shared" si="7"/>
        <v>430000</v>
      </c>
      <c r="U20" s="74">
        <f t="shared" si="7"/>
        <v>55299.44</v>
      </c>
      <c r="V20" s="74">
        <f t="shared" si="7"/>
        <v>7000</v>
      </c>
      <c r="W20" s="74">
        <f t="shared" si="7"/>
        <v>0</v>
      </c>
      <c r="X20" s="74">
        <f t="shared" si="7"/>
        <v>19000</v>
      </c>
      <c r="Y20" s="74">
        <f t="shared" si="7"/>
        <v>10500</v>
      </c>
      <c r="Z20" s="74">
        <f t="shared" si="7"/>
        <v>2800</v>
      </c>
      <c r="AA20" s="74">
        <f t="shared" si="7"/>
        <v>0</v>
      </c>
      <c r="AB20" s="74">
        <f t="shared" si="7"/>
        <v>39300</v>
      </c>
      <c r="AC20" s="74">
        <f t="shared" si="7"/>
        <v>0</v>
      </c>
      <c r="AD20" s="74">
        <f t="shared" si="7"/>
        <v>254225.66</v>
      </c>
      <c r="AE20" s="74">
        <f t="shared" si="7"/>
        <v>14932.08</v>
      </c>
      <c r="AF20" s="74">
        <f t="shared" si="7"/>
        <v>13261.56</v>
      </c>
      <c r="AG20" s="74">
        <f t="shared" si="7"/>
        <v>2130.83</v>
      </c>
      <c r="AH20" s="74">
        <f t="shared" si="7"/>
        <v>130393.43</v>
      </c>
      <c r="AI20" s="74">
        <f t="shared" si="7"/>
        <v>0</v>
      </c>
      <c r="AJ20" s="74">
        <f t="shared" si="7"/>
        <v>130393.43</v>
      </c>
      <c r="AK20" s="74">
        <f t="shared" si="7"/>
        <v>0</v>
      </c>
      <c r="AL20" s="74">
        <f t="shared" si="7"/>
        <v>132524.26</v>
      </c>
    </row>
    <row r="23" spans="30:30">
      <c r="AD23" s="101"/>
    </row>
    <row r="24" ht="18.75" customHeight="1" spans="2:30">
      <c r="B24" s="47" t="s">
        <v>133</v>
      </c>
      <c r="C24" s="47" t="s">
        <v>190</v>
      </c>
      <c r="D24" s="47" t="s">
        <v>22</v>
      </c>
      <c r="E24" s="47" t="s">
        <v>23</v>
      </c>
      <c r="AD24" s="10"/>
    </row>
    <row r="25" ht="18.75" customHeight="1" spans="2:5">
      <c r="B25" s="48">
        <f>AJ20</f>
        <v>130393.43</v>
      </c>
      <c r="C25" s="48">
        <f>AG20</f>
        <v>2130.83</v>
      </c>
      <c r="D25" s="48">
        <f>AK20</f>
        <v>0</v>
      </c>
      <c r="E25" s="48">
        <f>B25+C25+D25</f>
        <v>132524.26</v>
      </c>
    </row>
    <row r="26" spans="2:5">
      <c r="B26" s="49"/>
      <c r="C26" s="49"/>
      <c r="D26" s="49"/>
      <c r="E26" s="49"/>
    </row>
    <row r="27" s="14" customFormat="1" spans="1:35">
      <c r="A27" s="51" t="s">
        <v>191</v>
      </c>
      <c r="B27" s="52" t="s">
        <v>192</v>
      </c>
      <c r="C27" s="50"/>
      <c r="D27" s="50"/>
      <c r="E27" s="50"/>
      <c r="G27" s="53"/>
      <c r="J27" s="75"/>
      <c r="M27" s="76"/>
      <c r="AI27" s="112"/>
    </row>
    <row r="28" s="14" customFormat="1" spans="1:35">
      <c r="A28" s="54"/>
      <c r="B28" s="55" t="s">
        <v>193</v>
      </c>
      <c r="C28" s="50"/>
      <c r="D28" s="50"/>
      <c r="E28" s="50"/>
      <c r="G28" s="53"/>
      <c r="J28" s="75"/>
      <c r="M28" s="76"/>
      <c r="AI28" s="112"/>
    </row>
    <row r="29" s="14" customFormat="1" spans="1:35">
      <c r="A29" s="52"/>
      <c r="B29" s="55" t="s">
        <v>194</v>
      </c>
      <c r="C29" s="56"/>
      <c r="D29" s="56"/>
      <c r="E29" s="56"/>
      <c r="F29" s="56"/>
      <c r="G29" s="56"/>
      <c r="H29" s="56"/>
      <c r="I29" s="56"/>
      <c r="J29" s="77"/>
      <c r="K29" s="56"/>
      <c r="L29" s="56"/>
      <c r="M29" s="78"/>
      <c r="N29" s="56"/>
      <c r="O29" s="56"/>
      <c r="P29" s="56"/>
      <c r="AI29" s="112"/>
    </row>
    <row r="30" s="14" customFormat="1" customHeight="1" spans="1:35">
      <c r="A30" s="55"/>
      <c r="B30" s="55" t="s">
        <v>195</v>
      </c>
      <c r="C30" s="57"/>
      <c r="D30" s="57"/>
      <c r="E30" s="57"/>
      <c r="F30" s="57"/>
      <c r="G30" s="57"/>
      <c r="H30" s="57"/>
      <c r="I30" s="79"/>
      <c r="J30" s="80"/>
      <c r="K30" s="79"/>
      <c r="L30" s="79"/>
      <c r="M30" s="81"/>
      <c r="N30" s="79"/>
      <c r="O30" s="79"/>
      <c r="P30" s="79"/>
      <c r="AI30" s="112"/>
    </row>
    <row r="31" s="14" customFormat="1" customHeight="1" spans="1:35">
      <c r="A31" s="55"/>
      <c r="B31" s="55" t="s">
        <v>196</v>
      </c>
      <c r="C31" s="57"/>
      <c r="D31" s="57"/>
      <c r="E31" s="57"/>
      <c r="F31" s="57"/>
      <c r="G31" s="57"/>
      <c r="H31" s="57"/>
      <c r="I31" s="57"/>
      <c r="J31" s="82"/>
      <c r="K31" s="57"/>
      <c r="L31" s="79"/>
      <c r="M31" s="81"/>
      <c r="N31" s="79"/>
      <c r="O31" s="79"/>
      <c r="P31" s="79"/>
      <c r="AI31" s="112"/>
    </row>
    <row r="32" s="14" customFormat="1" customHeight="1" spans="1:35">
      <c r="A32" s="55"/>
      <c r="B32" s="55" t="s">
        <v>197</v>
      </c>
      <c r="C32" s="57"/>
      <c r="D32" s="57"/>
      <c r="E32" s="57"/>
      <c r="F32" s="57"/>
      <c r="G32" s="57"/>
      <c r="H32" s="57"/>
      <c r="I32" s="79"/>
      <c r="J32" s="80"/>
      <c r="K32" s="79"/>
      <c r="L32" s="79"/>
      <c r="M32" s="81"/>
      <c r="N32" s="79"/>
      <c r="O32" s="79"/>
      <c r="P32" s="79"/>
      <c r="AI32" s="112"/>
    </row>
    <row r="34" ht="11.25" customHeight="1" spans="2:2">
      <c r="B34" s="58" t="s">
        <v>198</v>
      </c>
    </row>
    <row r="35" spans="2:2">
      <c r="B35" s="59" t="s">
        <v>199</v>
      </c>
    </row>
    <row r="36" spans="2:2">
      <c r="B36" s="59" t="s">
        <v>200</v>
      </c>
    </row>
  </sheetData>
  <autoFilter xmlns:etc="http://www.wps.cn/officeDocument/2017/etCustomData" ref="A3:AL20" etc:filterBottomFollowUsedRange="0">
    <extLst/>
  </autoFilter>
  <mergeCells count="31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</mergeCells>
  <conditionalFormatting sqref="B32">
    <cfRule type="duplicateValues" dxfId="4" priority="2" stopIfTrue="1"/>
  </conditionalFormatting>
  <conditionalFormatting sqref="B27:B31">
    <cfRule type="duplicateValues" dxfId="4" priority="3" stopIfTrue="1"/>
  </conditionalFormatting>
  <conditionalFormatting sqref="B35:B36">
    <cfRule type="duplicateValues" dxfId="4" priority="1" stopIfTrue="1"/>
  </conditionalFormatting>
  <conditionalFormatting sqref="C24:C26">
    <cfRule type="duplicateValues" dxfId="4" priority="4" stopIfTrue="1"/>
    <cfRule type="expression" dxfId="5" priority="5" stopIfTrue="1">
      <formula>AND(COUNTIF($B$20:$B$65456,C24)+COUNTIF($B$1:$B$3,C24)&gt;1,NOT(ISBLANK(C24)))</formula>
    </cfRule>
    <cfRule type="expression" dxfId="5" priority="6" stopIfTrue="1">
      <formula>AND(COUNTIF($B$31:$B$65407,C24)+COUNTIF($B$1:$B$30,C24)&gt;1,NOT(ISBLANK(C24)))</formula>
    </cfRule>
    <cfRule type="expression" dxfId="5" priority="7" stopIfTrue="1">
      <formula>AND(COUNTIF($B$20:$B$65445,C24)+COUNTIF($B$1:$B$3,C24)&gt;1,NOT(ISBLANK(C24)))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>
    <tabColor rgb="FF00B050"/>
    <pageSetUpPr fitToPage="1"/>
  </sheetPr>
  <dimension ref="A1:AV36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18" sqref="A4:P18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hidden="1" customWidth="1"/>
    <col min="11" max="11" width="5.26666666666667" style="15" hidden="1" customWidth="1"/>
    <col min="12" max="12" width="11.725" style="15" customWidth="1"/>
    <col min="13" max="13" width="9.72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4.091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 customWidth="1"/>
    <col min="38" max="38" width="11.45" style="15" customWidth="1"/>
    <col min="39" max="40" width="9" style="15" customWidth="1"/>
    <col min="41" max="41" width="19" style="15" customWidth="1"/>
    <col min="42" max="42" width="12.2666666666667" style="15" customWidth="1"/>
    <col min="43" max="43" width="9" style="15" customWidth="1"/>
    <col min="44" max="44" width="7" style="15" customWidth="1"/>
    <col min="45" max="45" width="6.725" style="15" customWidth="1"/>
    <col min="46" max="46" width="6.09166666666667" style="15" customWidth="1"/>
    <col min="47" max="16384" width="9" style="15"/>
  </cols>
  <sheetData>
    <row r="1" s="10" customFormat="1" ht="29.25" customHeight="1" spans="1:45">
      <c r="A1" s="20" t="s">
        <v>105</v>
      </c>
      <c r="B1" s="21"/>
      <c r="C1" s="22"/>
      <c r="D1" s="23"/>
      <c r="E1" s="24"/>
      <c r="F1" s="24"/>
      <c r="G1" s="25"/>
      <c r="J1" s="60"/>
      <c r="L1" s="61"/>
      <c r="M1" s="62" t="s">
        <v>106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107</v>
      </c>
      <c r="C2" s="28" t="s">
        <v>108</v>
      </c>
      <c r="D2" s="28" t="s">
        <v>109</v>
      </c>
      <c r="E2" s="29" t="s">
        <v>110</v>
      </c>
      <c r="F2" s="30" t="s">
        <v>111</v>
      </c>
      <c r="G2" s="29" t="s">
        <v>112</v>
      </c>
      <c r="H2" s="29" t="s">
        <v>113</v>
      </c>
      <c r="I2" s="29" t="s">
        <v>114</v>
      </c>
      <c r="J2" s="63" t="s">
        <v>115</v>
      </c>
      <c r="K2" s="29" t="s">
        <v>116</v>
      </c>
      <c r="L2" s="29" t="s">
        <v>117</v>
      </c>
      <c r="M2" s="64" t="s">
        <v>118</v>
      </c>
      <c r="N2" s="65"/>
      <c r="O2" s="65"/>
      <c r="P2" s="66"/>
      <c r="Q2" s="30" t="s">
        <v>119</v>
      </c>
      <c r="R2" s="29" t="s">
        <v>120</v>
      </c>
      <c r="S2" s="30" t="s">
        <v>121</v>
      </c>
      <c r="T2" s="84" t="s">
        <v>122</v>
      </c>
      <c r="U2" s="30" t="s">
        <v>123</v>
      </c>
      <c r="V2" s="85" t="s">
        <v>124</v>
      </c>
      <c r="W2" s="86"/>
      <c r="X2" s="86"/>
      <c r="Y2" s="86"/>
      <c r="Z2" s="86"/>
      <c r="AA2" s="94"/>
      <c r="AB2" s="30" t="s">
        <v>125</v>
      </c>
      <c r="AC2" s="30" t="s">
        <v>126</v>
      </c>
      <c r="AD2" s="84" t="s">
        <v>127</v>
      </c>
      <c r="AE2" s="84" t="s">
        <v>128</v>
      </c>
      <c r="AF2" s="84" t="s">
        <v>129</v>
      </c>
      <c r="AG2" s="84" t="s">
        <v>130</v>
      </c>
      <c r="AH2" s="103" t="s">
        <v>131</v>
      </c>
      <c r="AI2" s="104" t="s">
        <v>132</v>
      </c>
      <c r="AJ2" s="103" t="s">
        <v>133</v>
      </c>
      <c r="AK2" s="28" t="s">
        <v>22</v>
      </c>
      <c r="AL2" s="103" t="s">
        <v>134</v>
      </c>
      <c r="AM2" s="29" t="s">
        <v>201</v>
      </c>
      <c r="AN2" s="29" t="s">
        <v>202</v>
      </c>
      <c r="AO2" s="114" t="s">
        <v>203</v>
      </c>
      <c r="AP2" s="29" t="s">
        <v>204</v>
      </c>
      <c r="AQ2" s="29" t="s">
        <v>205</v>
      </c>
      <c r="AR2" s="30" t="s">
        <v>206</v>
      </c>
      <c r="AS2" s="30" t="s">
        <v>207</v>
      </c>
      <c r="AT2" s="30" t="s">
        <v>208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135</v>
      </c>
      <c r="N3" s="68" t="s">
        <v>136</v>
      </c>
      <c r="O3" s="68" t="s">
        <v>137</v>
      </c>
      <c r="P3" s="68" t="s">
        <v>37</v>
      </c>
      <c r="Q3" s="35"/>
      <c r="R3" s="34"/>
      <c r="S3" s="35"/>
      <c r="T3" s="87"/>
      <c r="U3" s="35"/>
      <c r="V3" s="88" t="s">
        <v>138</v>
      </c>
      <c r="W3" s="88" t="s">
        <v>139</v>
      </c>
      <c r="X3" s="88" t="s">
        <v>140</v>
      </c>
      <c r="Y3" s="88" t="s">
        <v>141</v>
      </c>
      <c r="Z3" s="88" t="s">
        <v>142</v>
      </c>
      <c r="AA3" s="88" t="s">
        <v>143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8">
      <c r="A4" s="36">
        <v>1</v>
      </c>
      <c r="B4" s="37" t="s">
        <v>144</v>
      </c>
      <c r="C4" s="37" t="s">
        <v>61</v>
      </c>
      <c r="D4" s="37" t="s">
        <v>145</v>
      </c>
      <c r="E4" s="37" t="s">
        <v>62</v>
      </c>
      <c r="F4" s="38" t="s">
        <v>146</v>
      </c>
      <c r="G4" s="39">
        <v>13944441728</v>
      </c>
      <c r="H4" s="40"/>
      <c r="I4" s="40"/>
      <c r="J4" s="69"/>
      <c r="K4" s="40"/>
      <c r="L4" s="70">
        <f>VLOOKUP(C4,[2]Sheet1!$B$2:$C$16,2,0)</f>
        <v>8000</v>
      </c>
      <c r="M4" s="71">
        <f>VLOOKUP(C4,[2]Sheet1!$B$2:$D$16,3,0)</f>
        <v>319.46</v>
      </c>
      <c r="N4" s="71">
        <f>VLOOKUP(C4,[2]Sheet1!$B$2:$F$16,5,0)</f>
        <v>79.86</v>
      </c>
      <c r="O4" s="71">
        <f>VLOOKUP(C4,[2]Sheet1!$B$1:$E$16,4,0)</f>
        <v>11.98</v>
      </c>
      <c r="P4" s="71">
        <f>VLOOKUP(C4,[2]Sheet1!$B$2:$H$16,7,0)</f>
        <v>177.4</v>
      </c>
      <c r="Q4" s="89">
        <f t="shared" ref="Q4:Q7" si="0">ROUND(SUM(M4:P4),2)</f>
        <v>588.7</v>
      </c>
      <c r="R4" s="70">
        <v>0</v>
      </c>
      <c r="S4" s="90">
        <f>L4+IFERROR(VLOOKUP($E:$E,'（居民）工资表-4月'!$E:$S,15,0),0)</f>
        <v>32000</v>
      </c>
      <c r="T4" s="91">
        <f>5000+IFERROR(VLOOKUP($E:$E,'（居民）工资表-4月'!$E:$T,16,0),0)</f>
        <v>20000</v>
      </c>
      <c r="U4" s="91">
        <f>Q4+IFERROR(VLOOKUP($E:$E,'（居民）工资表-4月'!$E:$U,17,0),0)</f>
        <v>2419.46</v>
      </c>
      <c r="V4" s="70"/>
      <c r="W4" s="70"/>
      <c r="X4" s="70"/>
      <c r="Y4" s="70"/>
      <c r="Z4" s="70"/>
      <c r="AA4" s="70"/>
      <c r="AB4" s="90">
        <f t="shared" ref="AB4:AB7" si="1">ROUND(SUM(V4:AA4),2)</f>
        <v>0</v>
      </c>
      <c r="AC4" s="90">
        <f>R4+IFERROR(VLOOKUP($E:$E,'（居民）工资表-4月'!$E:$AC,25,0),0)</f>
        <v>0</v>
      </c>
      <c r="AD4" s="95">
        <f t="shared" ref="AD4:AD7" si="2">ROUND(S4-T4-U4-AB4-AC4,2)</f>
        <v>9580.54</v>
      </c>
      <c r="AE4" s="96">
        <f>ROUND(MAX((AD4)*{0.03;0.1;0.2;0.25;0.3;0.35;0.45}-{0;2520;16920;31920;52920;85920;181920},0),2)</f>
        <v>287.42</v>
      </c>
      <c r="AF4" s="97">
        <f>IFERROR(VLOOKUP(E:E,'（居民）工资表-4月'!E:AF,28,0)+VLOOKUP(E:E,'（居民）工资表-4月'!E:AG,29,0),0)</f>
        <v>215.08</v>
      </c>
      <c r="AG4" s="97">
        <f t="shared" ref="AG4:AG6" si="3">IF((AE4-AF4)&lt;0,0,AE4-AF4)</f>
        <v>72.34</v>
      </c>
      <c r="AH4" s="107">
        <f t="shared" ref="AH4:AH6" si="4">ROUND(IF((L4-Q4-AG4)&lt;0,0,(L4-Q4-AG4)),2)</f>
        <v>7338.96</v>
      </c>
      <c r="AI4" s="108"/>
      <c r="AJ4" s="107">
        <f t="shared" ref="AJ4:AJ7" si="5">AH4+AI4</f>
        <v>7338.96</v>
      </c>
      <c r="AK4" s="109"/>
      <c r="AL4" s="107">
        <f t="shared" ref="AL4:AL7" si="6">AJ4+AG4+AK4</f>
        <v>7411.3</v>
      </c>
      <c r="AM4" s="109"/>
      <c r="AN4" s="109"/>
      <c r="AO4" s="109"/>
      <c r="AP4" s="109"/>
      <c r="AQ4" s="109"/>
      <c r="AR4" s="116" t="str">
        <f t="shared" ref="AR4:AR7" si="7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>IF(SUMPRODUCT(N(E$1:E$7=E4))&gt;1,"重复","不")</f>
        <v>不</v>
      </c>
      <c r="AT4" s="116" t="str">
        <f>IF(SUMPRODUCT(N(AO$1:AO$7=AO4))&gt;1,"重复","不")</f>
        <v>重复</v>
      </c>
      <c r="AU4" s="12" t="s">
        <v>147</v>
      </c>
      <c r="AV4" s="12" t="s">
        <v>51</v>
      </c>
    </row>
    <row r="5" s="12" customFormat="1" ht="18" customHeight="1" spans="1:48">
      <c r="A5" s="36">
        <v>2</v>
      </c>
      <c r="B5" s="37" t="s">
        <v>144</v>
      </c>
      <c r="C5" s="37" t="s">
        <v>148</v>
      </c>
      <c r="D5" s="37" t="s">
        <v>145</v>
      </c>
      <c r="E5" s="329" t="s">
        <v>149</v>
      </c>
      <c r="F5" s="38" t="s">
        <v>150</v>
      </c>
      <c r="G5" s="39">
        <v>15360550807</v>
      </c>
      <c r="H5" s="40"/>
      <c r="I5" s="40"/>
      <c r="J5" s="69"/>
      <c r="K5" s="40"/>
      <c r="L5" s="70">
        <f>VLOOKUP(C5,[2]Sheet1!$B$2:$C$16,2,0)</f>
        <v>5700</v>
      </c>
      <c r="M5" s="71">
        <f>VLOOKUP(C5,[2]Sheet1!$B$2:$D$16,3,0)</f>
        <v>422.72</v>
      </c>
      <c r="N5" s="71">
        <f>VLOOKUP(C5,[2]Sheet1!$B$2:$F$16,5,0)</f>
        <v>119.92</v>
      </c>
      <c r="O5" s="71">
        <f>VLOOKUP(C5,[2]Sheet1!$B$1:$E$16,4,0)</f>
        <v>4.6</v>
      </c>
      <c r="P5" s="71">
        <f>VLOOKUP(C5,[2]Sheet1!$B$2:$H$16,7,0)</f>
        <v>115</v>
      </c>
      <c r="Q5" s="89">
        <f t="shared" si="0"/>
        <v>662.24</v>
      </c>
      <c r="R5" s="70">
        <v>0</v>
      </c>
      <c r="S5" s="90">
        <f>L5+IFERROR(VLOOKUP($E:$E,'（居民）工资表-4月'!$E:$S,15,0),0)</f>
        <v>23720</v>
      </c>
      <c r="T5" s="91">
        <f>5000+IFERROR(VLOOKUP($E:$E,'（居民）工资表-4月'!$E:$T,16,0),0)</f>
        <v>20000</v>
      </c>
      <c r="U5" s="91">
        <f>Q5+IFERROR(VLOOKUP($E:$E,'（居民）工资表-4月'!$E:$U,17,0),0)</f>
        <v>2818.88</v>
      </c>
      <c r="V5" s="70"/>
      <c r="W5" s="70"/>
      <c r="X5" s="70"/>
      <c r="Y5" s="70"/>
      <c r="Z5" s="70"/>
      <c r="AA5" s="70"/>
      <c r="AB5" s="90">
        <f t="shared" si="1"/>
        <v>0</v>
      </c>
      <c r="AC5" s="90">
        <f>R5+IFERROR(VLOOKUP($E:$E,'（居民）工资表-4月'!$E:$AC,25,0),0)</f>
        <v>0</v>
      </c>
      <c r="AD5" s="95">
        <f t="shared" si="2"/>
        <v>901.12</v>
      </c>
      <c r="AE5" s="96">
        <f>ROUND(MAX((AD5)*{0.03;0.1;0.2;0.25;0.3;0.35;0.45}-{0;2520;16920;31920;52920;85920;181920},0),2)</f>
        <v>27.03</v>
      </c>
      <c r="AF5" s="97">
        <f>IFERROR(VLOOKUP(E:E,'（居民）工资表-4月'!E:AF,28,0)+VLOOKUP(E:E,'（居民）工资表-4月'!E:AG,29,0),0)</f>
        <v>25.9</v>
      </c>
      <c r="AG5" s="97">
        <f t="shared" si="3"/>
        <v>1.13</v>
      </c>
      <c r="AH5" s="107">
        <f t="shared" si="4"/>
        <v>5036.63</v>
      </c>
      <c r="AI5" s="108"/>
      <c r="AJ5" s="107">
        <f t="shared" si="5"/>
        <v>5036.63</v>
      </c>
      <c r="AK5" s="109"/>
      <c r="AL5" s="107">
        <f t="shared" si="6"/>
        <v>5037.76</v>
      </c>
      <c r="AM5" s="109"/>
      <c r="AN5" s="109"/>
      <c r="AO5" s="109"/>
      <c r="AP5" s="109"/>
      <c r="AQ5" s="109"/>
      <c r="AR5" s="116" t="str">
        <f t="shared" si="7"/>
        <v>正确</v>
      </c>
      <c r="AS5" s="116" t="str">
        <f>IF(SUMPRODUCT(N(E$1:E$7=E5))&gt;1,"重复","不")</f>
        <v>不</v>
      </c>
      <c r="AT5" s="116" t="str">
        <f>IF(SUMPRODUCT(N(AO$1:AO$7=AO5))&gt;1,"重复","不")</f>
        <v>重复</v>
      </c>
      <c r="AU5" s="12" t="s">
        <v>50</v>
      </c>
      <c r="AV5" s="12" t="s">
        <v>51</v>
      </c>
    </row>
    <row r="6" s="12" customFormat="1" ht="18" customHeight="1" spans="1:48">
      <c r="A6" s="36">
        <v>3</v>
      </c>
      <c r="B6" s="37" t="s">
        <v>144</v>
      </c>
      <c r="C6" s="37" t="s">
        <v>151</v>
      </c>
      <c r="D6" s="37" t="s">
        <v>145</v>
      </c>
      <c r="E6" s="329" t="s">
        <v>152</v>
      </c>
      <c r="F6" s="38" t="s">
        <v>146</v>
      </c>
      <c r="G6" s="39" t="s">
        <v>153</v>
      </c>
      <c r="H6" s="40"/>
      <c r="I6" s="40"/>
      <c r="J6" s="69"/>
      <c r="K6" s="40"/>
      <c r="L6" s="70">
        <f>VLOOKUP(C6,[2]Sheet1!$B$2:$C$16,2,0)</f>
        <v>30060</v>
      </c>
      <c r="M6" s="71">
        <f>VLOOKUP(C6,[2]Sheet1!$B$2:$D$16,3,0)</f>
        <v>584.8</v>
      </c>
      <c r="N6" s="71">
        <f>VLOOKUP(C6,[2]Sheet1!$B$2:$F$16,5,0)</f>
        <v>146.2</v>
      </c>
      <c r="O6" s="71">
        <f>VLOOKUP(C6,[2]Sheet1!$B$1:$E$16,4,0)</f>
        <v>36.55</v>
      </c>
      <c r="P6" s="71">
        <f>VLOOKUP(C6,[2]Sheet1!$B$2:$H$16,7,0)</f>
        <v>181</v>
      </c>
      <c r="Q6" s="89">
        <f t="shared" si="0"/>
        <v>948.55</v>
      </c>
      <c r="R6" s="70">
        <v>0</v>
      </c>
      <c r="S6" s="90">
        <f>L6+IFERROR(VLOOKUP($E:$E,'（居民）工资表-4月'!$E:$S,15,0),0)</f>
        <v>120240</v>
      </c>
      <c r="T6" s="91">
        <f>5000+IFERROR(VLOOKUP($E:$E,'（居民）工资表-4月'!$E:$T,16,0),0)</f>
        <v>20000</v>
      </c>
      <c r="U6" s="91">
        <f>Q6+IFERROR(VLOOKUP($E:$E,'（居民）工资表-4月'!$E:$U,17,0),0)</f>
        <v>3823.74</v>
      </c>
      <c r="V6" s="70"/>
      <c r="W6" s="70"/>
      <c r="X6" s="70"/>
      <c r="Y6" s="70"/>
      <c r="Z6" s="70"/>
      <c r="AA6" s="70"/>
      <c r="AB6" s="90">
        <f t="shared" si="1"/>
        <v>0</v>
      </c>
      <c r="AC6" s="90">
        <f>R6+IFERROR(VLOOKUP($E:$E,'（居民）工资表-4月'!$E:$AC,25,0),0)</f>
        <v>0</v>
      </c>
      <c r="AD6" s="95">
        <f t="shared" si="2"/>
        <v>96416.26</v>
      </c>
      <c r="AE6" s="96">
        <f>ROUND(MAX((AD6)*{0.03;0.1;0.2;0.25;0.3;0.35;0.45}-{0;2520;16920;31920;52920;85920;181920},0),2)</f>
        <v>7121.63</v>
      </c>
      <c r="AF6" s="97">
        <f>IFERROR(VLOOKUP(E:E,'（居民）工资表-4月'!E:AF,28,0)+VLOOKUP(E:E,'（居民）工资表-4月'!E:AG,29,0),0)</f>
        <v>4710.48</v>
      </c>
      <c r="AG6" s="97">
        <f t="shared" si="3"/>
        <v>2411.15</v>
      </c>
      <c r="AH6" s="107">
        <f t="shared" si="4"/>
        <v>26700.3</v>
      </c>
      <c r="AI6" s="108"/>
      <c r="AJ6" s="107">
        <f t="shared" si="5"/>
        <v>26700.3</v>
      </c>
      <c r="AK6" s="109"/>
      <c r="AL6" s="107">
        <f t="shared" si="6"/>
        <v>29111.45</v>
      </c>
      <c r="AM6" s="109"/>
      <c r="AN6" s="109"/>
      <c r="AO6" s="109"/>
      <c r="AP6" s="109"/>
      <c r="AQ6" s="109"/>
      <c r="AR6" s="116" t="str">
        <f t="shared" si="7"/>
        <v>正确</v>
      </c>
      <c r="AS6" s="116" t="str">
        <f>IF(SUMPRODUCT(N(E$1:E$7=E6))&gt;1,"重复","不")</f>
        <v>不</v>
      </c>
      <c r="AT6" s="116" t="str">
        <f>IF(SUMPRODUCT(N(AO$1:AO$7=AO6))&gt;1,"重复","不")</f>
        <v>重复</v>
      </c>
      <c r="AU6" s="12" t="s">
        <v>154</v>
      </c>
      <c r="AV6" s="12" t="s">
        <v>155</v>
      </c>
    </row>
    <row r="7" s="12" customFormat="1" ht="18" customHeight="1" spans="1:48">
      <c r="A7" s="36">
        <v>4</v>
      </c>
      <c r="B7" s="37" t="s">
        <v>144</v>
      </c>
      <c r="C7" s="37" t="s">
        <v>156</v>
      </c>
      <c r="D7" s="37" t="s">
        <v>145</v>
      </c>
      <c r="E7" s="329" t="s">
        <v>157</v>
      </c>
      <c r="F7" s="38" t="s">
        <v>146</v>
      </c>
      <c r="G7" s="39" t="s">
        <v>158</v>
      </c>
      <c r="H7" s="40"/>
      <c r="I7" s="40"/>
      <c r="J7" s="69"/>
      <c r="K7" s="40"/>
      <c r="L7" s="70">
        <f>VLOOKUP(C7,[2]Sheet1!$B$2:$C$16,2,0)</f>
        <v>9000</v>
      </c>
      <c r="M7" s="71">
        <f>VLOOKUP(C7,[2]Sheet1!$B$2:$D$16,3,0)</f>
        <v>321.52</v>
      </c>
      <c r="N7" s="71">
        <f>VLOOKUP(C7,[2]Sheet1!$B$2:$F$16,5,0)</f>
        <v>89.09</v>
      </c>
      <c r="O7" s="71">
        <f>VLOOKUP(C7,[2]Sheet1!$B$1:$E$16,4,0)</f>
        <v>20.1</v>
      </c>
      <c r="P7" s="71">
        <f>VLOOKUP(C7,[2]Sheet1!$B$2:$H$16,7,0)</f>
        <v>97</v>
      </c>
      <c r="Q7" s="89">
        <f t="shared" si="0"/>
        <v>527.71</v>
      </c>
      <c r="R7" s="70">
        <v>0</v>
      </c>
      <c r="S7" s="90">
        <f>L7+IFERROR(VLOOKUP($E:$E,'（居民）工资表-4月'!$E:$S,15,0),0)</f>
        <v>35000</v>
      </c>
      <c r="T7" s="91">
        <f>5000+IFERROR(VLOOKUP($E:$E,'（居民）工资表-4月'!$E:$T,16,0),0)</f>
        <v>20000</v>
      </c>
      <c r="U7" s="91">
        <f>Q7+IFERROR(VLOOKUP($E:$E,'（居民）工资表-4月'!$E:$U,17,0),0)</f>
        <v>2155.42</v>
      </c>
      <c r="V7" s="70"/>
      <c r="W7" s="70"/>
      <c r="X7" s="70"/>
      <c r="Y7" s="70"/>
      <c r="Z7" s="70"/>
      <c r="AA7" s="70"/>
      <c r="AB7" s="90">
        <f t="shared" si="1"/>
        <v>0</v>
      </c>
      <c r="AC7" s="90">
        <f>R7+IFERROR(VLOOKUP($E:$E,'（居民）工资表-4月'!$E:$AC,25,0),0)</f>
        <v>0</v>
      </c>
      <c r="AD7" s="95">
        <f t="shared" si="2"/>
        <v>12844.58</v>
      </c>
      <c r="AE7" s="96">
        <f>ROUND(MAX((AD7)*{0.03;0.1;0.2;0.25;0.3;0.35;0.45}-{0;2520;16920;31920;52920;85920;181920},0),2)</f>
        <v>385.34</v>
      </c>
      <c r="AF7" s="97">
        <f>IFERROR(VLOOKUP(E:E,'（居民）工资表-4月'!E:AF,28,0)+VLOOKUP(E:E,'（居民）工资表-4月'!E:AG,29,0),0)</f>
        <v>281.17</v>
      </c>
      <c r="AG7" s="97">
        <f t="shared" ref="AG7:AG19" si="8">IF((AE7-AF7)&lt;0,0,AE7-AF7)</f>
        <v>104.17</v>
      </c>
      <c r="AH7" s="107">
        <f t="shared" ref="AH7:AH19" si="9">ROUND(IF((L7-Q7-AG7)&lt;0,0,(L7-Q7-AG7)),2)</f>
        <v>8368.12</v>
      </c>
      <c r="AI7" s="108"/>
      <c r="AJ7" s="107">
        <f t="shared" si="5"/>
        <v>8368.12</v>
      </c>
      <c r="AK7" s="109"/>
      <c r="AL7" s="107">
        <f t="shared" si="6"/>
        <v>8472.29</v>
      </c>
      <c r="AM7" s="109"/>
      <c r="AN7" s="109"/>
      <c r="AO7" s="109"/>
      <c r="AP7" s="109"/>
      <c r="AQ7" s="109"/>
      <c r="AR7" s="116" t="str">
        <f t="shared" si="7"/>
        <v>正确</v>
      </c>
      <c r="AS7" s="116" t="str">
        <f>IF(SUMPRODUCT(N(E$1:E$7=E7))&gt;1,"重复","不")</f>
        <v>不</v>
      </c>
      <c r="AT7" s="116" t="str">
        <f>IF(SUMPRODUCT(N(AO$1:AO$7=AO7))&gt;1,"重复","不")</f>
        <v>重复</v>
      </c>
      <c r="AU7" s="12" t="s">
        <v>159</v>
      </c>
      <c r="AV7" s="12" t="s">
        <v>51</v>
      </c>
    </row>
    <row r="8" s="12" customFormat="1" ht="18" customHeight="1" spans="1:48">
      <c r="A8" s="36">
        <v>5</v>
      </c>
      <c r="B8" s="37" t="s">
        <v>144</v>
      </c>
      <c r="C8" s="37" t="s">
        <v>160</v>
      </c>
      <c r="D8" s="37" t="s">
        <v>145</v>
      </c>
      <c r="E8" s="329" t="s">
        <v>161</v>
      </c>
      <c r="F8" s="38" t="s">
        <v>146</v>
      </c>
      <c r="G8" s="39">
        <v>19356875630</v>
      </c>
      <c r="H8" s="40"/>
      <c r="I8" s="40"/>
      <c r="J8" s="69"/>
      <c r="K8" s="40"/>
      <c r="L8" s="70">
        <f>VLOOKUP(C8,[2]Sheet1!$B$2:$C$16,2,0)</f>
        <v>10500</v>
      </c>
      <c r="M8" s="71">
        <f>VLOOKUP(C8,[2]Sheet1!$B$2:$D$16,3,0)</f>
        <v>321.52</v>
      </c>
      <c r="N8" s="71">
        <f>VLOOKUP(C8,[2]Sheet1!$B$2:$F$16,5,0)</f>
        <v>86.38</v>
      </c>
      <c r="O8" s="71">
        <f>VLOOKUP(C8,[2]Sheet1!$B$1:$E$16,4,0)</f>
        <v>20.1</v>
      </c>
      <c r="P8" s="71">
        <f>VLOOKUP(C8,[2]Sheet1!$B$2:$H$16,7,0)</f>
        <v>344</v>
      </c>
      <c r="Q8" s="89">
        <f t="shared" ref="Q8:Q19" si="10">ROUND(SUM(M8:P8),2)</f>
        <v>772</v>
      </c>
      <c r="R8" s="70">
        <v>0</v>
      </c>
      <c r="S8" s="90">
        <f>L8+IFERROR(VLOOKUP($E:$E,'（居民）工资表-4月'!$E:$S,15,0),0)</f>
        <v>42000</v>
      </c>
      <c r="T8" s="91">
        <f>5000+IFERROR(VLOOKUP($E:$E,'（居民）工资表-4月'!$E:$T,16,0),0)</f>
        <v>20000</v>
      </c>
      <c r="U8" s="91">
        <f>Q8+IFERROR(VLOOKUP($E:$E,'（居民）工资表-4月'!$E:$U,17,0),0)</f>
        <v>3131.68</v>
      </c>
      <c r="V8" s="70"/>
      <c r="W8" s="70"/>
      <c r="X8" s="70"/>
      <c r="Y8" s="70"/>
      <c r="Z8" s="70"/>
      <c r="AA8" s="70"/>
      <c r="AB8" s="90">
        <f t="shared" ref="AB8:AB19" si="11">ROUND(SUM(V8:AA8),2)</f>
        <v>0</v>
      </c>
      <c r="AC8" s="90">
        <f>R8+IFERROR(VLOOKUP($E:$E,'（居民）工资表-4月'!$E:$AC,25,0),0)</f>
        <v>0</v>
      </c>
      <c r="AD8" s="95">
        <f t="shared" ref="AD8:AD19" si="12">ROUND(S8-T8-U8-AB8-AC8,2)</f>
        <v>18868.32</v>
      </c>
      <c r="AE8" s="96">
        <f>ROUND(MAX((AD8)*{0.03;0.1;0.2;0.25;0.3;0.35;0.45}-{0;2520;16920;31920;52920;85920;181920},0),2)</f>
        <v>566.05</v>
      </c>
      <c r="AF8" s="97">
        <f>IFERROR(VLOOKUP(E:E,'（居民）工资表-4月'!E:AF,28,0)+VLOOKUP(E:E,'（居民）工资表-4月'!E:AG,29,0),0)</f>
        <v>424.21</v>
      </c>
      <c r="AG8" s="97">
        <f t="shared" si="8"/>
        <v>141.84</v>
      </c>
      <c r="AH8" s="107">
        <f t="shared" si="9"/>
        <v>9586.16</v>
      </c>
      <c r="AI8" s="108"/>
      <c r="AJ8" s="107">
        <f t="shared" ref="AJ8:AJ19" si="13">AH8+AI8</f>
        <v>9586.16</v>
      </c>
      <c r="AK8" s="109"/>
      <c r="AL8" s="107">
        <f t="shared" ref="AL8:AL19" si="14">AJ8+AG8+AK8</f>
        <v>9728</v>
      </c>
      <c r="AM8" s="109"/>
      <c r="AN8" s="109"/>
      <c r="AO8" s="109"/>
      <c r="AP8" s="109"/>
      <c r="AQ8" s="109"/>
      <c r="AR8" s="116" t="str">
        <f t="shared" ref="AR8:AR19" si="15">IF(LEN(E8)=18,IF(RIGHT(E8,1)="X"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,"正确","错误")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*1,"正确","错误")),IF(LEN(E8)=15,"老号，请注意！",IF(LEN(E8)=0,"未填写身份证号码","位数不对！")))</f>
        <v>正确</v>
      </c>
      <c r="AS8" s="116" t="str">
        <f t="shared" ref="AS8:AS16" si="16">IF(SUMPRODUCT(N(E$1:E$7=E8))&gt;1,"重复","不")</f>
        <v>不</v>
      </c>
      <c r="AT8" s="116" t="str">
        <f t="shared" ref="AT8:AT16" si="17">IF(SUMPRODUCT(N(AO$1:AO$7=AO8))&gt;1,"重复","不")</f>
        <v>重复</v>
      </c>
      <c r="AU8" s="12" t="s">
        <v>159</v>
      </c>
      <c r="AV8" s="12" t="s">
        <v>51</v>
      </c>
    </row>
    <row r="9" s="12" customFormat="1" ht="18" customHeight="1" spans="1:48">
      <c r="A9" s="36">
        <v>6</v>
      </c>
      <c r="B9" s="37" t="s">
        <v>144</v>
      </c>
      <c r="C9" s="37" t="s">
        <v>162</v>
      </c>
      <c r="D9" s="37" t="s">
        <v>145</v>
      </c>
      <c r="E9" s="329" t="s">
        <v>163</v>
      </c>
      <c r="F9" s="38" t="s">
        <v>146</v>
      </c>
      <c r="G9" s="39">
        <v>13973652684</v>
      </c>
      <c r="H9" s="40"/>
      <c r="I9" s="40"/>
      <c r="J9" s="69"/>
      <c r="K9" s="40"/>
      <c r="L9" s="70">
        <f>VLOOKUP(C9,[2]Sheet1!$B$2:$C$16,2,0)</f>
        <v>6500</v>
      </c>
      <c r="M9" s="71">
        <f>VLOOKUP(C9,[2]Sheet1!$B$2:$D$16,3,0)</f>
        <v>324.24</v>
      </c>
      <c r="N9" s="71">
        <f>VLOOKUP(C9,[2]Sheet1!$B$2:$F$16,5,0)</f>
        <v>90.4</v>
      </c>
      <c r="O9" s="71">
        <f>VLOOKUP(C9,[2]Sheet1!$B$1:$E$16,4,0)</f>
        <v>12.16</v>
      </c>
      <c r="P9" s="71">
        <f>VLOOKUP(C9,[2]Sheet1!$B$2:$H$16,7,0)</f>
        <v>100</v>
      </c>
      <c r="Q9" s="89">
        <f t="shared" si="10"/>
        <v>526.8</v>
      </c>
      <c r="R9" s="70">
        <v>0</v>
      </c>
      <c r="S9" s="90">
        <f>L9+IFERROR(VLOOKUP($E:$E,'（居民）工资表-4月'!$E:$S,15,0),0)</f>
        <v>26000</v>
      </c>
      <c r="T9" s="91">
        <f>5000+IFERROR(VLOOKUP($E:$E,'（居民）工资表-4月'!$E:$T,16,0),0)</f>
        <v>20000</v>
      </c>
      <c r="U9" s="91">
        <f>Q9+IFERROR(VLOOKUP($E:$E,'（居民）工资表-4月'!$E:$U,17,0),0)</f>
        <v>2206.45</v>
      </c>
      <c r="V9" s="70"/>
      <c r="W9" s="70"/>
      <c r="X9" s="70"/>
      <c r="Y9" s="70"/>
      <c r="Z9" s="70"/>
      <c r="AA9" s="70"/>
      <c r="AB9" s="90">
        <f t="shared" si="11"/>
        <v>0</v>
      </c>
      <c r="AC9" s="90">
        <f>R9+IFERROR(VLOOKUP($E:$E,'（居民）工资表-4月'!$E:$AC,25,0),0)</f>
        <v>0</v>
      </c>
      <c r="AD9" s="95">
        <f t="shared" si="12"/>
        <v>3793.55</v>
      </c>
      <c r="AE9" s="96">
        <f>ROUND(MAX((AD9)*{0.03;0.1;0.2;0.25;0.3;0.35;0.45}-{0;2520;16920;31920;52920;85920;181920},0),2)</f>
        <v>113.81</v>
      </c>
      <c r="AF9" s="97">
        <f>IFERROR(VLOOKUP(E:E,'（居民）工资表-4月'!E:AF,28,0)+VLOOKUP(E:E,'（居民）工资表-4月'!E:AG,29,0),0)</f>
        <v>84.61</v>
      </c>
      <c r="AG9" s="97">
        <f t="shared" si="8"/>
        <v>29.2</v>
      </c>
      <c r="AH9" s="107">
        <f t="shared" si="9"/>
        <v>5944</v>
      </c>
      <c r="AI9" s="108"/>
      <c r="AJ9" s="107">
        <f t="shared" si="13"/>
        <v>5944</v>
      </c>
      <c r="AK9" s="109"/>
      <c r="AL9" s="107">
        <f t="shared" si="14"/>
        <v>5973.2</v>
      </c>
      <c r="AM9" s="109"/>
      <c r="AN9" s="109"/>
      <c r="AO9" s="109"/>
      <c r="AP9" s="109"/>
      <c r="AQ9" s="109"/>
      <c r="AR9" s="116" t="str">
        <f t="shared" si="15"/>
        <v>正确</v>
      </c>
      <c r="AS9" s="116" t="str">
        <f t="shared" si="16"/>
        <v>不</v>
      </c>
      <c r="AT9" s="116" t="str">
        <f t="shared" si="17"/>
        <v>重复</v>
      </c>
      <c r="AU9" s="12" t="s">
        <v>164</v>
      </c>
      <c r="AV9" s="12" t="s">
        <v>51</v>
      </c>
    </row>
    <row r="10" s="12" customFormat="1" ht="18" customHeight="1" spans="1:48">
      <c r="A10" s="36">
        <v>7</v>
      </c>
      <c r="B10" s="37" t="s">
        <v>144</v>
      </c>
      <c r="C10" s="37" t="s">
        <v>165</v>
      </c>
      <c r="D10" s="37" t="s">
        <v>145</v>
      </c>
      <c r="E10" s="329" t="s">
        <v>166</v>
      </c>
      <c r="F10" s="38" t="s">
        <v>150</v>
      </c>
      <c r="G10" s="39" t="s">
        <v>167</v>
      </c>
      <c r="H10" s="40"/>
      <c r="I10" s="40"/>
      <c r="J10" s="69"/>
      <c r="K10" s="40"/>
      <c r="L10" s="70">
        <f>VLOOKUP(C10,[2]Sheet1!$B$2:$C$16,2,0)</f>
        <v>4525.84</v>
      </c>
      <c r="M10" s="71">
        <f>VLOOKUP(C10,[2]Sheet1!$B$2:$D$16,3,0)</f>
        <v>380.08</v>
      </c>
      <c r="N10" s="71">
        <f>VLOOKUP(C10,[2]Sheet1!$B$2:$F$16,5,0)</f>
        <v>117.02</v>
      </c>
      <c r="O10" s="71">
        <f>VLOOKUP(C10,[2]Sheet1!$B$1:$E$16,4,0)</f>
        <v>23.76</v>
      </c>
      <c r="P10" s="71">
        <f>VLOOKUP(C10,[2]Sheet1!$B$2:$H$16,7,0)</f>
        <v>109</v>
      </c>
      <c r="Q10" s="89">
        <f t="shared" si="10"/>
        <v>629.86</v>
      </c>
      <c r="R10" s="70">
        <v>0</v>
      </c>
      <c r="S10" s="90">
        <f>L10+IFERROR(VLOOKUP($E:$E,'（居民）工资表-4月'!$E:$S,15,0),0)</f>
        <v>17897.48</v>
      </c>
      <c r="T10" s="91">
        <f>5000+IFERROR(VLOOKUP($E:$E,'（居民）工资表-4月'!$E:$T,16,0),0)</f>
        <v>20000</v>
      </c>
      <c r="U10" s="91">
        <f>Q10+IFERROR(VLOOKUP($E:$E,'（居民）工资表-4月'!$E:$U,17,0),0)</f>
        <v>2588.46</v>
      </c>
      <c r="V10" s="70"/>
      <c r="W10" s="70"/>
      <c r="X10" s="70"/>
      <c r="Y10" s="70"/>
      <c r="Z10" s="70"/>
      <c r="AA10" s="70"/>
      <c r="AB10" s="90">
        <f t="shared" si="11"/>
        <v>0</v>
      </c>
      <c r="AC10" s="90">
        <f>R10+IFERROR(VLOOKUP($E:$E,'（居民）工资表-4月'!$E:$AC,25,0),0)</f>
        <v>0</v>
      </c>
      <c r="AD10" s="95">
        <f t="shared" si="12"/>
        <v>-4690.98</v>
      </c>
      <c r="AE10" s="96">
        <f>ROUND(MAX((AD10)*{0.03;0.1;0.2;0.25;0.3;0.35;0.45}-{0;2520;16920;31920;52920;85920;181920},0),2)</f>
        <v>0</v>
      </c>
      <c r="AF10" s="97">
        <f>IFERROR(VLOOKUP(E:E,'（居民）工资表-4月'!E:AF,28,0)+VLOOKUP(E:E,'（居民）工资表-4月'!E:AG,29,0),0)</f>
        <v>0</v>
      </c>
      <c r="AG10" s="97">
        <f t="shared" si="8"/>
        <v>0</v>
      </c>
      <c r="AH10" s="107">
        <f t="shared" si="9"/>
        <v>3895.98</v>
      </c>
      <c r="AI10" s="108"/>
      <c r="AJ10" s="107">
        <f t="shared" si="13"/>
        <v>3895.98</v>
      </c>
      <c r="AK10" s="109"/>
      <c r="AL10" s="107">
        <f t="shared" si="14"/>
        <v>3895.98</v>
      </c>
      <c r="AM10" s="109"/>
      <c r="AN10" s="109"/>
      <c r="AO10" s="109"/>
      <c r="AP10" s="109"/>
      <c r="AQ10" s="109"/>
      <c r="AR10" s="116" t="str">
        <f t="shared" si="15"/>
        <v>正确</v>
      </c>
      <c r="AS10" s="116" t="str">
        <f t="shared" si="16"/>
        <v>不</v>
      </c>
      <c r="AT10" s="116" t="str">
        <f t="shared" si="17"/>
        <v>重复</v>
      </c>
      <c r="AU10" s="12" t="s">
        <v>168</v>
      </c>
      <c r="AV10" s="12" t="s">
        <v>169</v>
      </c>
    </row>
    <row r="11" s="12" customFormat="1" ht="18" customHeight="1" spans="1:48">
      <c r="A11" s="36">
        <v>8</v>
      </c>
      <c r="B11" s="37" t="s">
        <v>144</v>
      </c>
      <c r="C11" s="37" t="s">
        <v>170</v>
      </c>
      <c r="D11" s="37" t="s">
        <v>145</v>
      </c>
      <c r="E11" s="329" t="s">
        <v>171</v>
      </c>
      <c r="F11" s="38" t="s">
        <v>146</v>
      </c>
      <c r="G11" s="39">
        <v>18356553626</v>
      </c>
      <c r="H11" s="40"/>
      <c r="I11" s="40"/>
      <c r="J11" s="69"/>
      <c r="K11" s="40"/>
      <c r="L11" s="70">
        <f>VLOOKUP(C11,[2]Sheet1!$B$2:$C$16,2,0)</f>
        <v>8500</v>
      </c>
      <c r="M11" s="71">
        <f>VLOOKUP(C11,[2]Sheet1!$B$2:$D$16,3,0)</f>
        <v>321.52</v>
      </c>
      <c r="N11" s="71">
        <f>VLOOKUP(C11,[2]Sheet1!$B$2:$F$16,5,0)</f>
        <v>120.38</v>
      </c>
      <c r="O11" s="71">
        <f>VLOOKUP(C11,[2]Sheet1!$B$1:$E$16,4,0)</f>
        <v>20.1</v>
      </c>
      <c r="P11" s="71">
        <f>VLOOKUP(C11,[2]Sheet1!$B$2:$H$16,7,0)</f>
        <v>97</v>
      </c>
      <c r="Q11" s="89">
        <f t="shared" si="10"/>
        <v>559</v>
      </c>
      <c r="R11" s="70">
        <v>0</v>
      </c>
      <c r="S11" s="90">
        <f>L11+IFERROR(VLOOKUP($E:$E,'（居民）工资表-4月'!$E:$S,15,0),0)</f>
        <v>35000</v>
      </c>
      <c r="T11" s="91">
        <f>5000+IFERROR(VLOOKUP($E:$E,'（居民）工资表-4月'!$E:$T,16,0),0)</f>
        <v>20000</v>
      </c>
      <c r="U11" s="91">
        <f>Q11+IFERROR(VLOOKUP($E:$E,'（居民）工资表-4月'!$E:$U,17,0),0)</f>
        <v>2279.68</v>
      </c>
      <c r="V11" s="70"/>
      <c r="W11" s="70"/>
      <c r="X11" s="70"/>
      <c r="Y11" s="70"/>
      <c r="Z11" s="70"/>
      <c r="AA11" s="70"/>
      <c r="AB11" s="90">
        <f t="shared" si="11"/>
        <v>0</v>
      </c>
      <c r="AC11" s="90">
        <f>R11+IFERROR(VLOOKUP($E:$E,'（居民）工资表-4月'!$E:$AC,25,0),0)</f>
        <v>0</v>
      </c>
      <c r="AD11" s="95">
        <f t="shared" si="12"/>
        <v>12720.32</v>
      </c>
      <c r="AE11" s="96">
        <f>ROUND(MAX((AD11)*{0.03;0.1;0.2;0.25;0.3;0.35;0.45}-{0;2520;16920;31920;52920;85920;181920},0),2)</f>
        <v>381.61</v>
      </c>
      <c r="AF11" s="97">
        <f>IFERROR(VLOOKUP(E:E,'（居民）工资表-4月'!E:AF,28,0)+VLOOKUP(E:E,'（居民）工资表-4月'!E:AG,29,0),0)</f>
        <v>293.38</v>
      </c>
      <c r="AG11" s="97">
        <f t="shared" si="8"/>
        <v>88.23</v>
      </c>
      <c r="AH11" s="107">
        <f t="shared" si="9"/>
        <v>7852.77</v>
      </c>
      <c r="AI11" s="108"/>
      <c r="AJ11" s="107">
        <f t="shared" si="13"/>
        <v>7852.77</v>
      </c>
      <c r="AK11" s="109"/>
      <c r="AL11" s="107">
        <f t="shared" si="14"/>
        <v>7941</v>
      </c>
      <c r="AM11" s="109"/>
      <c r="AN11" s="109"/>
      <c r="AO11" s="109"/>
      <c r="AP11" s="109"/>
      <c r="AQ11" s="109"/>
      <c r="AR11" s="116" t="str">
        <f t="shared" si="15"/>
        <v>正确</v>
      </c>
      <c r="AS11" s="116" t="str">
        <f t="shared" si="16"/>
        <v>不</v>
      </c>
      <c r="AT11" s="116" t="str">
        <f t="shared" si="17"/>
        <v>重复</v>
      </c>
      <c r="AU11" s="12" t="s">
        <v>172</v>
      </c>
      <c r="AV11" s="12" t="s">
        <v>173</v>
      </c>
    </row>
    <row r="12" s="12" customFormat="1" ht="18" customHeight="1" spans="1:48">
      <c r="A12" s="36">
        <v>9</v>
      </c>
      <c r="B12" s="37" t="s">
        <v>144</v>
      </c>
      <c r="C12" s="37" t="s">
        <v>174</v>
      </c>
      <c r="D12" s="37" t="s">
        <v>145</v>
      </c>
      <c r="E12" s="329" t="s">
        <v>175</v>
      </c>
      <c r="F12" s="38" t="s">
        <v>146</v>
      </c>
      <c r="G12" s="39">
        <v>18326897140</v>
      </c>
      <c r="H12" s="40"/>
      <c r="I12" s="40"/>
      <c r="J12" s="69"/>
      <c r="K12" s="40"/>
      <c r="L12" s="70">
        <f>VLOOKUP(C12,[2]Sheet1!$B$2:$C$16,2,0)</f>
        <v>7000</v>
      </c>
      <c r="M12" s="71">
        <f>VLOOKUP(C12,[2]Sheet1!$B$2:$D$16,3,0)</f>
        <v>321.52</v>
      </c>
      <c r="N12" s="71">
        <f>VLOOKUP(C12,[2]Sheet1!$B$2:$F$16,5,0)</f>
        <v>86.38</v>
      </c>
      <c r="O12" s="71">
        <f>VLOOKUP(C12,[2]Sheet1!$B$1:$E$16,4,0)</f>
        <v>20.1</v>
      </c>
      <c r="P12" s="71">
        <f>VLOOKUP(C12,[2]Sheet1!$B$2:$H$16,7,0)</f>
        <v>344</v>
      </c>
      <c r="Q12" s="89">
        <f t="shared" si="10"/>
        <v>772</v>
      </c>
      <c r="R12" s="70">
        <v>0</v>
      </c>
      <c r="S12" s="90">
        <f>L12+IFERROR(VLOOKUP($E:$E,'（居民）工资表-4月'!$E:$S,15,0),0)</f>
        <v>29000</v>
      </c>
      <c r="T12" s="91">
        <f>5000+IFERROR(VLOOKUP($E:$E,'（居民）工资表-4月'!$E:$T,16,0),0)</f>
        <v>20000</v>
      </c>
      <c r="U12" s="91">
        <f>Q12+IFERROR(VLOOKUP($E:$E,'（居民）工资表-4月'!$E:$U,17,0),0)</f>
        <v>3131.68</v>
      </c>
      <c r="V12" s="70"/>
      <c r="W12" s="70"/>
      <c r="X12" s="70"/>
      <c r="Y12" s="70"/>
      <c r="Z12" s="70"/>
      <c r="AA12" s="70"/>
      <c r="AB12" s="90">
        <f t="shared" si="11"/>
        <v>0</v>
      </c>
      <c r="AC12" s="90">
        <f>R12+IFERROR(VLOOKUP($E:$E,'（居民）工资表-4月'!$E:$AC,25,0),0)</f>
        <v>0</v>
      </c>
      <c r="AD12" s="95">
        <f t="shared" si="12"/>
        <v>5868.32</v>
      </c>
      <c r="AE12" s="96">
        <f>ROUND(MAX((AD12)*{0.03;0.1;0.2;0.25;0.3;0.35;0.45}-{0;2520;16920;31920;52920;85920;181920},0),2)</f>
        <v>176.05</v>
      </c>
      <c r="AF12" s="97">
        <f>IFERROR(VLOOKUP(E:E,'（居民）工资表-4月'!E:AF,28,0)+VLOOKUP(E:E,'（居民）工资表-4月'!E:AG,29,0),0)</f>
        <v>139.21</v>
      </c>
      <c r="AG12" s="97">
        <f t="shared" si="8"/>
        <v>36.84</v>
      </c>
      <c r="AH12" s="107">
        <f t="shared" si="9"/>
        <v>6191.16</v>
      </c>
      <c r="AI12" s="108"/>
      <c r="AJ12" s="107">
        <f t="shared" si="13"/>
        <v>6191.16</v>
      </c>
      <c r="AK12" s="109"/>
      <c r="AL12" s="107">
        <f t="shared" si="14"/>
        <v>6228</v>
      </c>
      <c r="AM12" s="109"/>
      <c r="AN12" s="109"/>
      <c r="AO12" s="109"/>
      <c r="AP12" s="109"/>
      <c r="AQ12" s="109"/>
      <c r="AR12" s="116" t="str">
        <f t="shared" si="15"/>
        <v>正确</v>
      </c>
      <c r="AS12" s="116" t="str">
        <f t="shared" si="16"/>
        <v>不</v>
      </c>
      <c r="AT12" s="116" t="str">
        <f t="shared" si="17"/>
        <v>重复</v>
      </c>
      <c r="AU12" s="12" t="s">
        <v>159</v>
      </c>
      <c r="AV12" s="12" t="s">
        <v>51</v>
      </c>
    </row>
    <row r="13" s="12" customFormat="1" ht="18" customHeight="1" spans="1:48">
      <c r="A13" s="36">
        <v>10</v>
      </c>
      <c r="B13" s="37" t="s">
        <v>144</v>
      </c>
      <c r="C13" s="37" t="s">
        <v>176</v>
      </c>
      <c r="D13" s="37" t="s">
        <v>145</v>
      </c>
      <c r="E13" s="329" t="s">
        <v>177</v>
      </c>
      <c r="F13" s="38" t="s">
        <v>146</v>
      </c>
      <c r="G13" s="39">
        <v>17201857014</v>
      </c>
      <c r="H13" s="40"/>
      <c r="I13" s="40"/>
      <c r="J13" s="69"/>
      <c r="K13" s="40"/>
      <c r="L13" s="70">
        <f>VLOOKUP(C13,[2]Sheet1!$B$2:$C$16,2,0)</f>
        <v>7000</v>
      </c>
      <c r="M13" s="71">
        <f>VLOOKUP(C13,[2]Sheet1!$B$2:$D$16,3,0)</f>
        <v>321.52</v>
      </c>
      <c r="N13" s="71">
        <f>VLOOKUP(C13,[2]Sheet1!$B$2:$F$16,5,0)</f>
        <v>86.38</v>
      </c>
      <c r="O13" s="71">
        <f>VLOOKUP(C13,[2]Sheet1!$B$1:$E$16,4,0)</f>
        <v>20.1</v>
      </c>
      <c r="P13" s="71">
        <f>VLOOKUP(C13,[2]Sheet1!$B$2:$H$16,7,0)</f>
        <v>344</v>
      </c>
      <c r="Q13" s="89">
        <f t="shared" si="10"/>
        <v>772</v>
      </c>
      <c r="R13" s="70">
        <v>0</v>
      </c>
      <c r="S13" s="90">
        <f>L13+IFERROR(VLOOKUP($E:$E,'（居民）工资表-4月'!$E:$S,15,0),0)</f>
        <v>30000</v>
      </c>
      <c r="T13" s="91">
        <f>5000+IFERROR(VLOOKUP($E:$E,'（居民）工资表-4月'!$E:$T,16,0),0)</f>
        <v>20000</v>
      </c>
      <c r="U13" s="91">
        <f>Q13+IFERROR(VLOOKUP($E:$E,'（居民）工资表-4月'!$E:$U,17,0),0)</f>
        <v>3131.68</v>
      </c>
      <c r="V13" s="70"/>
      <c r="W13" s="70"/>
      <c r="X13" s="70"/>
      <c r="Y13" s="70"/>
      <c r="Z13" s="70"/>
      <c r="AA13" s="70"/>
      <c r="AB13" s="90">
        <f t="shared" si="11"/>
        <v>0</v>
      </c>
      <c r="AC13" s="90">
        <f>R13+IFERROR(VLOOKUP($E:$E,'（居民）工资表-4月'!$E:$AC,25,0),0)</f>
        <v>0</v>
      </c>
      <c r="AD13" s="95">
        <f t="shared" si="12"/>
        <v>6868.32</v>
      </c>
      <c r="AE13" s="96">
        <f>ROUND(MAX((AD13)*{0.03;0.1;0.2;0.25;0.3;0.35;0.45}-{0;2520;16920;31920;52920;85920;181920},0),2)</f>
        <v>206.05</v>
      </c>
      <c r="AF13" s="97">
        <f>IFERROR(VLOOKUP(E:E,'（居民）工资表-4月'!E:AF,28,0)+VLOOKUP(E:E,'（居民）工资表-4月'!E:AG,29,0),0)</f>
        <v>169.21</v>
      </c>
      <c r="AG13" s="97">
        <f t="shared" si="8"/>
        <v>36.84</v>
      </c>
      <c r="AH13" s="107">
        <f t="shared" si="9"/>
        <v>6191.16</v>
      </c>
      <c r="AI13" s="108"/>
      <c r="AJ13" s="107">
        <f t="shared" si="13"/>
        <v>6191.16</v>
      </c>
      <c r="AK13" s="109"/>
      <c r="AL13" s="107">
        <f t="shared" si="14"/>
        <v>6228</v>
      </c>
      <c r="AM13" s="109"/>
      <c r="AN13" s="109"/>
      <c r="AO13" s="109"/>
      <c r="AP13" s="109"/>
      <c r="AQ13" s="109"/>
      <c r="AR13" s="116" t="str">
        <f t="shared" si="15"/>
        <v>正确</v>
      </c>
      <c r="AS13" s="116" t="str">
        <f t="shared" si="16"/>
        <v>不</v>
      </c>
      <c r="AT13" s="116" t="str">
        <f t="shared" si="17"/>
        <v>重复</v>
      </c>
      <c r="AU13" s="12" t="s">
        <v>159</v>
      </c>
      <c r="AV13" s="12" t="s">
        <v>51</v>
      </c>
    </row>
    <row r="14" s="12" customFormat="1" ht="18" customHeight="1" spans="1:48">
      <c r="A14" s="36">
        <v>11</v>
      </c>
      <c r="B14" s="37" t="s">
        <v>144</v>
      </c>
      <c r="C14" s="37" t="s">
        <v>178</v>
      </c>
      <c r="D14" s="37" t="s">
        <v>145</v>
      </c>
      <c r="E14" s="329" t="s">
        <v>179</v>
      </c>
      <c r="F14" s="38" t="s">
        <v>150</v>
      </c>
      <c r="G14" s="39" t="s">
        <v>180</v>
      </c>
      <c r="H14" s="40"/>
      <c r="I14" s="40"/>
      <c r="J14" s="69"/>
      <c r="K14" s="40"/>
      <c r="L14" s="70">
        <f>VLOOKUP(C14,[2]Sheet1!$B$2:$C$16,2,0)</f>
        <v>7000</v>
      </c>
      <c r="M14" s="71">
        <f>VLOOKUP(C14,[2]Sheet1!$B$2:$D$16,3,0)</f>
        <v>321.52</v>
      </c>
      <c r="N14" s="71">
        <f>VLOOKUP(C14,[2]Sheet1!$B$2:$F$16,5,0)</f>
        <v>120.38</v>
      </c>
      <c r="O14" s="71">
        <f>VLOOKUP(C14,[2]Sheet1!$B$1:$E$16,4,0)</f>
        <v>20.1</v>
      </c>
      <c r="P14" s="71">
        <f>VLOOKUP(C14,[2]Sheet1!$B$2:$H$16,7,0)</f>
        <v>97</v>
      </c>
      <c r="Q14" s="89">
        <f t="shared" si="10"/>
        <v>559</v>
      </c>
      <c r="R14" s="70">
        <v>0</v>
      </c>
      <c r="S14" s="90">
        <f>L14+IFERROR(VLOOKUP($E:$E,'（居民）工资表-4月'!$E:$S,15,0),0)</f>
        <v>14000</v>
      </c>
      <c r="T14" s="91">
        <f>5000+IFERROR(VLOOKUP($E:$E,'（居民）工资表-4月'!$E:$T,16,0),0)</f>
        <v>10000</v>
      </c>
      <c r="U14" s="91">
        <f>Q14+IFERROR(VLOOKUP($E:$E,'（居民）工资表-4月'!$E:$U,17,0),0)</f>
        <v>1118</v>
      </c>
      <c r="V14" s="70"/>
      <c r="W14" s="70"/>
      <c r="X14" s="70"/>
      <c r="Y14" s="70"/>
      <c r="Z14" s="70"/>
      <c r="AA14" s="70"/>
      <c r="AB14" s="90">
        <f t="shared" si="11"/>
        <v>0</v>
      </c>
      <c r="AC14" s="90">
        <f>R14+IFERROR(VLOOKUP($E:$E,'（居民）工资表-4月'!$E:$AC,25,0),0)</f>
        <v>0</v>
      </c>
      <c r="AD14" s="95">
        <f t="shared" si="12"/>
        <v>2882</v>
      </c>
      <c r="AE14" s="96">
        <f>ROUND(MAX((AD14)*{0.03;0.1;0.2;0.25;0.3;0.35;0.45}-{0;2520;16920;31920;52920;85920;181920},0),2)</f>
        <v>86.46</v>
      </c>
      <c r="AF14" s="97">
        <f>IFERROR(VLOOKUP(E:E,'（居民）工资表-4月'!E:AF,28,0)+VLOOKUP(E:E,'（居民）工资表-4月'!E:AG,29,0),0)</f>
        <v>43.23</v>
      </c>
      <c r="AG14" s="97">
        <f t="shared" si="8"/>
        <v>43.23</v>
      </c>
      <c r="AH14" s="107">
        <f t="shared" si="9"/>
        <v>6397.77</v>
      </c>
      <c r="AI14" s="108"/>
      <c r="AJ14" s="107">
        <f t="shared" si="13"/>
        <v>6397.77</v>
      </c>
      <c r="AK14" s="109"/>
      <c r="AL14" s="107">
        <f t="shared" si="14"/>
        <v>6441</v>
      </c>
      <c r="AM14" s="109"/>
      <c r="AN14" s="109"/>
      <c r="AO14" s="109"/>
      <c r="AP14" s="109"/>
      <c r="AQ14" s="109"/>
      <c r="AR14" s="116" t="str">
        <f t="shared" si="15"/>
        <v>正确</v>
      </c>
      <c r="AS14" s="116" t="str">
        <f t="shared" si="16"/>
        <v>不</v>
      </c>
      <c r="AT14" s="116" t="str">
        <f t="shared" si="17"/>
        <v>重复</v>
      </c>
      <c r="AU14" s="12" t="s">
        <v>159</v>
      </c>
      <c r="AV14" s="12" t="s">
        <v>51</v>
      </c>
    </row>
    <row r="15" s="12" customFormat="1" ht="18" customHeight="1" spans="1:48">
      <c r="A15" s="36">
        <v>12</v>
      </c>
      <c r="B15" s="37" t="s">
        <v>144</v>
      </c>
      <c r="C15" s="37" t="s">
        <v>181</v>
      </c>
      <c r="D15" s="37" t="s">
        <v>145</v>
      </c>
      <c r="E15" s="329" t="s">
        <v>182</v>
      </c>
      <c r="F15" s="38" t="s">
        <v>150</v>
      </c>
      <c r="G15" s="39">
        <v>15855788591</v>
      </c>
      <c r="H15" s="40"/>
      <c r="I15" s="40"/>
      <c r="J15" s="69"/>
      <c r="K15" s="40"/>
      <c r="L15" s="70">
        <f>VLOOKUP(C15,[2]Sheet1!$B$2:$C$16,2,0)</f>
        <v>6060</v>
      </c>
      <c r="M15" s="71">
        <f>VLOOKUP(C15,[2]Sheet1!$B$2:$D$16,3,0)</f>
        <v>321.52</v>
      </c>
      <c r="N15" s="71">
        <f>VLOOKUP(C15,[2]Sheet1!$B$2:$F$16,5,0)</f>
        <v>89.09</v>
      </c>
      <c r="O15" s="71">
        <f>VLOOKUP(C15,[2]Sheet1!$B$1:$E$16,4,0)</f>
        <v>20.1</v>
      </c>
      <c r="P15" s="71">
        <f>VLOOKUP(C15,[2]Sheet1!$B$2:$H$16,7,0)</f>
        <v>97</v>
      </c>
      <c r="Q15" s="89">
        <f t="shared" si="10"/>
        <v>527.71</v>
      </c>
      <c r="R15" s="70">
        <v>0</v>
      </c>
      <c r="S15" s="90">
        <f>L15+IFERROR(VLOOKUP($E:$E,'（居民）工资表-4月'!$E:$S,15,0),0)</f>
        <v>12360</v>
      </c>
      <c r="T15" s="91">
        <f>5000+IFERROR(VLOOKUP($E:$E,'（居民）工资表-4月'!$E:$T,16,0),0)</f>
        <v>10000</v>
      </c>
      <c r="U15" s="91">
        <f>Q15+IFERROR(VLOOKUP($E:$E,'（居民）工资表-4月'!$E:$U,17,0),0)</f>
        <v>1055.42</v>
      </c>
      <c r="V15" s="70"/>
      <c r="W15" s="70"/>
      <c r="X15" s="70"/>
      <c r="Y15" s="70"/>
      <c r="Z15" s="70"/>
      <c r="AA15" s="70"/>
      <c r="AB15" s="90">
        <f t="shared" si="11"/>
        <v>0</v>
      </c>
      <c r="AC15" s="90">
        <f>R15+IFERROR(VLOOKUP($E:$E,'（居民）工资表-4月'!$E:$AC,25,0),0)</f>
        <v>0</v>
      </c>
      <c r="AD15" s="95">
        <f t="shared" si="12"/>
        <v>1304.58</v>
      </c>
      <c r="AE15" s="96">
        <f>ROUND(MAX((AD15)*{0.03;0.1;0.2;0.25;0.3;0.35;0.45}-{0;2520;16920;31920;52920;85920;181920},0),2)</f>
        <v>39.14</v>
      </c>
      <c r="AF15" s="97">
        <f>IFERROR(VLOOKUP(E:E,'（居民）工资表-4月'!E:AF,28,0)+VLOOKUP(E:E,'（居民）工资表-4月'!E:AG,29,0),0)</f>
        <v>23.17</v>
      </c>
      <c r="AG15" s="97">
        <f t="shared" si="8"/>
        <v>15.97</v>
      </c>
      <c r="AH15" s="107">
        <f t="shared" si="9"/>
        <v>5516.32</v>
      </c>
      <c r="AI15" s="108"/>
      <c r="AJ15" s="107">
        <f t="shared" si="13"/>
        <v>5516.32</v>
      </c>
      <c r="AK15" s="109"/>
      <c r="AL15" s="107">
        <f t="shared" si="14"/>
        <v>5532.29</v>
      </c>
      <c r="AM15" s="109"/>
      <c r="AN15" s="109"/>
      <c r="AO15" s="109"/>
      <c r="AP15" s="109"/>
      <c r="AQ15" s="109"/>
      <c r="AR15" s="116" t="str">
        <f t="shared" si="15"/>
        <v>正确</v>
      </c>
      <c r="AS15" s="116" t="str">
        <f t="shared" si="16"/>
        <v>不</v>
      </c>
      <c r="AT15" s="116" t="str">
        <f t="shared" si="17"/>
        <v>重复</v>
      </c>
      <c r="AU15" s="12" t="s">
        <v>159</v>
      </c>
      <c r="AV15" s="12" t="s">
        <v>51</v>
      </c>
    </row>
    <row r="16" s="12" customFormat="1" ht="18" customHeight="1" spans="1:48">
      <c r="A16" s="36">
        <v>13</v>
      </c>
      <c r="B16" s="37" t="s">
        <v>144</v>
      </c>
      <c r="C16" s="37" t="s">
        <v>183</v>
      </c>
      <c r="D16" s="37" t="s">
        <v>145</v>
      </c>
      <c r="E16" s="329" t="s">
        <v>184</v>
      </c>
      <c r="F16" s="38" t="s">
        <v>150</v>
      </c>
      <c r="G16" s="39"/>
      <c r="H16" s="40"/>
      <c r="I16" s="40"/>
      <c r="J16" s="69"/>
      <c r="K16" s="40"/>
      <c r="L16" s="70">
        <f>VLOOKUP(C16,[2]Sheet1!$B$2:$C$16,2,0)</f>
        <v>6000</v>
      </c>
      <c r="M16" s="71">
        <f>VLOOKUP(C16,[2]Sheet1!$B$2:$D$16,3,0)</f>
        <v>321.52</v>
      </c>
      <c r="N16" s="71">
        <f>VLOOKUP(C16,[2]Sheet1!$B$2:$F$16,5,0)</f>
        <v>80.38</v>
      </c>
      <c r="O16" s="71">
        <f>VLOOKUP(C16,[2]Sheet1!$B$1:$E$16,4,0)</f>
        <v>20.1</v>
      </c>
      <c r="P16" s="71">
        <f>VLOOKUP(C16,[2]Sheet1!$B$2:$H$16,7,0)</f>
        <v>103</v>
      </c>
      <c r="Q16" s="89">
        <f t="shared" si="10"/>
        <v>525</v>
      </c>
      <c r="R16" s="70">
        <v>0</v>
      </c>
      <c r="S16" s="90">
        <f>L16+IFERROR(VLOOKUP($E:$E,'（居民）工资表-4月'!$E:$S,15,0),0)</f>
        <v>24000</v>
      </c>
      <c r="T16" s="91">
        <f>5000+IFERROR(VLOOKUP($E:$E,'（居民）工资表-4月'!$E:$T,16,0),0)</f>
        <v>20000</v>
      </c>
      <c r="U16" s="91">
        <f>Q16+IFERROR(VLOOKUP($E:$E,'（居民）工资表-4月'!$E:$U,17,0),0)</f>
        <v>2143.68</v>
      </c>
      <c r="V16" s="70"/>
      <c r="W16" s="70"/>
      <c r="X16" s="70"/>
      <c r="Y16" s="70"/>
      <c r="Z16" s="70"/>
      <c r="AA16" s="70"/>
      <c r="AB16" s="90">
        <f t="shared" si="11"/>
        <v>0</v>
      </c>
      <c r="AC16" s="90">
        <f>R16+IFERROR(VLOOKUP($E:$E,'（居民）工资表-4月'!$E:$AC,25,0),0)</f>
        <v>0</v>
      </c>
      <c r="AD16" s="95">
        <f t="shared" si="12"/>
        <v>1856.32</v>
      </c>
      <c r="AE16" s="96">
        <f>ROUND(MAX((AD16)*{0.03;0.1;0.2;0.25;0.3;0.35;0.45}-{0;2520;16920;31920;52920;85920;181920},0),2)</f>
        <v>55.69</v>
      </c>
      <c r="AF16" s="97">
        <f>IFERROR(VLOOKUP(E:E,'（居民）工资表-4月'!E:AF,28,0)+VLOOKUP(E:E,'（居民）工资表-4月'!E:AG,29,0),0)</f>
        <v>41.44</v>
      </c>
      <c r="AG16" s="97">
        <f t="shared" si="8"/>
        <v>14.25</v>
      </c>
      <c r="AH16" s="107">
        <f t="shared" si="9"/>
        <v>5460.75</v>
      </c>
      <c r="AI16" s="108"/>
      <c r="AJ16" s="107">
        <f t="shared" si="13"/>
        <v>5460.75</v>
      </c>
      <c r="AK16" s="109"/>
      <c r="AL16" s="107">
        <f t="shared" si="14"/>
        <v>5475</v>
      </c>
      <c r="AM16" s="109"/>
      <c r="AN16" s="109"/>
      <c r="AO16" s="109"/>
      <c r="AP16" s="109"/>
      <c r="AQ16" s="109"/>
      <c r="AR16" s="116" t="str">
        <f t="shared" si="15"/>
        <v>正确</v>
      </c>
      <c r="AS16" s="116" t="str">
        <f t="shared" si="16"/>
        <v>不</v>
      </c>
      <c r="AT16" s="116" t="str">
        <f t="shared" si="17"/>
        <v>重复</v>
      </c>
      <c r="AU16" s="12" t="s">
        <v>159</v>
      </c>
      <c r="AV16" s="12" t="s">
        <v>51</v>
      </c>
    </row>
    <row r="17" s="12" customFormat="1" ht="18" customHeight="1" spans="1:48">
      <c r="A17" s="36">
        <v>14</v>
      </c>
      <c r="B17" s="37" t="s">
        <v>144</v>
      </c>
      <c r="C17" s="37" t="s">
        <v>185</v>
      </c>
      <c r="D17" s="37" t="s">
        <v>145</v>
      </c>
      <c r="E17" s="329" t="s">
        <v>186</v>
      </c>
      <c r="F17" s="38" t="s">
        <v>146</v>
      </c>
      <c r="G17" s="39">
        <v>15056587375</v>
      </c>
      <c r="H17" s="40"/>
      <c r="I17" s="40"/>
      <c r="J17" s="69"/>
      <c r="K17" s="40"/>
      <c r="L17" s="70">
        <f>VLOOKUP(C17,[2]Sheet1!$B$2:$C$16,2,0)</f>
        <v>10000</v>
      </c>
      <c r="M17" s="71">
        <f>VLOOKUP(C17,[2]Sheet1!$B$2:$D$16,3,0)</f>
        <v>321.52</v>
      </c>
      <c r="N17" s="71">
        <f>VLOOKUP(C17,[2]Sheet1!$B$2:$F$16,5,0)</f>
        <v>89.09</v>
      </c>
      <c r="O17" s="71">
        <f>VLOOKUP(C17,[2]Sheet1!$B$1:$E$16,4,0)</f>
        <v>20.1</v>
      </c>
      <c r="P17" s="71">
        <f>VLOOKUP(C17,[2]Sheet1!$B$2:$H$16,7,0)</f>
        <v>97</v>
      </c>
      <c r="Q17" s="89">
        <f t="shared" si="10"/>
        <v>527.71</v>
      </c>
      <c r="R17" s="70">
        <v>0</v>
      </c>
      <c r="S17" s="90">
        <f>L17+IFERROR(VLOOKUP($E:$E,'（居民）工资表-4月'!$E:$S,15,0),0)</f>
        <v>40000</v>
      </c>
      <c r="T17" s="91">
        <f>5000+IFERROR(VLOOKUP($E:$E,'（居民）工资表-4月'!$E:$T,16,0),0)</f>
        <v>20000</v>
      </c>
      <c r="U17" s="91">
        <f>Q17+IFERROR(VLOOKUP($E:$E,'（居民）工资表-4月'!$E:$U,17,0),0)</f>
        <v>2155.42</v>
      </c>
      <c r="V17" s="70"/>
      <c r="W17" s="70"/>
      <c r="X17" s="70"/>
      <c r="Y17" s="70"/>
      <c r="Z17" s="70"/>
      <c r="AA17" s="70"/>
      <c r="AB17" s="90">
        <f t="shared" si="11"/>
        <v>0</v>
      </c>
      <c r="AC17" s="90">
        <f>R17+IFERROR(VLOOKUP($E:$E,'（居民）工资表-4月'!$E:$AC,25,0),0)</f>
        <v>0</v>
      </c>
      <c r="AD17" s="95">
        <f t="shared" si="12"/>
        <v>17844.58</v>
      </c>
      <c r="AE17" s="96">
        <f>ROUND(MAX((AD17)*{0.03;0.1;0.2;0.25;0.3;0.35;0.45}-{0;2520;16920;31920;52920;85920;181920},0),2)</f>
        <v>535.34</v>
      </c>
      <c r="AF17" s="97">
        <f>IFERROR(VLOOKUP(E:E,'（居民）工资表-4月'!E:AF,28,0)+VLOOKUP(E:E,'（居民）工资表-4月'!E:AG,29,0),0)</f>
        <v>401.17</v>
      </c>
      <c r="AG17" s="97">
        <f t="shared" si="8"/>
        <v>134.17</v>
      </c>
      <c r="AH17" s="107">
        <f t="shared" si="9"/>
        <v>9338.12</v>
      </c>
      <c r="AI17" s="108"/>
      <c r="AJ17" s="107">
        <f t="shared" si="13"/>
        <v>9338.12</v>
      </c>
      <c r="AK17" s="109"/>
      <c r="AL17" s="107">
        <f t="shared" si="14"/>
        <v>9472.29</v>
      </c>
      <c r="AM17" s="109"/>
      <c r="AN17" s="109"/>
      <c r="AO17" s="109"/>
      <c r="AP17" s="109"/>
      <c r="AQ17" s="109"/>
      <c r="AR17" s="116" t="str">
        <f t="shared" si="15"/>
        <v>正确</v>
      </c>
      <c r="AS17" s="116" t="str">
        <f>IF(SUMPRODUCT(N(E$1:E$7=E17))&gt;1,"重复","不")</f>
        <v>不</v>
      </c>
      <c r="AT17" s="116" t="str">
        <f>IF(SUMPRODUCT(N(AO$1:AO$7=AO17))&gt;1,"重复","不")</f>
        <v>重复</v>
      </c>
      <c r="AU17" s="12" t="s">
        <v>164</v>
      </c>
      <c r="AV17" s="12" t="s">
        <v>51</v>
      </c>
    </row>
    <row r="18" s="12" customFormat="1" ht="18" customHeight="1" spans="1:48">
      <c r="A18" s="36">
        <v>15</v>
      </c>
      <c r="B18" s="37" t="s">
        <v>144</v>
      </c>
      <c r="C18" s="37" t="s">
        <v>187</v>
      </c>
      <c r="D18" s="37" t="s">
        <v>145</v>
      </c>
      <c r="E18" s="37" t="s">
        <v>188</v>
      </c>
      <c r="F18" s="38" t="s">
        <v>146</v>
      </c>
      <c r="G18" s="39">
        <v>13711361074</v>
      </c>
      <c r="H18" s="40"/>
      <c r="I18" s="40"/>
      <c r="J18" s="69"/>
      <c r="K18" s="40"/>
      <c r="L18" s="70">
        <f>VLOOKUP(C18,[2]Sheet1!$B$2:$C$16,2,0)</f>
        <v>6080</v>
      </c>
      <c r="M18" s="71">
        <f>VLOOKUP(C18,[2]Sheet1!$B$2:$D$16,3,0)</f>
        <v>337.92</v>
      </c>
      <c r="N18" s="71">
        <f>VLOOKUP(C18,[2]Sheet1!$B$2:$F$16,5,0)</f>
        <v>91.48</v>
      </c>
      <c r="O18" s="71">
        <f>VLOOKUP(C18,[2]Sheet1!$B$1:$E$16,4,0)</f>
        <v>12.67</v>
      </c>
      <c r="P18" s="71">
        <f>VLOOKUP(C18,[2]Sheet1!$B$2:$H$16,7,0)</f>
        <v>110.5</v>
      </c>
      <c r="Q18" s="89">
        <f t="shared" si="10"/>
        <v>552.57</v>
      </c>
      <c r="R18" s="70">
        <v>0</v>
      </c>
      <c r="S18" s="90">
        <f>L18+IFERROR(VLOOKUP($E:$E,'（居民）工资表-4月'!$E:$S,15,0),0)</f>
        <v>23306.67</v>
      </c>
      <c r="T18" s="91">
        <f>5000+IFERROR(VLOOKUP($E:$E,'（居民）工资表-4月'!$E:$T,16,0),0)</f>
        <v>20000</v>
      </c>
      <c r="U18" s="91">
        <f>Q18+IFERROR(VLOOKUP($E:$E,'（居民）工资表-4月'!$E:$U,17,0),0)</f>
        <v>2238.09</v>
      </c>
      <c r="V18" s="70"/>
      <c r="W18" s="70"/>
      <c r="X18" s="70"/>
      <c r="Y18" s="70"/>
      <c r="Z18" s="70"/>
      <c r="AA18" s="70"/>
      <c r="AB18" s="90">
        <f t="shared" si="11"/>
        <v>0</v>
      </c>
      <c r="AC18" s="90">
        <f>R18+IFERROR(VLOOKUP($E:$E,'（居民）工资表-4月'!$E:$AC,25,0),0)</f>
        <v>0</v>
      </c>
      <c r="AD18" s="95">
        <f t="shared" si="12"/>
        <v>1068.58</v>
      </c>
      <c r="AE18" s="96">
        <f>ROUND(MAX((AD18)*{0.03;0.1;0.2;0.25;0.3;0.35;0.45}-{0;2520;16920;31920;52920;85920;181920},0),2)</f>
        <v>32.06</v>
      </c>
      <c r="AF18" s="97">
        <f>IFERROR(VLOOKUP(E:E,'（居民）工资表-4月'!E:AF,28,0)+VLOOKUP(E:E,'（居民）工资表-4月'!E:AG,29,0),0)</f>
        <v>138.59</v>
      </c>
      <c r="AG18" s="97">
        <f t="shared" si="8"/>
        <v>0</v>
      </c>
      <c r="AH18" s="107">
        <f t="shared" si="9"/>
        <v>5527.43</v>
      </c>
      <c r="AI18" s="108"/>
      <c r="AJ18" s="107">
        <f t="shared" si="13"/>
        <v>5527.43</v>
      </c>
      <c r="AK18" s="109"/>
      <c r="AL18" s="107">
        <f t="shared" si="14"/>
        <v>5527.43</v>
      </c>
      <c r="AM18" s="109"/>
      <c r="AN18" s="109"/>
      <c r="AO18" s="109"/>
      <c r="AP18" s="109"/>
      <c r="AQ18" s="109"/>
      <c r="AR18" s="116" t="str">
        <f t="shared" si="15"/>
        <v>正确</v>
      </c>
      <c r="AS18" s="116" t="str">
        <f>IF(SUMPRODUCT(N(E$1:E$7=E18))&gt;1,"重复","不")</f>
        <v>不</v>
      </c>
      <c r="AT18" s="116" t="str">
        <f>IF(SUMPRODUCT(N(AO$1:AO$7=AO18))&gt;1,"重复","不")</f>
        <v>重复</v>
      </c>
      <c r="AU18" s="12" t="s">
        <v>159</v>
      </c>
      <c r="AV18" s="12" t="s">
        <v>51</v>
      </c>
    </row>
    <row r="19" s="12" customFormat="1" ht="18" customHeight="1" spans="1:46">
      <c r="A19" s="36"/>
      <c r="B19" s="37"/>
      <c r="C19" s="37"/>
      <c r="D19" s="37"/>
      <c r="E19" s="37"/>
      <c r="F19" s="38"/>
      <c r="G19" s="39"/>
      <c r="H19" s="40"/>
      <c r="I19" s="40"/>
      <c r="J19" s="69"/>
      <c r="K19" s="40"/>
      <c r="L19" s="70"/>
      <c r="M19" s="71"/>
      <c r="N19" s="71"/>
      <c r="O19" s="71"/>
      <c r="P19" s="71"/>
      <c r="Q19" s="89"/>
      <c r="R19" s="70"/>
      <c r="S19" s="90"/>
      <c r="T19" s="91"/>
      <c r="U19" s="91"/>
      <c r="V19" s="70"/>
      <c r="W19" s="70"/>
      <c r="X19" s="70"/>
      <c r="Y19" s="70"/>
      <c r="Z19" s="70"/>
      <c r="AA19" s="70"/>
      <c r="AB19" s="90"/>
      <c r="AC19" s="90"/>
      <c r="AD19" s="95"/>
      <c r="AE19" s="96"/>
      <c r="AF19" s="97"/>
      <c r="AG19" s="97"/>
      <c r="AH19" s="107"/>
      <c r="AI19" s="108"/>
      <c r="AJ19" s="107"/>
      <c r="AK19" s="109"/>
      <c r="AL19" s="107"/>
      <c r="AM19" s="109"/>
      <c r="AN19" s="109"/>
      <c r="AO19" s="109"/>
      <c r="AP19" s="109"/>
      <c r="AQ19" s="109"/>
      <c r="AR19" s="116"/>
      <c r="AS19" s="116"/>
      <c r="AT19" s="116"/>
    </row>
    <row r="20" s="13" customFormat="1" ht="18" customHeight="1" spans="1:46">
      <c r="A20" s="41"/>
      <c r="B20" s="42" t="s">
        <v>189</v>
      </c>
      <c r="C20" s="42"/>
      <c r="D20" s="43"/>
      <c r="E20" s="44"/>
      <c r="F20" s="45"/>
      <c r="G20" s="46"/>
      <c r="H20" s="45"/>
      <c r="I20" s="72"/>
      <c r="J20" s="73"/>
      <c r="K20" s="72"/>
      <c r="L20" s="74">
        <f t="shared" ref="L20:Q20" si="18">SUM(L4:L18)</f>
        <v>131925.84</v>
      </c>
      <c r="M20" s="74">
        <f t="shared" si="18"/>
        <v>5262.9</v>
      </c>
      <c r="N20" s="74">
        <f t="shared" si="18"/>
        <v>1492.43</v>
      </c>
      <c r="O20" s="74">
        <f t="shared" si="18"/>
        <v>282.62</v>
      </c>
      <c r="P20" s="74">
        <f t="shared" si="18"/>
        <v>2412.9</v>
      </c>
      <c r="Q20" s="74">
        <f t="shared" si="18"/>
        <v>9450.85</v>
      </c>
      <c r="R20" s="74">
        <f t="shared" ref="R20:AL20" si="19">SUM(R4:R18)</f>
        <v>0</v>
      </c>
      <c r="S20" s="74">
        <f t="shared" si="19"/>
        <v>504524.15</v>
      </c>
      <c r="T20" s="74">
        <f t="shared" si="19"/>
        <v>280000</v>
      </c>
      <c r="U20" s="74">
        <f t="shared" si="19"/>
        <v>36397.74</v>
      </c>
      <c r="V20" s="74">
        <f t="shared" si="19"/>
        <v>0</v>
      </c>
      <c r="W20" s="74">
        <f t="shared" si="19"/>
        <v>0</v>
      </c>
      <c r="X20" s="74">
        <f t="shared" si="19"/>
        <v>0</v>
      </c>
      <c r="Y20" s="74">
        <f t="shared" si="19"/>
        <v>0</v>
      </c>
      <c r="Z20" s="74">
        <f t="shared" si="19"/>
        <v>0</v>
      </c>
      <c r="AA20" s="74">
        <f t="shared" si="19"/>
        <v>0</v>
      </c>
      <c r="AB20" s="74">
        <f t="shared" si="19"/>
        <v>0</v>
      </c>
      <c r="AC20" s="74">
        <f t="shared" si="19"/>
        <v>0</v>
      </c>
      <c r="AD20" s="74">
        <f t="shared" si="19"/>
        <v>188126.41</v>
      </c>
      <c r="AE20" s="74">
        <f t="shared" si="19"/>
        <v>10013.68</v>
      </c>
      <c r="AF20" s="74">
        <f t="shared" si="19"/>
        <v>6990.85</v>
      </c>
      <c r="AG20" s="74">
        <f t="shared" si="19"/>
        <v>3129.36</v>
      </c>
      <c r="AH20" s="74">
        <f t="shared" si="19"/>
        <v>119345.63</v>
      </c>
      <c r="AI20" s="74">
        <f t="shared" si="19"/>
        <v>0</v>
      </c>
      <c r="AJ20" s="74">
        <f t="shared" si="19"/>
        <v>119345.63</v>
      </c>
      <c r="AK20" s="74">
        <f t="shared" si="19"/>
        <v>0</v>
      </c>
      <c r="AL20" s="74">
        <f t="shared" si="19"/>
        <v>122474.99</v>
      </c>
      <c r="AM20" s="110"/>
      <c r="AN20" s="110"/>
      <c r="AO20" s="110"/>
      <c r="AP20" s="110"/>
      <c r="AQ20" s="110"/>
      <c r="AR20" s="45"/>
      <c r="AS20" s="45"/>
      <c r="AT20" s="118"/>
    </row>
    <row r="23" spans="30:30">
      <c r="AD23" s="101"/>
    </row>
    <row r="24" ht="18.75" customHeight="1" spans="2:33">
      <c r="B24" s="47" t="s">
        <v>133</v>
      </c>
      <c r="C24" s="47" t="s">
        <v>190</v>
      </c>
      <c r="D24" s="47" t="s">
        <v>22</v>
      </c>
      <c r="E24" s="47" t="s">
        <v>23</v>
      </c>
      <c r="AD24" s="10"/>
      <c r="AG24" s="19"/>
    </row>
    <row r="25" ht="18.75" customHeight="1" spans="2:5">
      <c r="B25" s="48">
        <f>AJ20</f>
        <v>119345.63</v>
      </c>
      <c r="C25" s="48">
        <f>AG20</f>
        <v>3129.36</v>
      </c>
      <c r="D25" s="48">
        <f>AK20</f>
        <v>0</v>
      </c>
      <c r="E25" s="48">
        <f>B25+C25</f>
        <v>122474.99</v>
      </c>
    </row>
    <row r="26" spans="2:5">
      <c r="B26" s="49"/>
      <c r="C26" s="49"/>
      <c r="D26" s="49"/>
      <c r="E26" s="49"/>
    </row>
    <row r="27" s="14" customFormat="1" spans="1:35">
      <c r="A27" s="51" t="s">
        <v>191</v>
      </c>
      <c r="B27" s="52" t="s">
        <v>192</v>
      </c>
      <c r="C27" s="50"/>
      <c r="D27" s="50"/>
      <c r="E27" s="50"/>
      <c r="G27" s="53"/>
      <c r="J27" s="75"/>
      <c r="M27" s="76"/>
      <c r="AI27" s="112"/>
    </row>
    <row r="28" s="14" customFormat="1" spans="1:35">
      <c r="A28" s="54"/>
      <c r="B28" s="55" t="s">
        <v>193</v>
      </c>
      <c r="C28" s="50"/>
      <c r="D28" s="50"/>
      <c r="E28" s="50"/>
      <c r="G28" s="53"/>
      <c r="J28" s="75"/>
      <c r="M28" s="76"/>
      <c r="AI28" s="112"/>
    </row>
    <row r="29" s="14" customFormat="1" spans="1:35">
      <c r="A29" s="52"/>
      <c r="B29" s="55" t="s">
        <v>194</v>
      </c>
      <c r="C29" s="56"/>
      <c r="D29" s="56"/>
      <c r="E29" s="56"/>
      <c r="F29" s="56"/>
      <c r="G29" s="56"/>
      <c r="H29" s="56"/>
      <c r="I29" s="56"/>
      <c r="J29" s="77"/>
      <c r="K29" s="56"/>
      <c r="L29" s="56"/>
      <c r="M29" s="78"/>
      <c r="N29" s="56"/>
      <c r="O29" s="56"/>
      <c r="P29" s="56"/>
      <c r="AI29" s="112"/>
    </row>
    <row r="30" s="14" customFormat="1" customHeight="1" spans="1:35">
      <c r="A30" s="55"/>
      <c r="B30" s="55" t="s">
        <v>195</v>
      </c>
      <c r="C30" s="57"/>
      <c r="D30" s="57"/>
      <c r="E30" s="57"/>
      <c r="F30" s="57"/>
      <c r="G30" s="57"/>
      <c r="H30" s="57"/>
      <c r="I30" s="79"/>
      <c r="J30" s="80"/>
      <c r="K30" s="79"/>
      <c r="L30" s="79"/>
      <c r="M30" s="81"/>
      <c r="N30" s="79"/>
      <c r="O30" s="79"/>
      <c r="P30" s="79"/>
      <c r="AI30" s="112"/>
    </row>
    <row r="31" s="14" customFormat="1" customHeight="1" spans="1:35">
      <c r="A31" s="55"/>
      <c r="B31" s="55" t="s">
        <v>196</v>
      </c>
      <c r="C31" s="57"/>
      <c r="D31" s="57"/>
      <c r="E31" s="57"/>
      <c r="F31" s="57"/>
      <c r="G31" s="57"/>
      <c r="H31" s="57"/>
      <c r="I31" s="57"/>
      <c r="J31" s="82"/>
      <c r="K31" s="57"/>
      <c r="L31" s="79"/>
      <c r="M31" s="81"/>
      <c r="N31" s="79"/>
      <c r="O31" s="79"/>
      <c r="P31" s="79"/>
      <c r="AI31" s="112"/>
    </row>
    <row r="32" s="14" customFormat="1" customHeight="1" spans="1:35">
      <c r="A32" s="55"/>
      <c r="B32" s="55" t="s">
        <v>197</v>
      </c>
      <c r="C32" s="57"/>
      <c r="D32" s="57"/>
      <c r="E32" s="57"/>
      <c r="F32" s="57"/>
      <c r="G32" s="57"/>
      <c r="H32" s="57"/>
      <c r="I32" s="79"/>
      <c r="J32" s="80"/>
      <c r="K32" s="79"/>
      <c r="L32" s="79"/>
      <c r="M32" s="81"/>
      <c r="N32" s="79"/>
      <c r="O32" s="79"/>
      <c r="P32" s="79"/>
      <c r="AI32" s="112"/>
    </row>
    <row r="34" ht="11.25" customHeight="1" spans="2:2">
      <c r="B34" s="58" t="s">
        <v>198</v>
      </c>
    </row>
    <row r="35" spans="2:2">
      <c r="B35" s="59" t="s">
        <v>199</v>
      </c>
    </row>
    <row r="36" spans="2:2">
      <c r="B36" s="59" t="s">
        <v>200</v>
      </c>
    </row>
  </sheetData>
  <autoFilter xmlns:etc="http://www.wps.cn/officeDocument/2017/etCustomData" ref="A3:AT20" etc:filterBottomFollowUsedRange="0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2">
    <cfRule type="duplicateValues" dxfId="4" priority="6" stopIfTrue="1"/>
  </conditionalFormatting>
  <conditionalFormatting sqref="B27:B31">
    <cfRule type="duplicateValues" dxfId="4" priority="7" stopIfTrue="1"/>
  </conditionalFormatting>
  <conditionalFormatting sqref="B35:B36">
    <cfRule type="duplicateValues" dxfId="4" priority="5" stopIfTrue="1"/>
  </conditionalFormatting>
  <conditionalFormatting sqref="C24:C26">
    <cfRule type="duplicateValues" dxfId="4" priority="8" stopIfTrue="1"/>
    <cfRule type="expression" dxfId="5" priority="9" stopIfTrue="1">
      <formula>AND(COUNTIF($B$20:$B$65456,C24)+COUNTIF($B$1:$B$3,C24)&gt;1,NOT(ISBLANK(C24)))</formula>
    </cfRule>
    <cfRule type="expression" dxfId="5" priority="10" stopIfTrue="1">
      <formula>AND(COUNTIF($B$31:$B$65407,C24)+COUNTIF($B$1:$B$30,C24)&gt;1,NOT(ISBLANK(C24)))</formula>
    </cfRule>
    <cfRule type="expression" dxfId="5" priority="11" stopIfTrue="1">
      <formula>AND(COUNTIF($B$20:$B$65445,C24)+COUNTIF($B$1:$B$3,C24)&gt;1,NOT(ISBLANK(C24)))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tabColor rgb="FF00B050"/>
    <pageSetUpPr fitToPage="1"/>
  </sheetPr>
  <dimension ref="A1:AT36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18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hidden="1" customWidth="1"/>
    <col min="41" max="41" width="19" style="15" hidden="1" customWidth="1"/>
    <col min="42" max="42" width="12.2666666666667" style="15" hidden="1" customWidth="1"/>
    <col min="43" max="43" width="9" style="15" hidden="1" customWidth="1"/>
    <col min="44" max="44" width="7" style="15" hidden="1" customWidth="1"/>
    <col min="45" max="45" width="6.725" style="15" hidden="1" customWidth="1"/>
    <col min="46" max="46" width="6.09166666666667" style="15" hidden="1" customWidth="1"/>
    <col min="47" max="16384" width="9" style="15"/>
  </cols>
  <sheetData>
    <row r="1" s="10" customFormat="1" ht="29.25" customHeight="1" spans="1:45">
      <c r="A1" s="20" t="s">
        <v>105</v>
      </c>
      <c r="B1" s="21"/>
      <c r="C1" s="22"/>
      <c r="D1" s="23"/>
      <c r="E1" s="24"/>
      <c r="F1" s="24"/>
      <c r="G1" s="25"/>
      <c r="J1" s="60"/>
      <c r="L1" s="61"/>
      <c r="M1" s="62" t="s">
        <v>106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107</v>
      </c>
      <c r="C2" s="28" t="s">
        <v>108</v>
      </c>
      <c r="D2" s="28" t="s">
        <v>109</v>
      </c>
      <c r="E2" s="29" t="s">
        <v>110</v>
      </c>
      <c r="F2" s="30" t="s">
        <v>111</v>
      </c>
      <c r="G2" s="29" t="s">
        <v>112</v>
      </c>
      <c r="H2" s="29" t="s">
        <v>113</v>
      </c>
      <c r="I2" s="29" t="s">
        <v>114</v>
      </c>
      <c r="J2" s="63" t="s">
        <v>115</v>
      </c>
      <c r="K2" s="29" t="s">
        <v>116</v>
      </c>
      <c r="L2" s="29" t="s">
        <v>117</v>
      </c>
      <c r="M2" s="64" t="s">
        <v>118</v>
      </c>
      <c r="N2" s="65"/>
      <c r="O2" s="65"/>
      <c r="P2" s="66"/>
      <c r="Q2" s="30" t="s">
        <v>119</v>
      </c>
      <c r="R2" s="29" t="s">
        <v>120</v>
      </c>
      <c r="S2" s="30" t="s">
        <v>121</v>
      </c>
      <c r="T2" s="84" t="s">
        <v>122</v>
      </c>
      <c r="U2" s="30" t="s">
        <v>123</v>
      </c>
      <c r="V2" s="85" t="s">
        <v>124</v>
      </c>
      <c r="W2" s="86"/>
      <c r="X2" s="86"/>
      <c r="Y2" s="86"/>
      <c r="Z2" s="86"/>
      <c r="AA2" s="94"/>
      <c r="AB2" s="30" t="s">
        <v>125</v>
      </c>
      <c r="AC2" s="30" t="s">
        <v>126</v>
      </c>
      <c r="AD2" s="84" t="s">
        <v>127</v>
      </c>
      <c r="AE2" s="84" t="s">
        <v>128</v>
      </c>
      <c r="AF2" s="84" t="s">
        <v>129</v>
      </c>
      <c r="AG2" s="84" t="s">
        <v>130</v>
      </c>
      <c r="AH2" s="103" t="s">
        <v>131</v>
      </c>
      <c r="AI2" s="104" t="s">
        <v>132</v>
      </c>
      <c r="AJ2" s="103" t="s">
        <v>133</v>
      </c>
      <c r="AK2" s="28" t="s">
        <v>22</v>
      </c>
      <c r="AL2" s="103" t="s">
        <v>134</v>
      </c>
      <c r="AM2" s="29" t="s">
        <v>201</v>
      </c>
      <c r="AN2" s="29" t="s">
        <v>202</v>
      </c>
      <c r="AO2" s="114" t="s">
        <v>203</v>
      </c>
      <c r="AP2" s="29" t="s">
        <v>204</v>
      </c>
      <c r="AQ2" s="29" t="s">
        <v>205</v>
      </c>
      <c r="AR2" s="30" t="s">
        <v>206</v>
      </c>
      <c r="AS2" s="30" t="s">
        <v>207</v>
      </c>
      <c r="AT2" s="30" t="s">
        <v>208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135</v>
      </c>
      <c r="N3" s="68" t="s">
        <v>136</v>
      </c>
      <c r="O3" s="68" t="s">
        <v>137</v>
      </c>
      <c r="P3" s="68" t="s">
        <v>37</v>
      </c>
      <c r="Q3" s="35"/>
      <c r="R3" s="34"/>
      <c r="S3" s="35"/>
      <c r="T3" s="87"/>
      <c r="U3" s="35"/>
      <c r="V3" s="88" t="s">
        <v>138</v>
      </c>
      <c r="W3" s="88" t="s">
        <v>139</v>
      </c>
      <c r="X3" s="88" t="s">
        <v>140</v>
      </c>
      <c r="Y3" s="88" t="s">
        <v>141</v>
      </c>
      <c r="Z3" s="88" t="s">
        <v>142</v>
      </c>
      <c r="AA3" s="88" t="s">
        <v>143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144</v>
      </c>
      <c r="C4" s="37" t="s">
        <v>61</v>
      </c>
      <c r="D4" s="37" t="s">
        <v>145</v>
      </c>
      <c r="E4" s="37" t="s">
        <v>62</v>
      </c>
      <c r="F4" s="38" t="s">
        <v>146</v>
      </c>
      <c r="G4" s="39">
        <v>13944441728</v>
      </c>
      <c r="H4" s="40"/>
      <c r="I4" s="40"/>
      <c r="J4" s="69"/>
      <c r="K4" s="40"/>
      <c r="L4" s="70">
        <v>8000</v>
      </c>
      <c r="M4" s="71">
        <f>VLOOKUP(C4,[2]Sheet1!$B$2:$D$16,3,0)</f>
        <v>319.46</v>
      </c>
      <c r="N4" s="71">
        <f>VLOOKUP(C4,[2]Sheet1!$B$2:$F$16,5,0)</f>
        <v>79.86</v>
      </c>
      <c r="O4" s="71">
        <f>VLOOKUP(C4,[2]Sheet1!$B$1:$E$16,4,0)</f>
        <v>11.98</v>
      </c>
      <c r="P4" s="71">
        <f>VLOOKUP(C4,[2]Sheet1!$B$2:$H$16,7,0)</f>
        <v>177.4</v>
      </c>
      <c r="Q4" s="89">
        <f>ROUND(SUM(M4:P4),2)</f>
        <v>588.7</v>
      </c>
      <c r="R4" s="70">
        <v>0</v>
      </c>
      <c r="S4" s="90">
        <f>L4+IFERROR(VLOOKUP($E:$E,'（居民）工资表-5月'!$E:$S,15,0),0)</f>
        <v>40000</v>
      </c>
      <c r="T4" s="91">
        <f>5000+IFERROR(VLOOKUP($E:$E,'（居民）工资表-5月'!$E:$T,16,0),0)</f>
        <v>25000</v>
      </c>
      <c r="U4" s="91">
        <f>Q4+IFERROR(VLOOKUP($E:$E,'（居民）工资表-5月'!$E:$U,17,0),0)</f>
        <v>3008.16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R4+IFERROR(VLOOKUP($E:$E,'（居民）工资表-5月'!$E:$AC,25,0),0)</f>
        <v>0</v>
      </c>
      <c r="AD4" s="95">
        <f>ROUND(S4-T4-U4-AB4-AC4,2)</f>
        <v>11991.84</v>
      </c>
      <c r="AE4" s="96">
        <f>ROUND(MAX((AD4)*{0.03;0.1;0.2;0.25;0.3;0.35;0.45}-{0;2520;16920;31920;52920;85920;181920},0),2)</f>
        <v>359.76</v>
      </c>
      <c r="AF4" s="97">
        <f>IFERROR(VLOOKUP(E:E,'（居民）工资表-5月'!E:AF,28,0)+VLOOKUP(E:E,'（居民）工资表-5月'!E:AG,29,0),0)</f>
        <v>287.42</v>
      </c>
      <c r="AG4" s="97">
        <f>IF((AE4-AF4)&lt;0,0,AE4-AF4)</f>
        <v>72.34</v>
      </c>
      <c r="AH4" s="107">
        <f>ROUND(IF((L4-Q4-AG4)&lt;0,0,(L4-Q4-AG4)),2)</f>
        <v>7338.96</v>
      </c>
      <c r="AI4" s="108"/>
      <c r="AJ4" s="107">
        <f>AH4+AI4</f>
        <v>7338.96</v>
      </c>
      <c r="AK4" s="109"/>
      <c r="AL4" s="107">
        <f>AJ4+AG4+AK4</f>
        <v>7411.3</v>
      </c>
      <c r="AM4" s="109"/>
      <c r="AN4" s="109"/>
      <c r="AO4" s="109"/>
      <c r="AP4" s="109"/>
      <c r="AQ4" s="109"/>
      <c r="AR4" s="116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>IF(SUMPRODUCT(N(E$1:E$19=E4))&gt;1,"重复","不")</f>
        <v>不</v>
      </c>
      <c r="AT4" s="116" t="str">
        <f>IF(SUMPRODUCT(N(AO$1:AO$19=AO4))&gt;1,"重复","不")</f>
        <v>重复</v>
      </c>
    </row>
    <row r="5" s="12" customFormat="1" ht="18" customHeight="1" spans="1:46">
      <c r="A5" s="36">
        <v>2</v>
      </c>
      <c r="B5" s="37" t="s">
        <v>144</v>
      </c>
      <c r="C5" s="37" t="s">
        <v>148</v>
      </c>
      <c r="D5" s="37" t="s">
        <v>145</v>
      </c>
      <c r="E5" s="329" t="s">
        <v>149</v>
      </c>
      <c r="F5" s="38" t="s">
        <v>150</v>
      </c>
      <c r="G5" s="39">
        <v>15360550807</v>
      </c>
      <c r="H5" s="40"/>
      <c r="I5" s="40"/>
      <c r="J5" s="69"/>
      <c r="K5" s="40"/>
      <c r="L5" s="70">
        <v>6100</v>
      </c>
      <c r="M5" s="71">
        <f>VLOOKUP(C5,[2]Sheet1!$B$2:$D$16,3,0)</f>
        <v>422.72</v>
      </c>
      <c r="N5" s="71">
        <f>VLOOKUP(C5,[2]Sheet1!$B$2:$F$16,5,0)</f>
        <v>119.92</v>
      </c>
      <c r="O5" s="71">
        <f>VLOOKUP(C5,[2]Sheet1!$B$1:$E$16,4,0)</f>
        <v>4.6</v>
      </c>
      <c r="P5" s="71">
        <f>VLOOKUP(C5,[2]Sheet1!$B$2:$H$16,7,0)</f>
        <v>115</v>
      </c>
      <c r="Q5" s="89">
        <f>ROUND(SUM(M5:P5),2)</f>
        <v>662.24</v>
      </c>
      <c r="R5" s="70">
        <v>0</v>
      </c>
      <c r="S5" s="90">
        <f>L5+IFERROR(VLOOKUP($E:$E,'（居民）工资表-5月'!$E:$S,15,0),0)</f>
        <v>29820</v>
      </c>
      <c r="T5" s="91">
        <f>5000+IFERROR(VLOOKUP($E:$E,'（居民）工资表-5月'!$E:$T,16,0),0)</f>
        <v>25000</v>
      </c>
      <c r="U5" s="91">
        <f>Q5+IFERROR(VLOOKUP($E:$E,'（居民）工资表-5月'!$E:$U,17,0),0)</f>
        <v>3481.12</v>
      </c>
      <c r="V5" s="70"/>
      <c r="W5" s="70"/>
      <c r="X5" s="70"/>
      <c r="Y5" s="70"/>
      <c r="Z5" s="70"/>
      <c r="AA5" s="70"/>
      <c r="AB5" s="90">
        <f>ROUND(SUM(V5:AA5),2)</f>
        <v>0</v>
      </c>
      <c r="AC5" s="90">
        <f>R5+IFERROR(VLOOKUP($E:$E,'（居民）工资表-5月'!$E:$AC,25,0),0)</f>
        <v>0</v>
      </c>
      <c r="AD5" s="95">
        <f>ROUND(S5-T5-U5-AB5-AC5,2)</f>
        <v>1338.88</v>
      </c>
      <c r="AE5" s="96">
        <f>ROUND(MAX((AD5)*{0.03;0.1;0.2;0.25;0.3;0.35;0.45}-{0;2520;16920;31920;52920;85920;181920},0),2)</f>
        <v>40.17</v>
      </c>
      <c r="AF5" s="97">
        <f>IFERROR(VLOOKUP(E:E,'（居民）工资表-5月'!E:AF,28,0)+VLOOKUP(E:E,'（居民）工资表-5月'!E:AG,29,0),0)</f>
        <v>27.03</v>
      </c>
      <c r="AG5" s="97">
        <f>IF((AE5-AF5)&lt;0,0,AE5-AF5)</f>
        <v>13.14</v>
      </c>
      <c r="AH5" s="107">
        <f>ROUND(IF((L5-Q5-AG5)&lt;0,0,(L5-Q5-AG5)),2)</f>
        <v>5424.62</v>
      </c>
      <c r="AI5" s="108"/>
      <c r="AJ5" s="107">
        <f>AH5+AI5</f>
        <v>5424.62</v>
      </c>
      <c r="AK5" s="109"/>
      <c r="AL5" s="107">
        <f>AJ5+AG5+AK5</f>
        <v>5437.76</v>
      </c>
      <c r="AM5" s="109"/>
      <c r="AN5" s="109"/>
      <c r="AO5" s="109"/>
      <c r="AP5" s="109"/>
      <c r="AQ5" s="109"/>
      <c r="AR5" s="116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6" t="str">
        <f>IF(SUMPRODUCT(N(E$1:E$19=E5))&gt;1,"重复","不")</f>
        <v>不</v>
      </c>
      <c r="AT5" s="116" t="str">
        <f>IF(SUMPRODUCT(N(AO$1:AO$19=AO5))&gt;1,"重复","不")</f>
        <v>重复</v>
      </c>
    </row>
    <row r="6" s="12" customFormat="1" ht="18" customHeight="1" spans="1:46">
      <c r="A6" s="36">
        <v>3</v>
      </c>
      <c r="B6" s="37" t="s">
        <v>144</v>
      </c>
      <c r="C6" s="37" t="s">
        <v>151</v>
      </c>
      <c r="D6" s="37" t="s">
        <v>145</v>
      </c>
      <c r="E6" s="329" t="s">
        <v>152</v>
      </c>
      <c r="F6" s="38" t="s">
        <v>146</v>
      </c>
      <c r="G6" s="39" t="s">
        <v>153</v>
      </c>
      <c r="H6" s="40"/>
      <c r="I6" s="40"/>
      <c r="J6" s="69"/>
      <c r="K6" s="40"/>
      <c r="L6" s="70">
        <v>30060</v>
      </c>
      <c r="M6" s="71">
        <f>VLOOKUP(C6,[2]Sheet1!$B$2:$D$16,3,0)</f>
        <v>584.8</v>
      </c>
      <c r="N6" s="71">
        <f>VLOOKUP(C6,[2]Sheet1!$B$2:$F$16,5,0)</f>
        <v>146.2</v>
      </c>
      <c r="O6" s="71">
        <f>VLOOKUP(C6,[2]Sheet1!$B$1:$E$16,4,0)</f>
        <v>36.55</v>
      </c>
      <c r="P6" s="71">
        <f>VLOOKUP(C6,[2]Sheet1!$B$2:$H$16,7,0)</f>
        <v>181</v>
      </c>
      <c r="Q6" s="89">
        <f>ROUND(SUM(M6:P6),2)</f>
        <v>948.55</v>
      </c>
      <c r="R6" s="70">
        <v>0</v>
      </c>
      <c r="S6" s="90">
        <f>L6+IFERROR(VLOOKUP($E:$E,'（居民）工资表-5月'!$E:$S,15,0),0)</f>
        <v>150300</v>
      </c>
      <c r="T6" s="91">
        <f>5000+IFERROR(VLOOKUP($E:$E,'（居民）工资表-5月'!$E:$T,16,0),0)</f>
        <v>25000</v>
      </c>
      <c r="U6" s="91">
        <f>Q6+IFERROR(VLOOKUP($E:$E,'（居民）工资表-5月'!$E:$U,17,0),0)</f>
        <v>4772.29</v>
      </c>
      <c r="V6" s="70"/>
      <c r="W6" s="70"/>
      <c r="X6" s="70"/>
      <c r="Y6" s="70"/>
      <c r="Z6" s="70"/>
      <c r="AA6" s="70"/>
      <c r="AB6" s="90">
        <f>ROUND(SUM(V6:AA6),2)</f>
        <v>0</v>
      </c>
      <c r="AC6" s="90">
        <f>R6+IFERROR(VLOOKUP($E:$E,'（居民）工资表-5月'!$E:$AC,25,0),0)</f>
        <v>0</v>
      </c>
      <c r="AD6" s="95">
        <f>ROUND(S6-T6-U6-AB6-AC6,2)</f>
        <v>120527.71</v>
      </c>
      <c r="AE6" s="96">
        <f>ROUND(MAX((AD6)*{0.03;0.1;0.2;0.25;0.3;0.35;0.45}-{0;2520;16920;31920;52920;85920;181920},0),2)</f>
        <v>9532.77</v>
      </c>
      <c r="AF6" s="97">
        <f>IFERROR(VLOOKUP(E:E,'（居民）工资表-5月'!E:AF,28,0)+VLOOKUP(E:E,'（居民）工资表-5月'!E:AG,29,0),0)</f>
        <v>7121.63</v>
      </c>
      <c r="AG6" s="97">
        <f>IF((AE6-AF6)&lt;0,0,AE6-AF6)</f>
        <v>2411.14</v>
      </c>
      <c r="AH6" s="107">
        <f>ROUND(IF((L6-Q6-AG6)&lt;0,0,(L6-Q6-AG6)),2)</f>
        <v>26700.31</v>
      </c>
      <c r="AI6" s="108"/>
      <c r="AJ6" s="107">
        <f>AH6+AI6</f>
        <v>26700.31</v>
      </c>
      <c r="AK6" s="109"/>
      <c r="AL6" s="107">
        <f>AJ6+AG6+AK6</f>
        <v>29111.45</v>
      </c>
      <c r="AM6" s="109"/>
      <c r="AN6" s="109"/>
      <c r="AO6" s="109"/>
      <c r="AP6" s="109"/>
      <c r="AQ6" s="109"/>
      <c r="AR6" s="116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6" t="str">
        <f>IF(SUMPRODUCT(N(E$1:E$19=E6))&gt;1,"重复","不")</f>
        <v>不</v>
      </c>
      <c r="AT6" s="116" t="str">
        <f>IF(SUMPRODUCT(N(AO$1:AO$19=AO6))&gt;1,"重复","不")</f>
        <v>重复</v>
      </c>
    </row>
    <row r="7" s="12" customFormat="1" ht="18" customHeight="1" spans="1:46">
      <c r="A7" s="36">
        <v>4</v>
      </c>
      <c r="B7" s="37" t="s">
        <v>144</v>
      </c>
      <c r="C7" s="37" t="s">
        <v>156</v>
      </c>
      <c r="D7" s="37" t="s">
        <v>145</v>
      </c>
      <c r="E7" s="329" t="s">
        <v>157</v>
      </c>
      <c r="F7" s="38" t="s">
        <v>146</v>
      </c>
      <c r="G7" s="39" t="s">
        <v>158</v>
      </c>
      <c r="H7" s="40"/>
      <c r="I7" s="40"/>
      <c r="J7" s="69"/>
      <c r="K7" s="40"/>
      <c r="L7" s="70">
        <v>9000</v>
      </c>
      <c r="M7" s="71">
        <f>VLOOKUP(C7,[2]Sheet1!$B$2:$D$16,3,0)</f>
        <v>321.52</v>
      </c>
      <c r="N7" s="71">
        <f>VLOOKUP(C7,[2]Sheet1!$B$2:$F$16,5,0)</f>
        <v>89.09</v>
      </c>
      <c r="O7" s="71">
        <f>VLOOKUP(C7,[2]Sheet1!$B$1:$E$16,4,0)</f>
        <v>20.1</v>
      </c>
      <c r="P7" s="71">
        <f>VLOOKUP(C7,[2]Sheet1!$B$2:$H$16,7,0)</f>
        <v>97</v>
      </c>
      <c r="Q7" s="89">
        <f t="shared" ref="Q7:Q18" si="0">ROUND(SUM(M7:P7),2)</f>
        <v>527.71</v>
      </c>
      <c r="R7" s="70">
        <v>0</v>
      </c>
      <c r="S7" s="90">
        <f>L7+IFERROR(VLOOKUP($E:$E,'（居民）工资表-5月'!$E:$S,15,0),0)</f>
        <v>44000</v>
      </c>
      <c r="T7" s="91">
        <f>5000+IFERROR(VLOOKUP($E:$E,'（居民）工资表-5月'!$E:$T,16,0),0)</f>
        <v>25000</v>
      </c>
      <c r="U7" s="91">
        <f>Q7+IFERROR(VLOOKUP($E:$E,'（居民）工资表-5月'!$E:$U,17,0),0)</f>
        <v>2683.13</v>
      </c>
      <c r="V7" s="70"/>
      <c r="W7" s="70"/>
      <c r="X7" s="70"/>
      <c r="Y7" s="70"/>
      <c r="Z7" s="70"/>
      <c r="AA7" s="70"/>
      <c r="AB7" s="90">
        <f t="shared" ref="AB7:AB18" si="1">ROUND(SUM(V7:AA7),2)</f>
        <v>0</v>
      </c>
      <c r="AC7" s="90">
        <f>R7+IFERROR(VLOOKUP($E:$E,'（居民）工资表-5月'!$E:$AC,25,0),0)</f>
        <v>0</v>
      </c>
      <c r="AD7" s="95">
        <f t="shared" ref="AD7:AD18" si="2">ROUND(S7-T7-U7-AB7-AC7,2)</f>
        <v>16316.87</v>
      </c>
      <c r="AE7" s="96">
        <f>ROUND(MAX((AD7)*{0.03;0.1;0.2;0.25;0.3;0.35;0.45}-{0;2520;16920;31920;52920;85920;181920},0),2)</f>
        <v>489.51</v>
      </c>
      <c r="AF7" s="97">
        <f>IFERROR(VLOOKUP(E:E,'（居民）工资表-5月'!E:AF,28,0)+VLOOKUP(E:E,'（居民）工资表-5月'!E:AG,29,0),0)</f>
        <v>385.34</v>
      </c>
      <c r="AG7" s="97">
        <f t="shared" ref="AG7:AG18" si="3">IF((AE7-AF7)&lt;0,0,AE7-AF7)</f>
        <v>104.17</v>
      </c>
      <c r="AH7" s="107">
        <f t="shared" ref="AH7:AH18" si="4">ROUND(IF((L7-Q7-AG7)&lt;0,0,(L7-Q7-AG7)),2)</f>
        <v>8368.12</v>
      </c>
      <c r="AI7" s="108"/>
      <c r="AJ7" s="107">
        <f t="shared" ref="AJ7:AJ18" si="5">AH7+AI7</f>
        <v>8368.12</v>
      </c>
      <c r="AK7" s="109"/>
      <c r="AL7" s="107">
        <f t="shared" ref="AL7:AL18" si="6">AJ7+AG7+AK7</f>
        <v>8472.29</v>
      </c>
      <c r="AM7" s="109"/>
      <c r="AN7" s="109"/>
      <c r="AO7" s="109"/>
      <c r="AP7" s="109"/>
      <c r="AQ7" s="109"/>
      <c r="AR7" s="116" t="str">
        <f t="shared" ref="AR7:AR18" si="7"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116" t="str">
        <f t="shared" ref="AS7:AS17" si="8">IF(SUMPRODUCT(N(E$1:E$19=E7))&gt;1,"重复","不")</f>
        <v>不</v>
      </c>
      <c r="AT7" s="116" t="str">
        <f t="shared" ref="AT7:AT17" si="9">IF(SUMPRODUCT(N(AO$1:AO$19=AO7))&gt;1,"重复","不")</f>
        <v>重复</v>
      </c>
    </row>
    <row r="8" s="12" customFormat="1" ht="18" customHeight="1" spans="1:46">
      <c r="A8" s="36">
        <v>5</v>
      </c>
      <c r="B8" s="37" t="s">
        <v>144</v>
      </c>
      <c r="C8" s="37" t="s">
        <v>160</v>
      </c>
      <c r="D8" s="37" t="s">
        <v>145</v>
      </c>
      <c r="E8" s="329" t="s">
        <v>161</v>
      </c>
      <c r="F8" s="38" t="s">
        <v>146</v>
      </c>
      <c r="G8" s="39">
        <v>19356875630</v>
      </c>
      <c r="H8" s="40"/>
      <c r="I8" s="40"/>
      <c r="J8" s="69"/>
      <c r="K8" s="40"/>
      <c r="L8" s="70">
        <v>10500</v>
      </c>
      <c r="M8" s="71">
        <f>VLOOKUP(C8,[2]Sheet1!$B$2:$D$16,3,0)</f>
        <v>321.52</v>
      </c>
      <c r="N8" s="71">
        <f>VLOOKUP(C8,[2]Sheet1!$B$2:$F$16,5,0)</f>
        <v>86.38</v>
      </c>
      <c r="O8" s="71">
        <f>VLOOKUP(C8,[2]Sheet1!$B$1:$E$16,4,0)</f>
        <v>20.1</v>
      </c>
      <c r="P8" s="71">
        <f>VLOOKUP(C8,[2]Sheet1!$B$2:$H$16,7,0)</f>
        <v>344</v>
      </c>
      <c r="Q8" s="89">
        <f t="shared" si="0"/>
        <v>772</v>
      </c>
      <c r="R8" s="70">
        <v>0</v>
      </c>
      <c r="S8" s="90">
        <f>L8+IFERROR(VLOOKUP($E:$E,'（居民）工资表-5月'!$E:$S,15,0),0)</f>
        <v>52500</v>
      </c>
      <c r="T8" s="91">
        <f>5000+IFERROR(VLOOKUP($E:$E,'（居民）工资表-5月'!$E:$T,16,0),0)</f>
        <v>25000</v>
      </c>
      <c r="U8" s="91">
        <f>Q8+IFERROR(VLOOKUP($E:$E,'（居民）工资表-5月'!$E:$U,17,0),0)</f>
        <v>3903.68</v>
      </c>
      <c r="V8" s="70"/>
      <c r="W8" s="70"/>
      <c r="X8" s="70"/>
      <c r="Y8" s="70"/>
      <c r="Z8" s="70"/>
      <c r="AA8" s="70"/>
      <c r="AB8" s="90">
        <f t="shared" si="1"/>
        <v>0</v>
      </c>
      <c r="AC8" s="90">
        <f>R8+IFERROR(VLOOKUP($E:$E,'（居民）工资表-5月'!$E:$AC,25,0),0)</f>
        <v>0</v>
      </c>
      <c r="AD8" s="95">
        <f t="shared" si="2"/>
        <v>23596.32</v>
      </c>
      <c r="AE8" s="96">
        <f>ROUND(MAX((AD8)*{0.03;0.1;0.2;0.25;0.3;0.35;0.45}-{0;2520;16920;31920;52920;85920;181920},0),2)</f>
        <v>707.89</v>
      </c>
      <c r="AF8" s="97">
        <f>IFERROR(VLOOKUP(E:E,'（居民）工资表-5月'!E:AF,28,0)+VLOOKUP(E:E,'（居民）工资表-5月'!E:AG,29,0),0)</f>
        <v>566.05</v>
      </c>
      <c r="AG8" s="97">
        <f t="shared" si="3"/>
        <v>141.84</v>
      </c>
      <c r="AH8" s="107">
        <f t="shared" si="4"/>
        <v>9586.16</v>
      </c>
      <c r="AI8" s="108"/>
      <c r="AJ8" s="107">
        <f t="shared" si="5"/>
        <v>9586.16</v>
      </c>
      <c r="AK8" s="109"/>
      <c r="AL8" s="107">
        <f t="shared" si="6"/>
        <v>9728</v>
      </c>
      <c r="AM8" s="109"/>
      <c r="AN8" s="109"/>
      <c r="AO8" s="109"/>
      <c r="AP8" s="109"/>
      <c r="AQ8" s="109"/>
      <c r="AR8" s="116" t="str">
        <f t="shared" si="7"/>
        <v>正确</v>
      </c>
      <c r="AS8" s="116" t="str">
        <f t="shared" si="8"/>
        <v>不</v>
      </c>
      <c r="AT8" s="116" t="str">
        <f t="shared" si="9"/>
        <v>重复</v>
      </c>
    </row>
    <row r="9" s="12" customFormat="1" ht="18" customHeight="1" spans="1:46">
      <c r="A9" s="36">
        <v>6</v>
      </c>
      <c r="B9" s="37" t="s">
        <v>144</v>
      </c>
      <c r="C9" s="37" t="s">
        <v>162</v>
      </c>
      <c r="D9" s="37" t="s">
        <v>145</v>
      </c>
      <c r="E9" s="329" t="s">
        <v>163</v>
      </c>
      <c r="F9" s="38" t="s">
        <v>146</v>
      </c>
      <c r="G9" s="39">
        <v>13973652684</v>
      </c>
      <c r="H9" s="40"/>
      <c r="I9" s="40"/>
      <c r="J9" s="69"/>
      <c r="K9" s="40"/>
      <c r="L9" s="70">
        <v>6500</v>
      </c>
      <c r="M9" s="71">
        <f>VLOOKUP(C9,[2]Sheet1!$B$2:$D$16,3,0)</f>
        <v>324.24</v>
      </c>
      <c r="N9" s="71">
        <f>VLOOKUP(C9,[2]Sheet1!$B$2:$F$16,5,0)</f>
        <v>90.4</v>
      </c>
      <c r="O9" s="71">
        <f>VLOOKUP(C9,[2]Sheet1!$B$1:$E$16,4,0)</f>
        <v>12.16</v>
      </c>
      <c r="P9" s="71">
        <f>VLOOKUP(C9,[2]Sheet1!$B$2:$H$16,7,0)</f>
        <v>100</v>
      </c>
      <c r="Q9" s="89">
        <f t="shared" si="0"/>
        <v>526.8</v>
      </c>
      <c r="R9" s="70">
        <v>0</v>
      </c>
      <c r="S9" s="90">
        <f>L9+IFERROR(VLOOKUP($E:$E,'（居民）工资表-5月'!$E:$S,15,0),0)</f>
        <v>32500</v>
      </c>
      <c r="T9" s="91">
        <f>5000+IFERROR(VLOOKUP($E:$E,'（居民）工资表-5月'!$E:$T,16,0),0)</f>
        <v>25000</v>
      </c>
      <c r="U9" s="91">
        <f>Q9+IFERROR(VLOOKUP($E:$E,'（居民）工资表-5月'!$E:$U,17,0),0)</f>
        <v>2733.25</v>
      </c>
      <c r="V9" s="70"/>
      <c r="W9" s="70"/>
      <c r="X9" s="70"/>
      <c r="Y9" s="70"/>
      <c r="Z9" s="70"/>
      <c r="AA9" s="70"/>
      <c r="AB9" s="90">
        <f t="shared" si="1"/>
        <v>0</v>
      </c>
      <c r="AC9" s="90">
        <f>R9+IFERROR(VLOOKUP($E:$E,'（居民）工资表-5月'!$E:$AC,25,0),0)</f>
        <v>0</v>
      </c>
      <c r="AD9" s="95">
        <f t="shared" si="2"/>
        <v>4766.75</v>
      </c>
      <c r="AE9" s="96">
        <f>ROUND(MAX((AD9)*{0.03;0.1;0.2;0.25;0.3;0.35;0.45}-{0;2520;16920;31920;52920;85920;181920},0),2)</f>
        <v>143</v>
      </c>
      <c r="AF9" s="97">
        <f>IFERROR(VLOOKUP(E:E,'（居民）工资表-5月'!E:AF,28,0)+VLOOKUP(E:E,'（居民）工资表-5月'!E:AG,29,0),0)</f>
        <v>113.81</v>
      </c>
      <c r="AG9" s="97">
        <f t="shared" si="3"/>
        <v>29.19</v>
      </c>
      <c r="AH9" s="107">
        <f t="shared" si="4"/>
        <v>5944.01</v>
      </c>
      <c r="AI9" s="108"/>
      <c r="AJ9" s="107">
        <f t="shared" si="5"/>
        <v>5944.01</v>
      </c>
      <c r="AK9" s="109"/>
      <c r="AL9" s="107">
        <f t="shared" si="6"/>
        <v>5973.2</v>
      </c>
      <c r="AM9" s="109"/>
      <c r="AN9" s="109"/>
      <c r="AO9" s="109"/>
      <c r="AP9" s="109"/>
      <c r="AQ9" s="109"/>
      <c r="AR9" s="116" t="str">
        <f t="shared" si="7"/>
        <v>正确</v>
      </c>
      <c r="AS9" s="116" t="str">
        <f t="shared" si="8"/>
        <v>不</v>
      </c>
      <c r="AT9" s="116" t="str">
        <f t="shared" si="9"/>
        <v>重复</v>
      </c>
    </row>
    <row r="10" s="12" customFormat="1" ht="18" customHeight="1" spans="1:46">
      <c r="A10" s="36">
        <v>7</v>
      </c>
      <c r="B10" s="37" t="s">
        <v>144</v>
      </c>
      <c r="C10" s="37" t="s">
        <v>165</v>
      </c>
      <c r="D10" s="37" t="s">
        <v>145</v>
      </c>
      <c r="E10" s="329" t="s">
        <v>166</v>
      </c>
      <c r="F10" s="38" t="s">
        <v>150</v>
      </c>
      <c r="G10" s="39" t="s">
        <v>167</v>
      </c>
      <c r="H10" s="40"/>
      <c r="I10" s="40"/>
      <c r="J10" s="69"/>
      <c r="K10" s="40"/>
      <c r="L10" s="70">
        <v>4525.84</v>
      </c>
      <c r="M10" s="71">
        <f>VLOOKUP(C10,[2]Sheet1!$B$2:$D$16,3,0)</f>
        <v>380.08</v>
      </c>
      <c r="N10" s="71">
        <f>VLOOKUP(C10,[2]Sheet1!$B$2:$F$16,5,0)</f>
        <v>117.02</v>
      </c>
      <c r="O10" s="71">
        <f>VLOOKUP(C10,[2]Sheet1!$B$1:$E$16,4,0)</f>
        <v>23.76</v>
      </c>
      <c r="P10" s="71">
        <f>VLOOKUP(C10,[2]Sheet1!$B$2:$H$16,7,0)</f>
        <v>109</v>
      </c>
      <c r="Q10" s="89">
        <f t="shared" si="0"/>
        <v>629.86</v>
      </c>
      <c r="R10" s="70">
        <v>0</v>
      </c>
      <c r="S10" s="90">
        <f>L10+IFERROR(VLOOKUP($E:$E,'（居民）工资表-5月'!$E:$S,15,0),0)</f>
        <v>22423.32</v>
      </c>
      <c r="T10" s="91">
        <f>5000+IFERROR(VLOOKUP($E:$E,'（居民）工资表-5月'!$E:$T,16,0),0)</f>
        <v>25000</v>
      </c>
      <c r="U10" s="91">
        <f>Q10+IFERROR(VLOOKUP($E:$E,'（居民）工资表-5月'!$E:$U,17,0),0)</f>
        <v>3218.32</v>
      </c>
      <c r="V10" s="70"/>
      <c r="W10" s="70"/>
      <c r="X10" s="70"/>
      <c r="Y10" s="70"/>
      <c r="Z10" s="70"/>
      <c r="AA10" s="70"/>
      <c r="AB10" s="90">
        <f t="shared" si="1"/>
        <v>0</v>
      </c>
      <c r="AC10" s="90">
        <f>R10+IFERROR(VLOOKUP($E:$E,'（居民）工资表-5月'!$E:$AC,25,0),0)</f>
        <v>0</v>
      </c>
      <c r="AD10" s="95">
        <f t="shared" si="2"/>
        <v>-5795</v>
      </c>
      <c r="AE10" s="96">
        <f>ROUND(MAX((AD10)*{0.03;0.1;0.2;0.25;0.3;0.35;0.45}-{0;2520;16920;31920;52920;85920;181920},0),2)</f>
        <v>0</v>
      </c>
      <c r="AF10" s="97">
        <f>IFERROR(VLOOKUP(E:E,'（居民）工资表-5月'!E:AF,28,0)+VLOOKUP(E:E,'（居民）工资表-5月'!E:AG,29,0),0)</f>
        <v>0</v>
      </c>
      <c r="AG10" s="97">
        <f t="shared" si="3"/>
        <v>0</v>
      </c>
      <c r="AH10" s="107">
        <f t="shared" si="4"/>
        <v>3895.98</v>
      </c>
      <c r="AI10" s="108"/>
      <c r="AJ10" s="107">
        <f t="shared" si="5"/>
        <v>3895.98</v>
      </c>
      <c r="AK10" s="109"/>
      <c r="AL10" s="107">
        <f t="shared" si="6"/>
        <v>3895.98</v>
      </c>
      <c r="AM10" s="109"/>
      <c r="AN10" s="109"/>
      <c r="AO10" s="109"/>
      <c r="AP10" s="109"/>
      <c r="AQ10" s="109"/>
      <c r="AR10" s="116" t="str">
        <f t="shared" si="7"/>
        <v>正确</v>
      </c>
      <c r="AS10" s="116" t="str">
        <f t="shared" si="8"/>
        <v>不</v>
      </c>
      <c r="AT10" s="116" t="str">
        <f t="shared" si="9"/>
        <v>重复</v>
      </c>
    </row>
    <row r="11" s="12" customFormat="1" ht="18" customHeight="1" spans="1:46">
      <c r="A11" s="36">
        <v>8</v>
      </c>
      <c r="B11" s="37" t="s">
        <v>144</v>
      </c>
      <c r="C11" s="37" t="s">
        <v>170</v>
      </c>
      <c r="D11" s="37" t="s">
        <v>145</v>
      </c>
      <c r="E11" s="329" t="s">
        <v>171</v>
      </c>
      <c r="F11" s="38" t="s">
        <v>146</v>
      </c>
      <c r="G11" s="39">
        <v>18356553626</v>
      </c>
      <c r="H11" s="40"/>
      <c r="I11" s="40"/>
      <c r="J11" s="69"/>
      <c r="K11" s="40"/>
      <c r="L11" s="70">
        <v>8500</v>
      </c>
      <c r="M11" s="71">
        <f>VLOOKUP(C11,[2]Sheet1!$B$2:$D$16,3,0)</f>
        <v>321.52</v>
      </c>
      <c r="N11" s="71">
        <f>VLOOKUP(C11,[2]Sheet1!$B$2:$F$16,5,0)</f>
        <v>120.38</v>
      </c>
      <c r="O11" s="71">
        <f>VLOOKUP(C11,[2]Sheet1!$B$1:$E$16,4,0)</f>
        <v>20.1</v>
      </c>
      <c r="P11" s="71">
        <f>VLOOKUP(C11,[2]Sheet1!$B$2:$H$16,7,0)</f>
        <v>97</v>
      </c>
      <c r="Q11" s="89">
        <f t="shared" si="0"/>
        <v>559</v>
      </c>
      <c r="R11" s="70">
        <v>0</v>
      </c>
      <c r="S11" s="90">
        <f>L11+IFERROR(VLOOKUP($E:$E,'（居民）工资表-5月'!$E:$S,15,0),0)</f>
        <v>43500</v>
      </c>
      <c r="T11" s="91">
        <f>5000+IFERROR(VLOOKUP($E:$E,'（居民）工资表-5月'!$E:$T,16,0),0)</f>
        <v>25000</v>
      </c>
      <c r="U11" s="91">
        <f>Q11+IFERROR(VLOOKUP($E:$E,'（居民）工资表-5月'!$E:$U,17,0),0)</f>
        <v>2838.68</v>
      </c>
      <c r="V11" s="70"/>
      <c r="W11" s="70"/>
      <c r="X11" s="70"/>
      <c r="Y11" s="70"/>
      <c r="Z11" s="70"/>
      <c r="AA11" s="70"/>
      <c r="AB11" s="90">
        <f t="shared" si="1"/>
        <v>0</v>
      </c>
      <c r="AC11" s="90">
        <f>R11+IFERROR(VLOOKUP($E:$E,'（居民）工资表-5月'!$E:$AC,25,0),0)</f>
        <v>0</v>
      </c>
      <c r="AD11" s="95">
        <f t="shared" si="2"/>
        <v>15661.32</v>
      </c>
      <c r="AE11" s="96">
        <f>ROUND(MAX((AD11)*{0.03;0.1;0.2;0.25;0.3;0.35;0.45}-{0;2520;16920;31920;52920;85920;181920},0),2)</f>
        <v>469.84</v>
      </c>
      <c r="AF11" s="97">
        <f>IFERROR(VLOOKUP(E:E,'（居民）工资表-5月'!E:AF,28,0)+VLOOKUP(E:E,'（居民）工资表-5月'!E:AG,29,0),0)</f>
        <v>381.61</v>
      </c>
      <c r="AG11" s="97">
        <f t="shared" si="3"/>
        <v>88.23</v>
      </c>
      <c r="AH11" s="107">
        <f t="shared" si="4"/>
        <v>7852.77</v>
      </c>
      <c r="AI11" s="108"/>
      <c r="AJ11" s="107">
        <f t="shared" si="5"/>
        <v>7852.77</v>
      </c>
      <c r="AK11" s="109"/>
      <c r="AL11" s="107">
        <f t="shared" si="6"/>
        <v>7941</v>
      </c>
      <c r="AM11" s="109"/>
      <c r="AN11" s="109"/>
      <c r="AO11" s="109"/>
      <c r="AP11" s="109"/>
      <c r="AQ11" s="109"/>
      <c r="AR11" s="116" t="str">
        <f t="shared" si="7"/>
        <v>正确</v>
      </c>
      <c r="AS11" s="116" t="str">
        <f t="shared" si="8"/>
        <v>不</v>
      </c>
      <c r="AT11" s="116" t="str">
        <f t="shared" si="9"/>
        <v>重复</v>
      </c>
    </row>
    <row r="12" s="12" customFormat="1" ht="18" customHeight="1" spans="1:46">
      <c r="A12" s="36">
        <v>9</v>
      </c>
      <c r="B12" s="37" t="s">
        <v>144</v>
      </c>
      <c r="C12" s="37" t="s">
        <v>174</v>
      </c>
      <c r="D12" s="37" t="s">
        <v>145</v>
      </c>
      <c r="E12" s="329" t="s">
        <v>175</v>
      </c>
      <c r="F12" s="38" t="s">
        <v>146</v>
      </c>
      <c r="G12" s="39">
        <v>18326897140</v>
      </c>
      <c r="H12" s="40"/>
      <c r="I12" s="40"/>
      <c r="J12" s="69"/>
      <c r="K12" s="40"/>
      <c r="L12" s="70">
        <v>7000</v>
      </c>
      <c r="M12" s="71">
        <f>VLOOKUP(C12,[2]Sheet1!$B$2:$D$16,3,0)</f>
        <v>321.52</v>
      </c>
      <c r="N12" s="71">
        <f>VLOOKUP(C12,[2]Sheet1!$B$2:$F$16,5,0)</f>
        <v>86.38</v>
      </c>
      <c r="O12" s="71">
        <f>VLOOKUP(C12,[2]Sheet1!$B$1:$E$16,4,0)</f>
        <v>20.1</v>
      </c>
      <c r="P12" s="71">
        <f>VLOOKUP(C12,[2]Sheet1!$B$2:$H$16,7,0)</f>
        <v>344</v>
      </c>
      <c r="Q12" s="89">
        <f t="shared" si="0"/>
        <v>772</v>
      </c>
      <c r="R12" s="70">
        <v>0</v>
      </c>
      <c r="S12" s="90">
        <f>L12+IFERROR(VLOOKUP($E:$E,'（居民）工资表-5月'!$E:$S,15,0),0)</f>
        <v>36000</v>
      </c>
      <c r="T12" s="91">
        <f>5000+IFERROR(VLOOKUP($E:$E,'（居民）工资表-5月'!$E:$T,16,0),0)</f>
        <v>25000</v>
      </c>
      <c r="U12" s="91">
        <f>Q12+IFERROR(VLOOKUP($E:$E,'（居民）工资表-5月'!$E:$U,17,0),0)</f>
        <v>3903.68</v>
      </c>
      <c r="V12" s="70"/>
      <c r="W12" s="70"/>
      <c r="X12" s="70"/>
      <c r="Y12" s="70"/>
      <c r="Z12" s="70"/>
      <c r="AA12" s="70"/>
      <c r="AB12" s="90">
        <f t="shared" si="1"/>
        <v>0</v>
      </c>
      <c r="AC12" s="90">
        <f>R12+IFERROR(VLOOKUP($E:$E,'（居民）工资表-5月'!$E:$AC,25,0),0)</f>
        <v>0</v>
      </c>
      <c r="AD12" s="95">
        <f t="shared" si="2"/>
        <v>7096.32</v>
      </c>
      <c r="AE12" s="96">
        <f>ROUND(MAX((AD12)*{0.03;0.1;0.2;0.25;0.3;0.35;0.45}-{0;2520;16920;31920;52920;85920;181920},0),2)</f>
        <v>212.89</v>
      </c>
      <c r="AF12" s="97">
        <f>IFERROR(VLOOKUP(E:E,'（居民）工资表-5月'!E:AF,28,0)+VLOOKUP(E:E,'（居民）工资表-5月'!E:AG,29,0),0)</f>
        <v>176.05</v>
      </c>
      <c r="AG12" s="97">
        <f t="shared" si="3"/>
        <v>36.84</v>
      </c>
      <c r="AH12" s="107">
        <f t="shared" si="4"/>
        <v>6191.16</v>
      </c>
      <c r="AI12" s="108"/>
      <c r="AJ12" s="107">
        <f t="shared" si="5"/>
        <v>6191.16</v>
      </c>
      <c r="AK12" s="109"/>
      <c r="AL12" s="107">
        <f t="shared" si="6"/>
        <v>6228</v>
      </c>
      <c r="AM12" s="109"/>
      <c r="AN12" s="109"/>
      <c r="AO12" s="109"/>
      <c r="AP12" s="109"/>
      <c r="AQ12" s="109"/>
      <c r="AR12" s="116" t="str">
        <f t="shared" si="7"/>
        <v>正确</v>
      </c>
      <c r="AS12" s="116" t="str">
        <f t="shared" si="8"/>
        <v>不</v>
      </c>
      <c r="AT12" s="116" t="str">
        <f t="shared" si="9"/>
        <v>重复</v>
      </c>
    </row>
    <row r="13" s="12" customFormat="1" ht="18" customHeight="1" spans="1:46">
      <c r="A13" s="36">
        <v>10</v>
      </c>
      <c r="B13" s="37" t="s">
        <v>144</v>
      </c>
      <c r="C13" s="37" t="s">
        <v>176</v>
      </c>
      <c r="D13" s="37" t="s">
        <v>145</v>
      </c>
      <c r="E13" s="329" t="s">
        <v>177</v>
      </c>
      <c r="F13" s="38" t="s">
        <v>146</v>
      </c>
      <c r="G13" s="39">
        <v>17201857014</v>
      </c>
      <c r="H13" s="40"/>
      <c r="I13" s="40"/>
      <c r="J13" s="69"/>
      <c r="K13" s="40"/>
      <c r="L13" s="70">
        <v>7000</v>
      </c>
      <c r="M13" s="71">
        <f>VLOOKUP(C13,[2]Sheet1!$B$2:$D$16,3,0)</f>
        <v>321.52</v>
      </c>
      <c r="N13" s="71">
        <f>VLOOKUP(C13,[2]Sheet1!$B$2:$F$16,5,0)</f>
        <v>86.38</v>
      </c>
      <c r="O13" s="71">
        <f>VLOOKUP(C13,[2]Sheet1!$B$1:$E$16,4,0)</f>
        <v>20.1</v>
      </c>
      <c r="P13" s="71">
        <f>VLOOKUP(C13,[2]Sheet1!$B$2:$H$16,7,0)</f>
        <v>344</v>
      </c>
      <c r="Q13" s="89">
        <f t="shared" si="0"/>
        <v>772</v>
      </c>
      <c r="R13" s="70">
        <v>0</v>
      </c>
      <c r="S13" s="90">
        <f>L13+IFERROR(VLOOKUP($E:$E,'（居民）工资表-5月'!$E:$S,15,0),0)</f>
        <v>37000</v>
      </c>
      <c r="T13" s="91">
        <f>5000+IFERROR(VLOOKUP($E:$E,'（居民）工资表-5月'!$E:$T,16,0),0)</f>
        <v>25000</v>
      </c>
      <c r="U13" s="91">
        <f>Q13+IFERROR(VLOOKUP($E:$E,'（居民）工资表-5月'!$E:$U,17,0),0)</f>
        <v>3903.68</v>
      </c>
      <c r="V13" s="70"/>
      <c r="W13" s="70"/>
      <c r="X13" s="70"/>
      <c r="Y13" s="70"/>
      <c r="Z13" s="70"/>
      <c r="AA13" s="70"/>
      <c r="AB13" s="90">
        <f t="shared" si="1"/>
        <v>0</v>
      </c>
      <c r="AC13" s="90">
        <f>R13+IFERROR(VLOOKUP($E:$E,'（居民）工资表-5月'!$E:$AC,25,0),0)</f>
        <v>0</v>
      </c>
      <c r="AD13" s="95">
        <f t="shared" si="2"/>
        <v>8096.32</v>
      </c>
      <c r="AE13" s="96">
        <f>ROUND(MAX((AD13)*{0.03;0.1;0.2;0.25;0.3;0.35;0.45}-{0;2520;16920;31920;52920;85920;181920},0),2)</f>
        <v>242.89</v>
      </c>
      <c r="AF13" s="97">
        <f>IFERROR(VLOOKUP(E:E,'（居民）工资表-5月'!E:AF,28,0)+VLOOKUP(E:E,'（居民）工资表-5月'!E:AG,29,0),0)</f>
        <v>206.05</v>
      </c>
      <c r="AG13" s="97">
        <f t="shared" si="3"/>
        <v>36.84</v>
      </c>
      <c r="AH13" s="107">
        <f t="shared" si="4"/>
        <v>6191.16</v>
      </c>
      <c r="AI13" s="108"/>
      <c r="AJ13" s="107">
        <f t="shared" si="5"/>
        <v>6191.16</v>
      </c>
      <c r="AK13" s="109"/>
      <c r="AL13" s="107">
        <f t="shared" si="6"/>
        <v>6228</v>
      </c>
      <c r="AM13" s="109"/>
      <c r="AN13" s="109"/>
      <c r="AO13" s="109"/>
      <c r="AP13" s="109"/>
      <c r="AQ13" s="109"/>
      <c r="AR13" s="116" t="str">
        <f t="shared" si="7"/>
        <v>正确</v>
      </c>
      <c r="AS13" s="116" t="str">
        <f t="shared" si="8"/>
        <v>不</v>
      </c>
      <c r="AT13" s="116" t="str">
        <f t="shared" si="9"/>
        <v>重复</v>
      </c>
    </row>
    <row r="14" s="12" customFormat="1" ht="18" customHeight="1" spans="1:46">
      <c r="A14" s="36">
        <v>11</v>
      </c>
      <c r="B14" s="37" t="s">
        <v>144</v>
      </c>
      <c r="C14" s="37" t="s">
        <v>178</v>
      </c>
      <c r="D14" s="37" t="s">
        <v>145</v>
      </c>
      <c r="E14" s="329" t="s">
        <v>179</v>
      </c>
      <c r="F14" s="38" t="s">
        <v>150</v>
      </c>
      <c r="G14" s="39" t="s">
        <v>180</v>
      </c>
      <c r="H14" s="40"/>
      <c r="I14" s="40"/>
      <c r="J14" s="69"/>
      <c r="K14" s="40"/>
      <c r="L14" s="70">
        <v>7000</v>
      </c>
      <c r="M14" s="71">
        <f>VLOOKUP(C14,[2]Sheet1!$B$2:$D$16,3,0)</f>
        <v>321.52</v>
      </c>
      <c r="N14" s="71">
        <f>VLOOKUP(C14,[2]Sheet1!$B$2:$F$16,5,0)</f>
        <v>120.38</v>
      </c>
      <c r="O14" s="71">
        <f>VLOOKUP(C14,[2]Sheet1!$B$1:$E$16,4,0)</f>
        <v>20.1</v>
      </c>
      <c r="P14" s="71">
        <f>VLOOKUP(C14,[2]Sheet1!$B$2:$H$16,7,0)</f>
        <v>97</v>
      </c>
      <c r="Q14" s="89">
        <f t="shared" si="0"/>
        <v>559</v>
      </c>
      <c r="R14" s="70">
        <v>0</v>
      </c>
      <c r="S14" s="90">
        <f>L14+IFERROR(VLOOKUP($E:$E,'（居民）工资表-5月'!$E:$S,15,0),0)</f>
        <v>21000</v>
      </c>
      <c r="T14" s="91">
        <f>5000+IFERROR(VLOOKUP($E:$E,'（居民）工资表-5月'!$E:$T,16,0),0)</f>
        <v>15000</v>
      </c>
      <c r="U14" s="91">
        <f>Q14+IFERROR(VLOOKUP($E:$E,'（居民）工资表-5月'!$E:$U,17,0),0)</f>
        <v>1677</v>
      </c>
      <c r="V14" s="70"/>
      <c r="W14" s="70"/>
      <c r="X14" s="70"/>
      <c r="Y14" s="70"/>
      <c r="Z14" s="70"/>
      <c r="AA14" s="70"/>
      <c r="AB14" s="90">
        <f t="shared" si="1"/>
        <v>0</v>
      </c>
      <c r="AC14" s="90">
        <f>R14+IFERROR(VLOOKUP($E:$E,'（居民）工资表-5月'!$E:$AC,25,0),0)</f>
        <v>0</v>
      </c>
      <c r="AD14" s="95">
        <f t="shared" si="2"/>
        <v>4323</v>
      </c>
      <c r="AE14" s="96">
        <f>ROUND(MAX((AD14)*{0.03;0.1;0.2;0.25;0.3;0.35;0.45}-{0;2520;16920;31920;52920;85920;181920},0),2)</f>
        <v>129.69</v>
      </c>
      <c r="AF14" s="97">
        <f>IFERROR(VLOOKUP(E:E,'（居民）工资表-5月'!E:AF,28,0)+VLOOKUP(E:E,'（居民）工资表-5月'!E:AG,29,0),0)</f>
        <v>86.46</v>
      </c>
      <c r="AG14" s="97">
        <f t="shared" si="3"/>
        <v>43.23</v>
      </c>
      <c r="AH14" s="107">
        <f t="shared" si="4"/>
        <v>6397.77</v>
      </c>
      <c r="AI14" s="108"/>
      <c r="AJ14" s="107">
        <f t="shared" si="5"/>
        <v>6397.77</v>
      </c>
      <c r="AK14" s="109"/>
      <c r="AL14" s="107">
        <f t="shared" si="6"/>
        <v>6441</v>
      </c>
      <c r="AM14" s="109"/>
      <c r="AN14" s="109"/>
      <c r="AO14" s="109"/>
      <c r="AP14" s="109"/>
      <c r="AQ14" s="109"/>
      <c r="AR14" s="116" t="str">
        <f t="shared" si="7"/>
        <v>正确</v>
      </c>
      <c r="AS14" s="116" t="str">
        <f t="shared" si="8"/>
        <v>不</v>
      </c>
      <c r="AT14" s="116" t="str">
        <f t="shared" si="9"/>
        <v>重复</v>
      </c>
    </row>
    <row r="15" s="12" customFormat="1" ht="18" customHeight="1" spans="1:46">
      <c r="A15" s="36">
        <v>12</v>
      </c>
      <c r="B15" s="37" t="s">
        <v>144</v>
      </c>
      <c r="C15" s="37" t="s">
        <v>181</v>
      </c>
      <c r="D15" s="37" t="s">
        <v>145</v>
      </c>
      <c r="E15" s="329" t="s">
        <v>182</v>
      </c>
      <c r="F15" s="38" t="s">
        <v>150</v>
      </c>
      <c r="G15" s="39">
        <v>15855788591</v>
      </c>
      <c r="H15" s="40"/>
      <c r="I15" s="40"/>
      <c r="J15" s="69"/>
      <c r="K15" s="40"/>
      <c r="L15" s="70">
        <v>6060</v>
      </c>
      <c r="M15" s="71">
        <f>VLOOKUP(C15,[2]Sheet1!$B$2:$D$16,3,0)</f>
        <v>321.52</v>
      </c>
      <c r="N15" s="71">
        <f>VLOOKUP(C15,[2]Sheet1!$B$2:$F$16,5,0)</f>
        <v>89.09</v>
      </c>
      <c r="O15" s="71">
        <f>VLOOKUP(C15,[2]Sheet1!$B$1:$E$16,4,0)</f>
        <v>20.1</v>
      </c>
      <c r="P15" s="71">
        <f>VLOOKUP(C15,[2]Sheet1!$B$2:$H$16,7,0)</f>
        <v>97</v>
      </c>
      <c r="Q15" s="89">
        <f t="shared" si="0"/>
        <v>527.71</v>
      </c>
      <c r="R15" s="70">
        <v>0</v>
      </c>
      <c r="S15" s="90">
        <f>L15+IFERROR(VLOOKUP($E:$E,'（居民）工资表-5月'!$E:$S,15,0),0)</f>
        <v>18420</v>
      </c>
      <c r="T15" s="91">
        <f>5000+IFERROR(VLOOKUP($E:$E,'（居民）工资表-5月'!$E:$T,16,0),0)</f>
        <v>15000</v>
      </c>
      <c r="U15" s="91">
        <f>Q15+IFERROR(VLOOKUP($E:$E,'（居民）工资表-5月'!$E:$U,17,0),0)</f>
        <v>1583.13</v>
      </c>
      <c r="V15" s="70"/>
      <c r="W15" s="70"/>
      <c r="X15" s="70"/>
      <c r="Y15" s="70"/>
      <c r="Z15" s="70"/>
      <c r="AA15" s="70"/>
      <c r="AB15" s="90">
        <f t="shared" si="1"/>
        <v>0</v>
      </c>
      <c r="AC15" s="90">
        <f>R15+IFERROR(VLOOKUP($E:$E,'（居民）工资表-5月'!$E:$AC,25,0),0)</f>
        <v>0</v>
      </c>
      <c r="AD15" s="95">
        <f t="shared" si="2"/>
        <v>1836.87</v>
      </c>
      <c r="AE15" s="96">
        <f>ROUND(MAX((AD15)*{0.03;0.1;0.2;0.25;0.3;0.35;0.45}-{0;2520;16920;31920;52920;85920;181920},0),2)</f>
        <v>55.11</v>
      </c>
      <c r="AF15" s="97">
        <f>IFERROR(VLOOKUP(E:E,'（居民）工资表-5月'!E:AF,28,0)+VLOOKUP(E:E,'（居民）工资表-5月'!E:AG,29,0),0)</f>
        <v>39.14</v>
      </c>
      <c r="AG15" s="97">
        <f t="shared" si="3"/>
        <v>15.97</v>
      </c>
      <c r="AH15" s="107">
        <f t="shared" si="4"/>
        <v>5516.32</v>
      </c>
      <c r="AI15" s="108"/>
      <c r="AJ15" s="107">
        <f t="shared" si="5"/>
        <v>5516.32</v>
      </c>
      <c r="AK15" s="109"/>
      <c r="AL15" s="107">
        <f t="shared" si="6"/>
        <v>5532.29</v>
      </c>
      <c r="AM15" s="109"/>
      <c r="AN15" s="109"/>
      <c r="AO15" s="109"/>
      <c r="AP15" s="109"/>
      <c r="AQ15" s="109"/>
      <c r="AR15" s="116" t="str">
        <f t="shared" si="7"/>
        <v>正确</v>
      </c>
      <c r="AS15" s="116" t="str">
        <f t="shared" si="8"/>
        <v>不</v>
      </c>
      <c r="AT15" s="116" t="str">
        <f t="shared" si="9"/>
        <v>重复</v>
      </c>
    </row>
    <row r="16" s="12" customFormat="1" ht="18" customHeight="1" spans="1:46">
      <c r="A16" s="36">
        <v>13</v>
      </c>
      <c r="B16" s="37" t="s">
        <v>144</v>
      </c>
      <c r="C16" s="37" t="s">
        <v>183</v>
      </c>
      <c r="D16" s="37" t="s">
        <v>145</v>
      </c>
      <c r="E16" s="329" t="s">
        <v>184</v>
      </c>
      <c r="F16" s="38" t="s">
        <v>150</v>
      </c>
      <c r="G16" s="39"/>
      <c r="H16" s="40"/>
      <c r="I16" s="40"/>
      <c r="J16" s="69"/>
      <c r="K16" s="40"/>
      <c r="L16" s="70">
        <v>6000</v>
      </c>
      <c r="M16" s="71">
        <f>VLOOKUP(C16,[2]Sheet1!$B$2:$D$16,3,0)</f>
        <v>321.52</v>
      </c>
      <c r="N16" s="71">
        <f>VLOOKUP(C16,[2]Sheet1!$B$2:$F$16,5,0)</f>
        <v>80.38</v>
      </c>
      <c r="O16" s="71">
        <f>VLOOKUP(C16,[2]Sheet1!$B$1:$E$16,4,0)</f>
        <v>20.1</v>
      </c>
      <c r="P16" s="71">
        <f>VLOOKUP(C16,[2]Sheet1!$B$2:$H$16,7,0)</f>
        <v>103</v>
      </c>
      <c r="Q16" s="89">
        <f t="shared" si="0"/>
        <v>525</v>
      </c>
      <c r="R16" s="70">
        <v>0</v>
      </c>
      <c r="S16" s="90">
        <f>L16+IFERROR(VLOOKUP($E:$E,'（居民）工资表-5月'!$E:$S,15,0),0)</f>
        <v>30000</v>
      </c>
      <c r="T16" s="91">
        <f>5000+IFERROR(VLOOKUP($E:$E,'（居民）工资表-5月'!$E:$T,16,0),0)</f>
        <v>25000</v>
      </c>
      <c r="U16" s="91">
        <f>Q16+IFERROR(VLOOKUP($E:$E,'（居民）工资表-5月'!$E:$U,17,0),0)</f>
        <v>2668.68</v>
      </c>
      <c r="V16" s="70"/>
      <c r="W16" s="70"/>
      <c r="X16" s="70"/>
      <c r="Y16" s="70"/>
      <c r="Z16" s="70"/>
      <c r="AA16" s="70"/>
      <c r="AB16" s="90">
        <f t="shared" si="1"/>
        <v>0</v>
      </c>
      <c r="AC16" s="90">
        <f>R16+IFERROR(VLOOKUP($E:$E,'（居民）工资表-5月'!$E:$AC,25,0),0)</f>
        <v>0</v>
      </c>
      <c r="AD16" s="95">
        <f t="shared" si="2"/>
        <v>2331.32</v>
      </c>
      <c r="AE16" s="96">
        <f>ROUND(MAX((AD16)*{0.03;0.1;0.2;0.25;0.3;0.35;0.45}-{0;2520;16920;31920;52920;85920;181920},0),2)</f>
        <v>69.94</v>
      </c>
      <c r="AF16" s="97">
        <f>IFERROR(VLOOKUP(E:E,'（居民）工资表-5月'!E:AF,28,0)+VLOOKUP(E:E,'（居民）工资表-5月'!E:AG,29,0),0)</f>
        <v>55.69</v>
      </c>
      <c r="AG16" s="97">
        <f t="shared" si="3"/>
        <v>14.25</v>
      </c>
      <c r="AH16" s="107">
        <f t="shared" si="4"/>
        <v>5460.75</v>
      </c>
      <c r="AI16" s="108"/>
      <c r="AJ16" s="107">
        <f t="shared" si="5"/>
        <v>5460.75</v>
      </c>
      <c r="AK16" s="109"/>
      <c r="AL16" s="107">
        <f t="shared" si="6"/>
        <v>5475</v>
      </c>
      <c r="AM16" s="109"/>
      <c r="AN16" s="109"/>
      <c r="AO16" s="109"/>
      <c r="AP16" s="109"/>
      <c r="AQ16" s="109"/>
      <c r="AR16" s="116" t="str">
        <f t="shared" si="7"/>
        <v>正确</v>
      </c>
      <c r="AS16" s="116" t="str">
        <f t="shared" si="8"/>
        <v>不</v>
      </c>
      <c r="AT16" s="116" t="str">
        <f t="shared" si="9"/>
        <v>重复</v>
      </c>
    </row>
    <row r="17" s="12" customFormat="1" ht="18" customHeight="1" spans="1:46">
      <c r="A17" s="36">
        <v>14</v>
      </c>
      <c r="B17" s="37" t="s">
        <v>144</v>
      </c>
      <c r="C17" s="37" t="s">
        <v>185</v>
      </c>
      <c r="D17" s="37" t="s">
        <v>145</v>
      </c>
      <c r="E17" s="329" t="s">
        <v>186</v>
      </c>
      <c r="F17" s="38" t="s">
        <v>146</v>
      </c>
      <c r="G17" s="39">
        <v>15056587375</v>
      </c>
      <c r="H17" s="40"/>
      <c r="I17" s="40"/>
      <c r="J17" s="69"/>
      <c r="K17" s="40"/>
      <c r="L17" s="70">
        <v>10000</v>
      </c>
      <c r="M17" s="71">
        <f>VLOOKUP(C17,[2]Sheet1!$B$2:$D$16,3,0)</f>
        <v>321.52</v>
      </c>
      <c r="N17" s="71">
        <f>VLOOKUP(C17,[2]Sheet1!$B$2:$F$16,5,0)</f>
        <v>89.09</v>
      </c>
      <c r="O17" s="71">
        <f>VLOOKUP(C17,[2]Sheet1!$B$1:$E$16,4,0)</f>
        <v>20.1</v>
      </c>
      <c r="P17" s="71">
        <f>VLOOKUP(C17,[2]Sheet1!$B$2:$H$16,7,0)</f>
        <v>97</v>
      </c>
      <c r="Q17" s="89">
        <f t="shared" si="0"/>
        <v>527.71</v>
      </c>
      <c r="R17" s="70">
        <v>0</v>
      </c>
      <c r="S17" s="90">
        <f>L17+IFERROR(VLOOKUP($E:$E,'（居民）工资表-5月'!$E:$S,15,0),0)</f>
        <v>50000</v>
      </c>
      <c r="T17" s="91">
        <f>5000+IFERROR(VLOOKUP($E:$E,'（居民）工资表-5月'!$E:$T,16,0),0)</f>
        <v>25000</v>
      </c>
      <c r="U17" s="91">
        <f>Q17+IFERROR(VLOOKUP($E:$E,'（居民）工资表-5月'!$E:$U,17,0),0)</f>
        <v>2683.13</v>
      </c>
      <c r="V17" s="70"/>
      <c r="W17" s="70"/>
      <c r="X17" s="70"/>
      <c r="Y17" s="70"/>
      <c r="Z17" s="70"/>
      <c r="AA17" s="70"/>
      <c r="AB17" s="90">
        <f t="shared" si="1"/>
        <v>0</v>
      </c>
      <c r="AC17" s="90">
        <f>R17+IFERROR(VLOOKUP($E:$E,'（居民）工资表-5月'!$E:$AC,25,0),0)</f>
        <v>0</v>
      </c>
      <c r="AD17" s="95">
        <f t="shared" si="2"/>
        <v>22316.87</v>
      </c>
      <c r="AE17" s="96">
        <f>ROUND(MAX((AD17)*{0.03;0.1;0.2;0.25;0.3;0.35;0.45}-{0;2520;16920;31920;52920;85920;181920},0),2)</f>
        <v>669.51</v>
      </c>
      <c r="AF17" s="97">
        <f>IFERROR(VLOOKUP(E:E,'（居民）工资表-5月'!E:AF,28,0)+VLOOKUP(E:E,'（居民）工资表-5月'!E:AG,29,0),0)</f>
        <v>535.34</v>
      </c>
      <c r="AG17" s="97">
        <f t="shared" si="3"/>
        <v>134.17</v>
      </c>
      <c r="AH17" s="107">
        <f t="shared" si="4"/>
        <v>9338.12</v>
      </c>
      <c r="AI17" s="108"/>
      <c r="AJ17" s="107">
        <f t="shared" si="5"/>
        <v>9338.12</v>
      </c>
      <c r="AK17" s="109"/>
      <c r="AL17" s="107">
        <f t="shared" si="6"/>
        <v>9472.29</v>
      </c>
      <c r="AM17" s="109"/>
      <c r="AN17" s="109"/>
      <c r="AO17" s="109"/>
      <c r="AP17" s="109"/>
      <c r="AQ17" s="109"/>
      <c r="AR17" s="116" t="str">
        <f t="shared" si="7"/>
        <v>正确</v>
      </c>
      <c r="AS17" s="116" t="str">
        <f t="shared" si="8"/>
        <v>不</v>
      </c>
      <c r="AT17" s="116" t="str">
        <f t="shared" si="9"/>
        <v>重复</v>
      </c>
    </row>
    <row r="18" s="12" customFormat="1" ht="18" customHeight="1" spans="1:46">
      <c r="A18" s="36">
        <v>15</v>
      </c>
      <c r="B18" s="37" t="s">
        <v>144</v>
      </c>
      <c r="C18" s="37" t="s">
        <v>187</v>
      </c>
      <c r="D18" s="37" t="s">
        <v>145</v>
      </c>
      <c r="E18" s="37" t="s">
        <v>188</v>
      </c>
      <c r="F18" s="38" t="s">
        <v>146</v>
      </c>
      <c r="G18" s="39">
        <v>13711361074</v>
      </c>
      <c r="H18" s="40"/>
      <c r="I18" s="40"/>
      <c r="J18" s="69"/>
      <c r="K18" s="40"/>
      <c r="L18" s="70">
        <v>6080</v>
      </c>
      <c r="M18" s="71">
        <f>VLOOKUP(C18,[2]Sheet1!$B$2:$D$16,3,0)</f>
        <v>337.92</v>
      </c>
      <c r="N18" s="71">
        <f>VLOOKUP(C18,[2]Sheet1!$B$2:$F$16,5,0)</f>
        <v>91.48</v>
      </c>
      <c r="O18" s="71">
        <f>VLOOKUP(C18,[2]Sheet1!$B$1:$E$16,4,0)</f>
        <v>12.67</v>
      </c>
      <c r="P18" s="71">
        <f>VLOOKUP(C18,[2]Sheet1!$B$2:$H$16,7,0)</f>
        <v>110.5</v>
      </c>
      <c r="Q18" s="89">
        <f t="shared" si="0"/>
        <v>552.57</v>
      </c>
      <c r="R18" s="70">
        <v>0</v>
      </c>
      <c r="S18" s="90">
        <f>L18+IFERROR(VLOOKUP($E:$E,'（居民）工资表-5月'!$E:$S,15,0),0)</f>
        <v>29386.67</v>
      </c>
      <c r="T18" s="91">
        <f>5000+IFERROR(VLOOKUP($E:$E,'（居民）工资表-5月'!$E:$T,16,0),0)</f>
        <v>25000</v>
      </c>
      <c r="U18" s="91">
        <f>Q18+IFERROR(VLOOKUP($E:$E,'（居民）工资表-5月'!$E:$U,17,0),0)</f>
        <v>2790.66</v>
      </c>
      <c r="V18" s="70"/>
      <c r="W18" s="70"/>
      <c r="X18" s="70"/>
      <c r="Y18" s="70"/>
      <c r="Z18" s="70"/>
      <c r="AA18" s="70"/>
      <c r="AB18" s="90">
        <f t="shared" si="1"/>
        <v>0</v>
      </c>
      <c r="AC18" s="90">
        <f>R18+IFERROR(VLOOKUP($E:$E,'（居民）工资表-5月'!$E:$AC,25,0),0)</f>
        <v>0</v>
      </c>
      <c r="AD18" s="95">
        <f t="shared" si="2"/>
        <v>1596.01</v>
      </c>
      <c r="AE18" s="96">
        <f>ROUND(MAX((AD18)*{0.03;0.1;0.2;0.25;0.3;0.35;0.45}-{0;2520;16920;31920;52920;85920;181920},0),2)</f>
        <v>47.88</v>
      </c>
      <c r="AF18" s="97">
        <f>IFERROR(VLOOKUP(E:E,'（居民）工资表-5月'!E:AF,28,0)+VLOOKUP(E:E,'（居民）工资表-5月'!E:AG,29,0),0)</f>
        <v>138.59</v>
      </c>
      <c r="AG18" s="97">
        <f t="shared" si="3"/>
        <v>0</v>
      </c>
      <c r="AH18" s="107">
        <f t="shared" si="4"/>
        <v>5527.43</v>
      </c>
      <c r="AI18" s="108"/>
      <c r="AJ18" s="107">
        <f t="shared" si="5"/>
        <v>5527.43</v>
      </c>
      <c r="AK18" s="109"/>
      <c r="AL18" s="107">
        <f t="shared" si="6"/>
        <v>5527.43</v>
      </c>
      <c r="AM18" s="109"/>
      <c r="AN18" s="109"/>
      <c r="AO18" s="109"/>
      <c r="AP18" s="109"/>
      <c r="AQ18" s="109"/>
      <c r="AR18" s="116" t="str">
        <f t="shared" si="7"/>
        <v>正确</v>
      </c>
      <c r="AS18" s="116" t="str">
        <f>IF(SUMPRODUCT(N(E$1:E$19=E18))&gt;1,"重复","不")</f>
        <v>不</v>
      </c>
      <c r="AT18" s="116" t="str">
        <f>IF(SUMPRODUCT(N(AO$1:AO$19=AO18))&gt;1,"重复","不")</f>
        <v>重复</v>
      </c>
    </row>
    <row r="19" s="12" customFormat="1" ht="18" customHeight="1" spans="1:46">
      <c r="A19" s="36"/>
      <c r="B19" s="37"/>
      <c r="C19" s="37"/>
      <c r="D19" s="37"/>
      <c r="E19" s="37"/>
      <c r="F19" s="38"/>
      <c r="G19" s="39"/>
      <c r="H19" s="40"/>
      <c r="I19" s="40"/>
      <c r="J19" s="69"/>
      <c r="K19" s="40"/>
      <c r="L19" s="70"/>
      <c r="M19" s="71"/>
      <c r="N19" s="71"/>
      <c r="O19" s="71"/>
      <c r="P19" s="71"/>
      <c r="Q19" s="89"/>
      <c r="R19" s="70"/>
      <c r="S19" s="90"/>
      <c r="T19" s="91"/>
      <c r="U19" s="91"/>
      <c r="V19" s="70"/>
      <c r="W19" s="70"/>
      <c r="X19" s="70"/>
      <c r="Y19" s="70"/>
      <c r="Z19" s="70"/>
      <c r="AA19" s="70"/>
      <c r="AB19" s="90"/>
      <c r="AC19" s="90"/>
      <c r="AD19" s="95"/>
      <c r="AE19" s="96"/>
      <c r="AF19" s="97"/>
      <c r="AG19" s="97"/>
      <c r="AH19" s="107"/>
      <c r="AI19" s="108"/>
      <c r="AJ19" s="107"/>
      <c r="AK19" s="109"/>
      <c r="AL19" s="107"/>
      <c r="AM19" s="109"/>
      <c r="AN19" s="109"/>
      <c r="AO19" s="109"/>
      <c r="AP19" s="109"/>
      <c r="AQ19" s="109"/>
      <c r="AR19" s="116"/>
      <c r="AS19" s="116"/>
      <c r="AT19" s="116"/>
    </row>
    <row r="20" s="13" customFormat="1" ht="18" customHeight="1" spans="1:46">
      <c r="A20" s="41"/>
      <c r="B20" s="42" t="s">
        <v>189</v>
      </c>
      <c r="C20" s="42"/>
      <c r="D20" s="43"/>
      <c r="E20" s="44"/>
      <c r="F20" s="45"/>
      <c r="G20" s="46"/>
      <c r="H20" s="45"/>
      <c r="I20" s="72"/>
      <c r="J20" s="73"/>
      <c r="K20" s="72"/>
      <c r="L20" s="74">
        <f t="shared" ref="L20:AL20" si="10">SUM(L4:L19)</f>
        <v>132325.84</v>
      </c>
      <c r="M20" s="74">
        <f t="shared" si="10"/>
        <v>5262.9</v>
      </c>
      <c r="N20" s="74">
        <f t="shared" si="10"/>
        <v>1492.43</v>
      </c>
      <c r="O20" s="74">
        <f t="shared" si="10"/>
        <v>282.62</v>
      </c>
      <c r="P20" s="74">
        <f t="shared" si="10"/>
        <v>2412.9</v>
      </c>
      <c r="Q20" s="74">
        <f t="shared" si="10"/>
        <v>9450.85</v>
      </c>
      <c r="R20" s="74">
        <f t="shared" si="10"/>
        <v>0</v>
      </c>
      <c r="S20" s="74">
        <f t="shared" si="10"/>
        <v>636849.99</v>
      </c>
      <c r="T20" s="74">
        <f t="shared" si="10"/>
        <v>355000</v>
      </c>
      <c r="U20" s="74">
        <f t="shared" si="10"/>
        <v>45848.59</v>
      </c>
      <c r="V20" s="74">
        <f t="shared" si="10"/>
        <v>0</v>
      </c>
      <c r="W20" s="74">
        <f t="shared" si="10"/>
        <v>0</v>
      </c>
      <c r="X20" s="74">
        <f t="shared" si="10"/>
        <v>0</v>
      </c>
      <c r="Y20" s="74">
        <f t="shared" si="10"/>
        <v>0</v>
      </c>
      <c r="Z20" s="74">
        <f t="shared" si="10"/>
        <v>0</v>
      </c>
      <c r="AA20" s="74">
        <f t="shared" si="10"/>
        <v>0</v>
      </c>
      <c r="AB20" s="74">
        <f t="shared" si="10"/>
        <v>0</v>
      </c>
      <c r="AC20" s="74">
        <f t="shared" si="10"/>
        <v>0</v>
      </c>
      <c r="AD20" s="74">
        <f t="shared" si="10"/>
        <v>236001.4</v>
      </c>
      <c r="AE20" s="74">
        <f t="shared" si="10"/>
        <v>13170.85</v>
      </c>
      <c r="AF20" s="74">
        <f t="shared" si="10"/>
        <v>10120.21</v>
      </c>
      <c r="AG20" s="74">
        <f t="shared" si="10"/>
        <v>3141.35</v>
      </c>
      <c r="AH20" s="74">
        <f t="shared" si="10"/>
        <v>119733.64</v>
      </c>
      <c r="AI20" s="126">
        <f t="shared" si="10"/>
        <v>0</v>
      </c>
      <c r="AJ20" s="74">
        <f t="shared" si="10"/>
        <v>119733.64</v>
      </c>
      <c r="AK20" s="74">
        <f t="shared" si="10"/>
        <v>0</v>
      </c>
      <c r="AL20" s="74">
        <f t="shared" si="10"/>
        <v>122874.99</v>
      </c>
      <c r="AM20" s="110"/>
      <c r="AN20" s="110"/>
      <c r="AO20" s="110"/>
      <c r="AP20" s="110"/>
      <c r="AQ20" s="110"/>
      <c r="AR20" s="45"/>
      <c r="AS20" s="45"/>
      <c r="AT20" s="118"/>
    </row>
    <row r="23" spans="30:30">
      <c r="AD23" s="101"/>
    </row>
    <row r="24" ht="18.75" customHeight="1" spans="2:36">
      <c r="B24" s="47" t="s">
        <v>133</v>
      </c>
      <c r="C24" s="47" t="s">
        <v>190</v>
      </c>
      <c r="D24" s="47" t="s">
        <v>22</v>
      </c>
      <c r="E24" s="47" t="s">
        <v>23</v>
      </c>
      <c r="AD24" s="10"/>
      <c r="AJ24" s="15">
        <v>80</v>
      </c>
    </row>
    <row r="25" ht="18.75" customHeight="1" spans="2:5">
      <c r="B25" s="48">
        <f>AJ20</f>
        <v>119733.64</v>
      </c>
      <c r="C25" s="48">
        <f>AG20</f>
        <v>3141.35</v>
      </c>
      <c r="D25" s="48">
        <f>AK20</f>
        <v>0</v>
      </c>
      <c r="E25" s="48">
        <f>B25+C25+D25</f>
        <v>122874.99</v>
      </c>
    </row>
    <row r="26" spans="2:5">
      <c r="B26" s="49"/>
      <c r="C26" s="49"/>
      <c r="D26" s="49"/>
      <c r="E26" s="49"/>
    </row>
    <row r="27" s="14" customFormat="1" spans="1:35">
      <c r="A27" s="51" t="s">
        <v>191</v>
      </c>
      <c r="B27" s="52" t="s">
        <v>192</v>
      </c>
      <c r="C27" s="50"/>
      <c r="D27" s="50"/>
      <c r="E27" s="50"/>
      <c r="G27" s="53"/>
      <c r="J27" s="75"/>
      <c r="M27" s="76"/>
      <c r="AI27" s="112"/>
    </row>
    <row r="28" s="14" customFormat="1" spans="1:35">
      <c r="A28" s="54"/>
      <c r="B28" s="55" t="s">
        <v>193</v>
      </c>
      <c r="C28" s="50"/>
      <c r="D28" s="50"/>
      <c r="E28" s="50"/>
      <c r="G28" s="53"/>
      <c r="J28" s="75"/>
      <c r="M28" s="76"/>
      <c r="AI28" s="112"/>
    </row>
    <row r="29" s="14" customFormat="1" spans="1:35">
      <c r="A29" s="52"/>
      <c r="B29" s="55" t="s">
        <v>194</v>
      </c>
      <c r="C29" s="56"/>
      <c r="D29" s="56"/>
      <c r="E29" s="56"/>
      <c r="F29" s="56"/>
      <c r="G29" s="56"/>
      <c r="H29" s="56"/>
      <c r="I29" s="56"/>
      <c r="J29" s="77"/>
      <c r="K29" s="56"/>
      <c r="L29" s="56"/>
      <c r="M29" s="78"/>
      <c r="N29" s="56"/>
      <c r="O29" s="56"/>
      <c r="P29" s="56"/>
      <c r="AI29" s="112"/>
    </row>
    <row r="30" s="14" customFormat="1" customHeight="1" spans="1:35">
      <c r="A30" s="55"/>
      <c r="B30" s="55" t="s">
        <v>195</v>
      </c>
      <c r="C30" s="57"/>
      <c r="D30" s="57"/>
      <c r="E30" s="57"/>
      <c r="F30" s="57"/>
      <c r="G30" s="57"/>
      <c r="H30" s="57"/>
      <c r="I30" s="79"/>
      <c r="J30" s="80"/>
      <c r="K30" s="79"/>
      <c r="L30" s="79"/>
      <c r="M30" s="81"/>
      <c r="N30" s="79"/>
      <c r="O30" s="79"/>
      <c r="P30" s="79"/>
      <c r="AI30" s="112"/>
    </row>
    <row r="31" s="14" customFormat="1" customHeight="1" spans="1:35">
      <c r="A31" s="55"/>
      <c r="B31" s="55" t="s">
        <v>196</v>
      </c>
      <c r="C31" s="57"/>
      <c r="D31" s="57"/>
      <c r="E31" s="57"/>
      <c r="F31" s="57"/>
      <c r="G31" s="57"/>
      <c r="H31" s="57"/>
      <c r="I31" s="57"/>
      <c r="J31" s="82"/>
      <c r="K31" s="57"/>
      <c r="L31" s="79"/>
      <c r="M31" s="81"/>
      <c r="N31" s="79"/>
      <c r="O31" s="79"/>
      <c r="P31" s="79"/>
      <c r="AI31" s="112"/>
    </row>
    <row r="32" s="14" customFormat="1" customHeight="1" spans="1:35">
      <c r="A32" s="55"/>
      <c r="B32" s="55" t="s">
        <v>197</v>
      </c>
      <c r="C32" s="57"/>
      <c r="D32" s="57"/>
      <c r="E32" s="57"/>
      <c r="F32" s="57"/>
      <c r="G32" s="57"/>
      <c r="H32" s="57"/>
      <c r="I32" s="79"/>
      <c r="J32" s="80"/>
      <c r="K32" s="79"/>
      <c r="L32" s="79"/>
      <c r="M32" s="81"/>
      <c r="N32" s="79"/>
      <c r="O32" s="79"/>
      <c r="P32" s="79"/>
      <c r="AI32" s="112"/>
    </row>
    <row r="34" ht="11.25" customHeight="1" spans="2:2">
      <c r="B34" s="58" t="s">
        <v>198</v>
      </c>
    </row>
    <row r="35" spans="2:2">
      <c r="B35" s="59" t="s">
        <v>199</v>
      </c>
    </row>
    <row r="36" spans="2:2">
      <c r="B36" s="59" t="s">
        <v>200</v>
      </c>
    </row>
  </sheetData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2">
    <cfRule type="duplicateValues" dxfId="4" priority="2" stopIfTrue="1"/>
  </conditionalFormatting>
  <conditionalFormatting sqref="B27:B31">
    <cfRule type="duplicateValues" dxfId="4" priority="3" stopIfTrue="1"/>
  </conditionalFormatting>
  <conditionalFormatting sqref="B35:B36">
    <cfRule type="duplicateValues" dxfId="4" priority="1" stopIfTrue="1"/>
  </conditionalFormatting>
  <conditionalFormatting sqref="C24:C26">
    <cfRule type="duplicateValues" dxfId="4" priority="4" stopIfTrue="1"/>
    <cfRule type="expression" dxfId="5" priority="5" stopIfTrue="1">
      <formula>AND(COUNTIF($B$20:$B$65456,C24)+COUNTIF($B$1:$B$3,C24)&gt;1,NOT(ISBLANK(C24)))</formula>
    </cfRule>
    <cfRule type="expression" dxfId="5" priority="6" stopIfTrue="1">
      <formula>AND(COUNTIF($B$31:$B$65407,C24)+COUNTIF($B$1:$B$30,C24)&gt;1,NOT(ISBLANK(C24)))</formula>
    </cfRule>
    <cfRule type="expression" dxfId="5" priority="7" stopIfTrue="1">
      <formula>AND(COUNTIF($B$20:$B$65445,C24)+COUNTIF($B$1:$B$3,C24)&gt;1,NOT(ISBLANK(C24)))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tabColor rgb="FF00B050"/>
    <pageSetUpPr fitToPage="1"/>
  </sheetPr>
  <dimension ref="A1:AT36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18" sqref="$A18:$XFD18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3.3666666666667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hidden="1" customWidth="1"/>
    <col min="41" max="41" width="19" style="15" hidden="1" customWidth="1"/>
    <col min="42" max="42" width="12.2666666666667" style="15" hidden="1" customWidth="1"/>
    <col min="43" max="43" width="9" style="15" hidden="1" customWidth="1"/>
    <col min="44" max="44" width="7" style="15" hidden="1" customWidth="1"/>
    <col min="45" max="45" width="6.725" style="15" hidden="1" customWidth="1"/>
    <col min="46" max="46" width="6.09166666666667" style="15" hidden="1" customWidth="1"/>
    <col min="47" max="16384" width="9" style="15"/>
  </cols>
  <sheetData>
    <row r="1" s="10" customFormat="1" ht="29.25" customHeight="1" spans="1:45">
      <c r="A1" s="20" t="s">
        <v>105</v>
      </c>
      <c r="B1" s="21"/>
      <c r="C1" s="22"/>
      <c r="D1" s="23"/>
      <c r="E1" s="24"/>
      <c r="F1" s="24"/>
      <c r="G1" s="25"/>
      <c r="J1" s="60"/>
      <c r="L1" s="61"/>
      <c r="M1" s="62" t="s">
        <v>106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107</v>
      </c>
      <c r="C2" s="28" t="s">
        <v>108</v>
      </c>
      <c r="D2" s="28" t="s">
        <v>109</v>
      </c>
      <c r="E2" s="29" t="s">
        <v>110</v>
      </c>
      <c r="F2" s="30" t="s">
        <v>111</v>
      </c>
      <c r="G2" s="29" t="s">
        <v>112</v>
      </c>
      <c r="H2" s="29" t="s">
        <v>113</v>
      </c>
      <c r="I2" s="29" t="s">
        <v>114</v>
      </c>
      <c r="J2" s="63" t="s">
        <v>115</v>
      </c>
      <c r="K2" s="29" t="s">
        <v>116</v>
      </c>
      <c r="L2" s="29" t="s">
        <v>117</v>
      </c>
      <c r="M2" s="64" t="s">
        <v>118</v>
      </c>
      <c r="N2" s="65"/>
      <c r="O2" s="65"/>
      <c r="P2" s="66"/>
      <c r="Q2" s="30" t="s">
        <v>119</v>
      </c>
      <c r="R2" s="29" t="s">
        <v>120</v>
      </c>
      <c r="S2" s="30" t="s">
        <v>121</v>
      </c>
      <c r="T2" s="84" t="s">
        <v>122</v>
      </c>
      <c r="U2" s="30" t="s">
        <v>123</v>
      </c>
      <c r="V2" s="85" t="s">
        <v>124</v>
      </c>
      <c r="W2" s="86"/>
      <c r="X2" s="86"/>
      <c r="Y2" s="86"/>
      <c r="Z2" s="86"/>
      <c r="AA2" s="94"/>
      <c r="AB2" s="30" t="s">
        <v>125</v>
      </c>
      <c r="AC2" s="30" t="s">
        <v>126</v>
      </c>
      <c r="AD2" s="84" t="s">
        <v>127</v>
      </c>
      <c r="AE2" s="84" t="s">
        <v>128</v>
      </c>
      <c r="AF2" s="84" t="s">
        <v>129</v>
      </c>
      <c r="AG2" s="84" t="s">
        <v>130</v>
      </c>
      <c r="AH2" s="103" t="s">
        <v>131</v>
      </c>
      <c r="AI2" s="104" t="s">
        <v>132</v>
      </c>
      <c r="AJ2" s="103" t="s">
        <v>133</v>
      </c>
      <c r="AK2" s="28" t="s">
        <v>22</v>
      </c>
      <c r="AL2" s="103" t="s">
        <v>134</v>
      </c>
      <c r="AM2" s="29" t="s">
        <v>201</v>
      </c>
      <c r="AN2" s="29" t="s">
        <v>202</v>
      </c>
      <c r="AO2" s="114" t="s">
        <v>203</v>
      </c>
      <c r="AP2" s="29" t="s">
        <v>204</v>
      </c>
      <c r="AQ2" s="29" t="s">
        <v>205</v>
      </c>
      <c r="AR2" s="30" t="s">
        <v>206</v>
      </c>
      <c r="AS2" s="30" t="s">
        <v>207</v>
      </c>
      <c r="AT2" s="30" t="s">
        <v>208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135</v>
      </c>
      <c r="N3" s="68" t="s">
        <v>136</v>
      </c>
      <c r="O3" s="68" t="s">
        <v>137</v>
      </c>
      <c r="P3" s="68" t="s">
        <v>37</v>
      </c>
      <c r="Q3" s="35"/>
      <c r="R3" s="34"/>
      <c r="S3" s="35"/>
      <c r="T3" s="87"/>
      <c r="U3" s="35"/>
      <c r="V3" s="88" t="s">
        <v>138</v>
      </c>
      <c r="W3" s="88" t="s">
        <v>139</v>
      </c>
      <c r="X3" s="88" t="s">
        <v>140</v>
      </c>
      <c r="Y3" s="88" t="s">
        <v>141</v>
      </c>
      <c r="Z3" s="88" t="s">
        <v>142</v>
      </c>
      <c r="AA3" s="88" t="s">
        <v>143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144</v>
      </c>
      <c r="C4" s="37" t="s">
        <v>61</v>
      </c>
      <c r="D4" s="37" t="s">
        <v>145</v>
      </c>
      <c r="E4" s="37" t="s">
        <v>62</v>
      </c>
      <c r="F4" s="38" t="s">
        <v>146</v>
      </c>
      <c r="G4" s="39">
        <v>13944441728</v>
      </c>
      <c r="H4" s="40"/>
      <c r="I4" s="40"/>
      <c r="J4" s="69"/>
      <c r="K4" s="40"/>
      <c r="L4" s="70">
        <v>8000</v>
      </c>
      <c r="M4" s="71">
        <v>349.59</v>
      </c>
      <c r="N4" s="71">
        <v>98.7</v>
      </c>
      <c r="O4" s="71">
        <v>14.8</v>
      </c>
      <c r="P4" s="71">
        <v>177.4</v>
      </c>
      <c r="Q4" s="89">
        <f>ROUND(SUM(M4:P4),2)</f>
        <v>640.49</v>
      </c>
      <c r="R4" s="70">
        <v>0</v>
      </c>
      <c r="S4" s="90">
        <f>L4+IFERROR(VLOOKUP($E:$E,'（居民）工资表-7月'!$E:$S,15,0),0)</f>
        <v>56000</v>
      </c>
      <c r="T4" s="91">
        <f>5000+IFERROR(VLOOKUP($E:$E,'（居民）工资表-7月'!$E:$T,16,0),0)</f>
        <v>35000</v>
      </c>
      <c r="U4" s="91">
        <f>Q4+IFERROR(VLOOKUP($E:$E,'（居民）工资表-7月'!$E:$U,17,0),0)</f>
        <v>4237.35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R4+IFERROR(VLOOKUP($E:$E,'（居民）工资表-7月'!$E:$AC,25,0),0)</f>
        <v>0</v>
      </c>
      <c r="AD4" s="95">
        <f>ROUND(S4-T4-U4-AB4-AC4,2)</f>
        <v>16762.65</v>
      </c>
      <c r="AE4" s="96">
        <f>ROUND(MAX((AD4)*{0.03;0.1;0.2;0.25;0.3;0.35;0.45}-{0;2520;16920;31920;52920;85920;181920},0),2)</f>
        <v>502.88</v>
      </c>
      <c r="AF4" s="97">
        <f>IFERROR(VLOOKUP(E:E,'（居民）工资表-7月'!E:AF,28,0)+VLOOKUP(E:E,'（居民）工资表-7月'!E:AG,29,0),0)</f>
        <v>359.76</v>
      </c>
      <c r="AG4" s="97">
        <f>IF((AE4-AF4)&lt;0,0,AE4-AF4)</f>
        <v>143.12</v>
      </c>
      <c r="AH4" s="107">
        <f>ROUND(IF((L4-Q4-AG4)&lt;0,0,(L4-Q4-AG4)),2)</f>
        <v>7216.39</v>
      </c>
      <c r="AI4" s="108"/>
      <c r="AJ4" s="107">
        <f>AH4+AI4</f>
        <v>7216.39</v>
      </c>
      <c r="AK4" s="109"/>
      <c r="AL4" s="107">
        <f>AJ4+AG4+AK4</f>
        <v>7359.51</v>
      </c>
      <c r="AM4" s="109"/>
      <c r="AN4" s="109"/>
      <c r="AO4" s="109"/>
      <c r="AP4" s="109"/>
      <c r="AQ4" s="109"/>
      <c r="AR4" s="116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>IF(SUMPRODUCT(N(E$1:E$18=E4))&gt;1,"重复","不")</f>
        <v>不</v>
      </c>
      <c r="AT4" s="116" t="str">
        <f>IF(SUMPRODUCT(N(AO$1:AO$18=AO4))&gt;1,"重复","不")</f>
        <v>重复</v>
      </c>
    </row>
    <row r="5" s="12" customFormat="1" ht="18" customHeight="1" spans="1:46">
      <c r="A5" s="36">
        <v>2</v>
      </c>
      <c r="B5" s="37" t="s">
        <v>144</v>
      </c>
      <c r="C5" s="37" t="s">
        <v>148</v>
      </c>
      <c r="D5" s="37" t="s">
        <v>145</v>
      </c>
      <c r="E5" s="329" t="s">
        <v>149</v>
      </c>
      <c r="F5" s="38" t="s">
        <v>150</v>
      </c>
      <c r="G5" s="39">
        <v>15360550807</v>
      </c>
      <c r="H5" s="40"/>
      <c r="I5" s="40"/>
      <c r="J5" s="69"/>
      <c r="K5" s="40"/>
      <c r="L5" s="70">
        <v>6100</v>
      </c>
      <c r="M5" s="71">
        <v>422.72</v>
      </c>
      <c r="N5" s="71">
        <v>119.92</v>
      </c>
      <c r="O5" s="71">
        <v>4.6</v>
      </c>
      <c r="P5" s="71">
        <v>115</v>
      </c>
      <c r="Q5" s="89">
        <f>ROUND(SUM(M5:P5),2)</f>
        <v>662.24</v>
      </c>
      <c r="R5" s="70">
        <v>0</v>
      </c>
      <c r="S5" s="90">
        <f>L5+IFERROR(VLOOKUP($E:$E,'（居民）工资表-7月'!$E:$S,15,0),0)</f>
        <v>42020</v>
      </c>
      <c r="T5" s="91">
        <f>5000+IFERROR(VLOOKUP($E:$E,'（居民）工资表-7月'!$E:$T,16,0),0)</f>
        <v>35000</v>
      </c>
      <c r="U5" s="91">
        <f>Q5+IFERROR(VLOOKUP($E:$E,'（居民）工资表-7月'!$E:$U,17,0),0)</f>
        <v>4805.6</v>
      </c>
      <c r="V5" s="70"/>
      <c r="W5" s="70"/>
      <c r="X5" s="70"/>
      <c r="Y5" s="70"/>
      <c r="Z5" s="70"/>
      <c r="AA5" s="70"/>
      <c r="AB5" s="90">
        <f>ROUND(SUM(V5:AA5),2)</f>
        <v>0</v>
      </c>
      <c r="AC5" s="90">
        <f>R5+IFERROR(VLOOKUP($E:$E,'（居民）工资表-7月'!$E:$AC,25,0),0)</f>
        <v>0</v>
      </c>
      <c r="AD5" s="95">
        <f>ROUND(S5-T5-U5-AB5-AC5,2)</f>
        <v>2214.4</v>
      </c>
      <c r="AE5" s="96">
        <f>ROUND(MAX((AD5)*{0.03;0.1;0.2;0.25;0.3;0.35;0.45}-{0;2520;16920;31920;52920;85920;181920},0),2)</f>
        <v>66.43</v>
      </c>
      <c r="AF5" s="97">
        <f>IFERROR(VLOOKUP(E:E,'（居民）工资表-7月'!E:AF,28,0)+VLOOKUP(E:E,'（居民）工资表-7月'!E:AG,29,0),0)</f>
        <v>40.17</v>
      </c>
      <c r="AG5" s="97">
        <f>IF((AE5-AF5)&lt;0,0,AE5-AF5)</f>
        <v>26.26</v>
      </c>
      <c r="AH5" s="107">
        <f>ROUND(IF((L5-Q5-AG5)&lt;0,0,(L5-Q5-AG5)),2)</f>
        <v>5411.5</v>
      </c>
      <c r="AI5" s="108"/>
      <c r="AJ5" s="107">
        <f>AH5+AI5</f>
        <v>5411.5</v>
      </c>
      <c r="AK5" s="109"/>
      <c r="AL5" s="107">
        <f>AJ5+AG5+AK5</f>
        <v>5437.76</v>
      </c>
      <c r="AM5" s="109"/>
      <c r="AN5" s="109"/>
      <c r="AO5" s="109"/>
      <c r="AP5" s="109"/>
      <c r="AQ5" s="109"/>
      <c r="AR5" s="116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6" t="str">
        <f>IF(SUMPRODUCT(N(E$1:E$18=E5))&gt;1,"重复","不")</f>
        <v>不</v>
      </c>
      <c r="AT5" s="116" t="str">
        <f>IF(SUMPRODUCT(N(AO$1:AO$18=AO5))&gt;1,"重复","不")</f>
        <v>重复</v>
      </c>
    </row>
    <row r="6" s="12" customFormat="1" ht="18" customHeight="1" spans="1:46">
      <c r="A6" s="36">
        <v>3</v>
      </c>
      <c r="B6" s="37" t="s">
        <v>144</v>
      </c>
      <c r="C6" s="37" t="s">
        <v>151</v>
      </c>
      <c r="D6" s="37" t="s">
        <v>145</v>
      </c>
      <c r="E6" s="329" t="s">
        <v>152</v>
      </c>
      <c r="F6" s="38" t="s">
        <v>146</v>
      </c>
      <c r="G6" s="39" t="s">
        <v>153</v>
      </c>
      <c r="H6" s="40"/>
      <c r="I6" s="40"/>
      <c r="J6" s="69"/>
      <c r="K6" s="40"/>
      <c r="L6" s="70">
        <v>30060</v>
      </c>
      <c r="M6" s="71">
        <v>596.64</v>
      </c>
      <c r="N6" s="71">
        <v>149.16</v>
      </c>
      <c r="O6" s="71">
        <v>37.29</v>
      </c>
      <c r="P6" s="71">
        <v>181</v>
      </c>
      <c r="Q6" s="89">
        <f t="shared" ref="Q6:Q19" si="0">ROUND(SUM(M6:P6),2)</f>
        <v>964.09</v>
      </c>
      <c r="R6" s="70">
        <v>0</v>
      </c>
      <c r="S6" s="90">
        <f>L6+IFERROR(VLOOKUP($E:$E,'（居民）工资表-7月'!$E:$S,15,0),0)</f>
        <v>210420</v>
      </c>
      <c r="T6" s="91">
        <f>5000+IFERROR(VLOOKUP($E:$E,'（居民）工资表-7月'!$E:$T,16,0),0)</f>
        <v>35000</v>
      </c>
      <c r="U6" s="91">
        <f>Q6+IFERROR(VLOOKUP($E:$E,'（居民）工资表-7月'!$E:$U,17,0),0)</f>
        <v>6684.93</v>
      </c>
      <c r="V6" s="70"/>
      <c r="W6" s="70"/>
      <c r="X6" s="70"/>
      <c r="Y6" s="70"/>
      <c r="Z6" s="70"/>
      <c r="AA6" s="70"/>
      <c r="AB6" s="90">
        <f t="shared" ref="AB6:AB19" si="1">ROUND(SUM(V6:AA6),2)</f>
        <v>0</v>
      </c>
      <c r="AC6" s="90">
        <f>R6+IFERROR(VLOOKUP($E:$E,'（居民）工资表-7月'!$E:$AC,25,0),0)</f>
        <v>0</v>
      </c>
      <c r="AD6" s="95">
        <f t="shared" ref="AD6:AD19" si="2">ROUND(S6-T6-U6-AB6-AC6,2)</f>
        <v>168735.07</v>
      </c>
      <c r="AE6" s="96">
        <f>ROUND(MAX((AD6)*{0.03;0.1;0.2;0.25;0.3;0.35;0.45}-{0;2520;16920;31920;52920;85920;181920},0),2)</f>
        <v>16827.01</v>
      </c>
      <c r="AF6" s="97">
        <f>IFERROR(VLOOKUP(E:E,'（居民）工资表-7月'!E:AF,28,0)+VLOOKUP(E:E,'（居民）工资表-7月'!E:AG,29,0),0)</f>
        <v>10893.92</v>
      </c>
      <c r="AG6" s="97">
        <f t="shared" ref="AG6:AG19" si="3">IF((AE6-AF6)&lt;0,0,AE6-AF6)</f>
        <v>5933.09</v>
      </c>
      <c r="AH6" s="107">
        <f t="shared" ref="AH6:AH19" si="4">ROUND(IF((L6-Q6-AG6)&lt;0,0,(L6-Q6-AG6)),2)</f>
        <v>23162.82</v>
      </c>
      <c r="AI6" s="108"/>
      <c r="AJ6" s="107">
        <f t="shared" ref="AJ6:AJ19" si="5">AH6+AI6</f>
        <v>23162.82</v>
      </c>
      <c r="AK6" s="109"/>
      <c r="AL6" s="107">
        <f t="shared" ref="AL6:AL19" si="6">AJ6+AG6+AK6</f>
        <v>29095.91</v>
      </c>
      <c r="AM6" s="109"/>
      <c r="AN6" s="109"/>
      <c r="AO6" s="109"/>
      <c r="AP6" s="109"/>
      <c r="AQ6" s="109"/>
      <c r="AR6" s="116" t="str">
        <f t="shared" ref="AR6:AR19" si="7"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6" t="str">
        <f t="shared" ref="AS6:AS16" si="8">IF(SUMPRODUCT(N(E$1:E$18=E6))&gt;1,"重复","不")</f>
        <v>不</v>
      </c>
      <c r="AT6" s="116" t="str">
        <f t="shared" ref="AT6:AT16" si="9">IF(SUMPRODUCT(N(AO$1:AO$18=AO6))&gt;1,"重复","不")</f>
        <v>重复</v>
      </c>
    </row>
    <row r="7" s="12" customFormat="1" ht="18" customHeight="1" spans="1:46">
      <c r="A7" s="36">
        <v>4</v>
      </c>
      <c r="B7" s="37" t="s">
        <v>144</v>
      </c>
      <c r="C7" s="37" t="s">
        <v>156</v>
      </c>
      <c r="D7" s="37" t="s">
        <v>145</v>
      </c>
      <c r="E7" s="329" t="s">
        <v>157</v>
      </c>
      <c r="F7" s="38" t="s">
        <v>146</v>
      </c>
      <c r="G7" s="39" t="s">
        <v>158</v>
      </c>
      <c r="H7" s="40"/>
      <c r="I7" s="40"/>
      <c r="J7" s="69"/>
      <c r="K7" s="40"/>
      <c r="L7" s="70">
        <v>10000</v>
      </c>
      <c r="M7" s="71">
        <v>321.52</v>
      </c>
      <c r="N7" s="71">
        <v>89.09</v>
      </c>
      <c r="O7" s="71">
        <v>20.1</v>
      </c>
      <c r="P7" s="71">
        <v>97</v>
      </c>
      <c r="Q7" s="89">
        <f t="shared" si="0"/>
        <v>527.71</v>
      </c>
      <c r="R7" s="70">
        <v>0</v>
      </c>
      <c r="S7" s="90">
        <f>L7+IFERROR(VLOOKUP($E:$E,'（居民）工资表-7月'!$E:$S,15,0),0)</f>
        <v>65000</v>
      </c>
      <c r="T7" s="91">
        <f>5000+IFERROR(VLOOKUP($E:$E,'（居民）工资表-7月'!$E:$T,16,0),0)</f>
        <v>35000</v>
      </c>
      <c r="U7" s="91">
        <f>Q7+IFERROR(VLOOKUP($E:$E,'（居民）工资表-7月'!$E:$U,17,0),0)</f>
        <v>3738.55</v>
      </c>
      <c r="V7" s="70"/>
      <c r="W7" s="70"/>
      <c r="Y7" s="70"/>
      <c r="Z7" s="70"/>
      <c r="AA7" s="70"/>
      <c r="AB7" s="90">
        <f t="shared" si="1"/>
        <v>0</v>
      </c>
      <c r="AC7" s="90">
        <f>R7+IFERROR(VLOOKUP($E:$E,'（居民）工资表-7月'!$E:$AC,25,0),0)</f>
        <v>0</v>
      </c>
      <c r="AD7" s="95">
        <f t="shared" si="2"/>
        <v>26261.45</v>
      </c>
      <c r="AE7" s="96">
        <f>ROUND(MAX((AD7)*{0.03;0.1;0.2;0.25;0.3;0.35;0.45}-{0;2520;16920;31920;52920;85920;181920},0),2)</f>
        <v>787.84</v>
      </c>
      <c r="AF7" s="97">
        <f>IFERROR(VLOOKUP(E:E,'（居民）工资表-7月'!E:AF,28,0)+VLOOKUP(E:E,'（居民）工资表-7月'!E:AG,29,0),0)</f>
        <v>503.67</v>
      </c>
      <c r="AG7" s="97">
        <f t="shared" si="3"/>
        <v>284.17</v>
      </c>
      <c r="AH7" s="107">
        <f t="shared" si="4"/>
        <v>9188.12</v>
      </c>
      <c r="AI7" s="108"/>
      <c r="AJ7" s="107">
        <f t="shared" si="5"/>
        <v>9188.12</v>
      </c>
      <c r="AK7" s="109"/>
      <c r="AL7" s="107">
        <f t="shared" si="6"/>
        <v>9472.29</v>
      </c>
      <c r="AM7" s="109"/>
      <c r="AN7" s="109"/>
      <c r="AO7" s="109"/>
      <c r="AP7" s="109"/>
      <c r="AQ7" s="109"/>
      <c r="AR7" s="116" t="str">
        <f t="shared" si="7"/>
        <v>正确</v>
      </c>
      <c r="AS7" s="116" t="str">
        <f t="shared" si="8"/>
        <v>不</v>
      </c>
      <c r="AT7" s="116" t="str">
        <f t="shared" si="9"/>
        <v>重复</v>
      </c>
    </row>
    <row r="8" s="12" customFormat="1" ht="18" customHeight="1" spans="1:46">
      <c r="A8" s="36">
        <v>5</v>
      </c>
      <c r="B8" s="37" t="s">
        <v>144</v>
      </c>
      <c r="C8" s="37" t="s">
        <v>160</v>
      </c>
      <c r="D8" s="37" t="s">
        <v>145</v>
      </c>
      <c r="E8" s="329" t="s">
        <v>161</v>
      </c>
      <c r="F8" s="38" t="s">
        <v>146</v>
      </c>
      <c r="G8" s="39">
        <v>19356875630</v>
      </c>
      <c r="H8" s="40"/>
      <c r="I8" s="40"/>
      <c r="J8" s="69"/>
      <c r="K8" s="40"/>
      <c r="L8" s="70">
        <v>11500</v>
      </c>
      <c r="M8" s="71">
        <v>321.52</v>
      </c>
      <c r="N8" s="71">
        <v>86.38</v>
      </c>
      <c r="O8" s="71">
        <v>20.1</v>
      </c>
      <c r="P8" s="71">
        <v>344</v>
      </c>
      <c r="Q8" s="89">
        <f t="shared" si="0"/>
        <v>772</v>
      </c>
      <c r="R8" s="70">
        <v>0</v>
      </c>
      <c r="S8" s="90">
        <f>L8+IFERROR(VLOOKUP($E:$E,'（居民）工资表-7月'!$E:$S,15,0),0)</f>
        <v>76500</v>
      </c>
      <c r="T8" s="91">
        <f>5000+IFERROR(VLOOKUP($E:$E,'（居民）工资表-7月'!$E:$T,16,0),0)</f>
        <v>35000</v>
      </c>
      <c r="U8" s="91">
        <f>Q8+IFERROR(VLOOKUP($E:$E,'（居民）工资表-7月'!$E:$U,17,0),0)</f>
        <v>5447.68</v>
      </c>
      <c r="V8" s="70"/>
      <c r="W8" s="70"/>
      <c r="X8" s="70"/>
      <c r="Y8" s="70"/>
      <c r="Z8" s="70"/>
      <c r="AA8" s="70"/>
      <c r="AB8" s="90">
        <f t="shared" si="1"/>
        <v>0</v>
      </c>
      <c r="AC8" s="90">
        <f>R8+IFERROR(VLOOKUP($E:$E,'（居民）工资表-7月'!$E:$AC,25,0),0)</f>
        <v>0</v>
      </c>
      <c r="AD8" s="95">
        <f t="shared" si="2"/>
        <v>36052.32</v>
      </c>
      <c r="AE8" s="96">
        <f>ROUND(MAX((AD8)*{0.03;0.1;0.2;0.25;0.3;0.35;0.45}-{0;2520;16920;31920;52920;85920;181920},0),2)</f>
        <v>1085.23</v>
      </c>
      <c r="AF8" s="97">
        <f>IFERROR(VLOOKUP(E:E,'（居民）工资表-7月'!E:AF,28,0)+VLOOKUP(E:E,'（居民）工资表-7月'!E:AG,29,0),0)</f>
        <v>909.73</v>
      </c>
      <c r="AG8" s="97">
        <f t="shared" si="3"/>
        <v>175.5</v>
      </c>
      <c r="AH8" s="107">
        <f t="shared" si="4"/>
        <v>10552.5</v>
      </c>
      <c r="AI8" s="108"/>
      <c r="AJ8" s="107">
        <f t="shared" si="5"/>
        <v>10552.5</v>
      </c>
      <c r="AK8" s="109"/>
      <c r="AL8" s="107">
        <f t="shared" si="6"/>
        <v>10728</v>
      </c>
      <c r="AM8" s="109"/>
      <c r="AN8" s="109"/>
      <c r="AO8" s="109"/>
      <c r="AP8" s="109"/>
      <c r="AQ8" s="109"/>
      <c r="AR8" s="116" t="str">
        <f t="shared" si="7"/>
        <v>正确</v>
      </c>
      <c r="AS8" s="116" t="str">
        <f t="shared" si="8"/>
        <v>不</v>
      </c>
      <c r="AT8" s="116" t="str">
        <f t="shared" si="9"/>
        <v>重复</v>
      </c>
    </row>
    <row r="9" s="12" customFormat="1" ht="18" customHeight="1" spans="1:46">
      <c r="A9" s="36">
        <v>6</v>
      </c>
      <c r="B9" s="37" t="s">
        <v>144</v>
      </c>
      <c r="C9" s="37" t="s">
        <v>162</v>
      </c>
      <c r="D9" s="37" t="s">
        <v>145</v>
      </c>
      <c r="E9" s="329" t="s">
        <v>163</v>
      </c>
      <c r="F9" s="38" t="s">
        <v>146</v>
      </c>
      <c r="G9" s="39">
        <v>13973652684</v>
      </c>
      <c r="H9" s="40"/>
      <c r="I9" s="40"/>
      <c r="J9" s="69"/>
      <c r="K9" s="40"/>
      <c r="L9" s="70">
        <v>6500</v>
      </c>
      <c r="M9" s="71">
        <v>324.24</v>
      </c>
      <c r="N9" s="71">
        <v>90.4</v>
      </c>
      <c r="O9" s="71">
        <v>12.16</v>
      </c>
      <c r="P9" s="71">
        <v>100</v>
      </c>
      <c r="Q9" s="89">
        <f t="shared" si="0"/>
        <v>526.8</v>
      </c>
      <c r="R9" s="70">
        <v>0</v>
      </c>
      <c r="S9" s="90">
        <f>L9+IFERROR(VLOOKUP($E:$E,'（居民）工资表-7月'!$E:$S,15,0),0)</f>
        <v>45500</v>
      </c>
      <c r="T9" s="91">
        <f>5000+IFERROR(VLOOKUP($E:$E,'（居民）工资表-7月'!$E:$T,16,0),0)</f>
        <v>35000</v>
      </c>
      <c r="U9" s="91">
        <f>Q9+IFERROR(VLOOKUP($E:$E,'（居民）工资表-7月'!$E:$U,17,0),0)</f>
        <v>3786.85</v>
      </c>
      <c r="V9" s="70"/>
      <c r="W9" s="70"/>
      <c r="X9" s="70"/>
      <c r="Y9" s="70"/>
      <c r="Z9" s="70"/>
      <c r="AA9" s="70"/>
      <c r="AB9" s="90">
        <f t="shared" si="1"/>
        <v>0</v>
      </c>
      <c r="AC9" s="90">
        <f>R9+IFERROR(VLOOKUP($E:$E,'（居民）工资表-7月'!$E:$AC,25,0),0)</f>
        <v>0</v>
      </c>
      <c r="AD9" s="95">
        <f t="shared" si="2"/>
        <v>6713.15</v>
      </c>
      <c r="AE9" s="96">
        <f>ROUND(MAX((AD9)*{0.03;0.1;0.2;0.25;0.3;0.35;0.45}-{0;2520;16920;31920;52920;85920;181920},0),2)</f>
        <v>201.39</v>
      </c>
      <c r="AF9" s="97">
        <f>IFERROR(VLOOKUP(E:E,'（居民）工资表-7月'!E:AF,28,0)+VLOOKUP(E:E,'（居民）工资表-7月'!E:AG,29,0),0)</f>
        <v>172.2</v>
      </c>
      <c r="AG9" s="97">
        <f t="shared" si="3"/>
        <v>29.19</v>
      </c>
      <c r="AH9" s="107">
        <f t="shared" si="4"/>
        <v>5944.01</v>
      </c>
      <c r="AI9" s="108"/>
      <c r="AJ9" s="107">
        <f t="shared" si="5"/>
        <v>5944.01</v>
      </c>
      <c r="AK9" s="109"/>
      <c r="AL9" s="107">
        <f t="shared" si="6"/>
        <v>5973.2</v>
      </c>
      <c r="AM9" s="109"/>
      <c r="AN9" s="109"/>
      <c r="AO9" s="109"/>
      <c r="AP9" s="109"/>
      <c r="AQ9" s="109"/>
      <c r="AR9" s="116" t="str">
        <f t="shared" si="7"/>
        <v>正确</v>
      </c>
      <c r="AS9" s="116" t="str">
        <f t="shared" si="8"/>
        <v>不</v>
      </c>
      <c r="AT9" s="116" t="str">
        <f t="shared" si="9"/>
        <v>重复</v>
      </c>
    </row>
    <row r="10" s="12" customFormat="1" ht="18" customHeight="1" spans="1:46">
      <c r="A10" s="36">
        <v>7</v>
      </c>
      <c r="B10" s="37" t="s">
        <v>144</v>
      </c>
      <c r="C10" s="37" t="s">
        <v>165</v>
      </c>
      <c r="D10" s="37" t="s">
        <v>145</v>
      </c>
      <c r="E10" s="329" t="s">
        <v>166</v>
      </c>
      <c r="F10" s="38" t="s">
        <v>150</v>
      </c>
      <c r="G10" s="39" t="s">
        <v>167</v>
      </c>
      <c r="H10" s="40"/>
      <c r="I10" s="40"/>
      <c r="J10" s="69"/>
      <c r="K10" s="40"/>
      <c r="L10" s="70">
        <v>4440.97</v>
      </c>
      <c r="M10" s="71">
        <v>401.04</v>
      </c>
      <c r="N10" s="71">
        <v>122.26</v>
      </c>
      <c r="O10" s="71">
        <v>25.07</v>
      </c>
      <c r="P10" s="71">
        <v>123</v>
      </c>
      <c r="Q10" s="89">
        <f t="shared" si="0"/>
        <v>671.37</v>
      </c>
      <c r="R10" s="70">
        <v>0</v>
      </c>
      <c r="S10" s="90">
        <f>L10+IFERROR(VLOOKUP($E:$E,'（居民）工资表-7月'!$E:$S,15,0),0)</f>
        <v>31390.13</v>
      </c>
      <c r="T10" s="91">
        <f>5000+IFERROR(VLOOKUP($E:$E,'（居民）工资表-7月'!$E:$T,16,0),0)</f>
        <v>35000</v>
      </c>
      <c r="U10" s="91">
        <f>Q10+IFERROR(VLOOKUP($E:$E,'（居民）工资表-7月'!$E:$U,17,0),0)</f>
        <v>4519.55</v>
      </c>
      <c r="V10" s="70"/>
      <c r="W10" s="70"/>
      <c r="X10" s="70"/>
      <c r="Y10" s="70"/>
      <c r="Z10" s="70"/>
      <c r="AA10" s="70"/>
      <c r="AB10" s="90">
        <f t="shared" si="1"/>
        <v>0</v>
      </c>
      <c r="AC10" s="90">
        <f>R10+IFERROR(VLOOKUP($E:$E,'（居民）工资表-7月'!$E:$AC,25,0),0)</f>
        <v>0</v>
      </c>
      <c r="AD10" s="95">
        <f t="shared" si="2"/>
        <v>-8129.42</v>
      </c>
      <c r="AE10" s="96">
        <f>ROUND(MAX((AD10)*{0.03;0.1;0.2;0.25;0.3;0.35;0.45}-{0;2520;16920;31920;52920;85920;181920},0),2)</f>
        <v>0</v>
      </c>
      <c r="AF10" s="97">
        <f>IFERROR(VLOOKUP(E:E,'（居民）工资表-7月'!E:AF,28,0)+VLOOKUP(E:E,'（居民）工资表-7月'!E:AG,29,0),0)</f>
        <v>0</v>
      </c>
      <c r="AG10" s="97">
        <f t="shared" si="3"/>
        <v>0</v>
      </c>
      <c r="AH10" s="107">
        <f t="shared" si="4"/>
        <v>3769.6</v>
      </c>
      <c r="AI10" s="108"/>
      <c r="AJ10" s="107">
        <f t="shared" si="5"/>
        <v>3769.6</v>
      </c>
      <c r="AK10" s="109"/>
      <c r="AL10" s="107">
        <f t="shared" si="6"/>
        <v>3769.6</v>
      </c>
      <c r="AM10" s="109"/>
      <c r="AN10" s="109"/>
      <c r="AO10" s="109"/>
      <c r="AP10" s="109"/>
      <c r="AQ10" s="109"/>
      <c r="AR10" s="116" t="str">
        <f t="shared" si="7"/>
        <v>正确</v>
      </c>
      <c r="AS10" s="116" t="str">
        <f t="shared" si="8"/>
        <v>不</v>
      </c>
      <c r="AT10" s="116" t="str">
        <f t="shared" si="9"/>
        <v>重复</v>
      </c>
    </row>
    <row r="11" s="12" customFormat="1" ht="18" customHeight="1" spans="1:46">
      <c r="A11" s="36">
        <v>8</v>
      </c>
      <c r="B11" s="37" t="s">
        <v>144</v>
      </c>
      <c r="C11" s="37" t="s">
        <v>170</v>
      </c>
      <c r="D11" s="37" t="s">
        <v>145</v>
      </c>
      <c r="E11" s="329" t="s">
        <v>171</v>
      </c>
      <c r="F11" s="38" t="s">
        <v>146</v>
      </c>
      <c r="G11" s="39">
        <v>18356553626</v>
      </c>
      <c r="H11" s="40"/>
      <c r="I11" s="40"/>
      <c r="J11" s="69"/>
      <c r="K11" s="40"/>
      <c r="L11" s="70">
        <v>9000</v>
      </c>
      <c r="M11" s="71">
        <v>321.52</v>
      </c>
      <c r="N11" s="71">
        <v>120.38</v>
      </c>
      <c r="O11" s="71">
        <v>20.1</v>
      </c>
      <c r="P11" s="71">
        <v>97</v>
      </c>
      <c r="Q11" s="89">
        <f t="shared" si="0"/>
        <v>559</v>
      </c>
      <c r="R11" s="70">
        <v>0</v>
      </c>
      <c r="S11" s="90">
        <f>L11+IFERROR(VLOOKUP($E:$E,'（居民）工资表-7月'!$E:$S,15,0),0)</f>
        <v>62000</v>
      </c>
      <c r="T11" s="91">
        <f>5000+IFERROR(VLOOKUP($E:$E,'（居民）工资表-7月'!$E:$T,16,0),0)</f>
        <v>35000</v>
      </c>
      <c r="U11" s="91">
        <f>Q11+IFERROR(VLOOKUP($E:$E,'（居民）工资表-7月'!$E:$U,17,0),0)</f>
        <v>3956.68</v>
      </c>
      <c r="V11" s="70"/>
      <c r="W11" s="70"/>
      <c r="X11" s="70"/>
      <c r="Y11" s="70"/>
      <c r="Z11" s="70"/>
      <c r="AA11" s="70"/>
      <c r="AB11" s="90">
        <f t="shared" si="1"/>
        <v>0</v>
      </c>
      <c r="AC11" s="90">
        <f>R11+IFERROR(VLOOKUP($E:$E,'（居民）工资表-7月'!$E:$AC,25,0),0)</f>
        <v>0</v>
      </c>
      <c r="AD11" s="95">
        <f t="shared" si="2"/>
        <v>23043.32</v>
      </c>
      <c r="AE11" s="96">
        <f>ROUND(MAX((AD11)*{0.03;0.1;0.2;0.25;0.3;0.35;0.45}-{0;2520;16920;31920;52920;85920;181920},0),2)</f>
        <v>691.3</v>
      </c>
      <c r="AF11" s="97">
        <f>IFERROR(VLOOKUP(E:E,'（居民）工资表-7月'!E:AF,28,0)+VLOOKUP(E:E,'（居民）工资表-7月'!E:AG,29,0),0)</f>
        <v>588.07</v>
      </c>
      <c r="AG11" s="97">
        <f t="shared" si="3"/>
        <v>103.23</v>
      </c>
      <c r="AH11" s="107">
        <f t="shared" si="4"/>
        <v>8337.77</v>
      </c>
      <c r="AI11" s="108"/>
      <c r="AJ11" s="107">
        <f t="shared" si="5"/>
        <v>8337.77</v>
      </c>
      <c r="AK11" s="109"/>
      <c r="AL11" s="107">
        <f t="shared" si="6"/>
        <v>8441</v>
      </c>
      <c r="AM11" s="109"/>
      <c r="AN11" s="109"/>
      <c r="AO11" s="109"/>
      <c r="AP11" s="109"/>
      <c r="AQ11" s="109"/>
      <c r="AR11" s="116" t="str">
        <f t="shared" si="7"/>
        <v>正确</v>
      </c>
      <c r="AS11" s="116" t="str">
        <f t="shared" si="8"/>
        <v>不</v>
      </c>
      <c r="AT11" s="116" t="str">
        <f t="shared" si="9"/>
        <v>重复</v>
      </c>
    </row>
    <row r="12" s="12" customFormat="1" ht="18" customHeight="1" spans="1:46">
      <c r="A12" s="36">
        <v>9</v>
      </c>
      <c r="B12" s="37" t="s">
        <v>144</v>
      </c>
      <c r="C12" s="37" t="s">
        <v>174</v>
      </c>
      <c r="D12" s="37" t="s">
        <v>145</v>
      </c>
      <c r="E12" s="329" t="s">
        <v>175</v>
      </c>
      <c r="F12" s="38" t="s">
        <v>146</v>
      </c>
      <c r="G12" s="39">
        <v>18326897140</v>
      </c>
      <c r="H12" s="40"/>
      <c r="I12" s="40"/>
      <c r="J12" s="69"/>
      <c r="K12" s="40"/>
      <c r="L12" s="70">
        <v>7500</v>
      </c>
      <c r="M12" s="71">
        <v>321.52</v>
      </c>
      <c r="N12" s="71">
        <v>86.38</v>
      </c>
      <c r="O12" s="71">
        <v>20.1</v>
      </c>
      <c r="P12" s="71">
        <v>344</v>
      </c>
      <c r="Q12" s="89">
        <f t="shared" si="0"/>
        <v>772</v>
      </c>
      <c r="R12" s="70">
        <v>0</v>
      </c>
      <c r="S12" s="90">
        <f>L12+IFERROR(VLOOKUP($E:$E,'（居民）工资表-7月'!$E:$S,15,0),0)</f>
        <v>51500</v>
      </c>
      <c r="T12" s="91">
        <f>5000+IFERROR(VLOOKUP($E:$E,'（居民）工资表-7月'!$E:$T,16,0),0)</f>
        <v>35000</v>
      </c>
      <c r="U12" s="91">
        <f>Q12+IFERROR(VLOOKUP($E:$E,'（居民）工资表-7月'!$E:$U,17,0),0)</f>
        <v>5447.68</v>
      </c>
      <c r="V12" s="70"/>
      <c r="W12" s="70"/>
      <c r="X12" s="70"/>
      <c r="Y12" s="70"/>
      <c r="Z12" s="70"/>
      <c r="AA12" s="70"/>
      <c r="AB12" s="90">
        <f t="shared" si="1"/>
        <v>0</v>
      </c>
      <c r="AC12" s="90">
        <f>R12+IFERROR(VLOOKUP($E:$E,'（居民）工资表-7月'!$E:$AC,25,0),0)</f>
        <v>0</v>
      </c>
      <c r="AD12" s="95">
        <f t="shared" si="2"/>
        <v>11052.32</v>
      </c>
      <c r="AE12" s="96">
        <f>ROUND(MAX((AD12)*{0.03;0.1;0.2;0.25;0.3;0.35;0.45}-{0;2520;16920;31920;52920;85920;181920},0),2)</f>
        <v>331.57</v>
      </c>
      <c r="AF12" s="97">
        <f>IFERROR(VLOOKUP(E:E,'（居民）工资表-7月'!E:AF,28,0)+VLOOKUP(E:E,'（居民）工资表-7月'!E:AG,29,0),0)</f>
        <v>279.73</v>
      </c>
      <c r="AG12" s="97">
        <f t="shared" si="3"/>
        <v>51.84</v>
      </c>
      <c r="AH12" s="107">
        <f t="shared" si="4"/>
        <v>6676.16</v>
      </c>
      <c r="AI12" s="108"/>
      <c r="AJ12" s="107">
        <f t="shared" si="5"/>
        <v>6676.16</v>
      </c>
      <c r="AK12" s="109"/>
      <c r="AL12" s="107">
        <f t="shared" si="6"/>
        <v>6728</v>
      </c>
      <c r="AM12" s="109"/>
      <c r="AN12" s="109"/>
      <c r="AO12" s="109"/>
      <c r="AP12" s="109"/>
      <c r="AQ12" s="109"/>
      <c r="AR12" s="116" t="str">
        <f t="shared" si="7"/>
        <v>正确</v>
      </c>
      <c r="AS12" s="116" t="str">
        <f t="shared" si="8"/>
        <v>不</v>
      </c>
      <c r="AT12" s="116" t="str">
        <f t="shared" si="9"/>
        <v>重复</v>
      </c>
    </row>
    <row r="13" s="12" customFormat="1" ht="18" customHeight="1" spans="1:46">
      <c r="A13" s="36">
        <v>10</v>
      </c>
      <c r="B13" s="37" t="s">
        <v>144</v>
      </c>
      <c r="C13" s="37" t="s">
        <v>176</v>
      </c>
      <c r="D13" s="37" t="s">
        <v>145</v>
      </c>
      <c r="E13" s="329" t="s">
        <v>177</v>
      </c>
      <c r="F13" s="38" t="s">
        <v>146</v>
      </c>
      <c r="G13" s="39">
        <v>17201857014</v>
      </c>
      <c r="H13" s="40"/>
      <c r="I13" s="40"/>
      <c r="J13" s="69"/>
      <c r="K13" s="40"/>
      <c r="L13" s="70">
        <v>8000</v>
      </c>
      <c r="M13" s="71">
        <v>321.52</v>
      </c>
      <c r="N13" s="71">
        <v>86.38</v>
      </c>
      <c r="O13" s="71">
        <v>20.1</v>
      </c>
      <c r="P13" s="71">
        <v>344</v>
      </c>
      <c r="Q13" s="89">
        <f t="shared" si="0"/>
        <v>772</v>
      </c>
      <c r="R13" s="70">
        <v>0</v>
      </c>
      <c r="S13" s="90">
        <f>L13+IFERROR(VLOOKUP($E:$E,'（居民）工资表-7月'!$E:$S,15,0),0)</f>
        <v>54000</v>
      </c>
      <c r="T13" s="91">
        <f>5000+IFERROR(VLOOKUP($E:$E,'（居民）工资表-7月'!$E:$T,16,0),0)</f>
        <v>35000</v>
      </c>
      <c r="U13" s="91">
        <f>Q13+IFERROR(VLOOKUP($E:$E,'（居民）工资表-7月'!$E:$U,17,0),0)</f>
        <v>5447.68</v>
      </c>
      <c r="V13" s="70"/>
      <c r="W13" s="70"/>
      <c r="X13" s="70"/>
      <c r="Y13" s="70"/>
      <c r="Z13" s="70"/>
      <c r="AA13" s="70"/>
      <c r="AB13" s="90">
        <f t="shared" si="1"/>
        <v>0</v>
      </c>
      <c r="AC13" s="90">
        <f>R13+IFERROR(VLOOKUP($E:$E,'（居民）工资表-7月'!$E:$AC,25,0),0)</f>
        <v>0</v>
      </c>
      <c r="AD13" s="95">
        <f t="shared" si="2"/>
        <v>13552.32</v>
      </c>
      <c r="AE13" s="96">
        <f>ROUND(MAX((AD13)*{0.03;0.1;0.2;0.25;0.3;0.35;0.45}-{0;2520;16920;31920;52920;85920;181920},0),2)</f>
        <v>406.57</v>
      </c>
      <c r="AF13" s="97">
        <f>IFERROR(VLOOKUP(E:E,'（居民）工资表-7月'!E:AF,28,0)+VLOOKUP(E:E,'（居民）工资表-7月'!E:AG,29,0),0)</f>
        <v>339.73</v>
      </c>
      <c r="AG13" s="97">
        <f t="shared" si="3"/>
        <v>66.84</v>
      </c>
      <c r="AH13" s="107">
        <f t="shared" si="4"/>
        <v>7161.16</v>
      </c>
      <c r="AI13" s="108"/>
      <c r="AJ13" s="107">
        <f t="shared" si="5"/>
        <v>7161.16</v>
      </c>
      <c r="AK13" s="109"/>
      <c r="AL13" s="107">
        <f t="shared" si="6"/>
        <v>7228</v>
      </c>
      <c r="AM13" s="109"/>
      <c r="AN13" s="109"/>
      <c r="AO13" s="109"/>
      <c r="AP13" s="109"/>
      <c r="AQ13" s="109"/>
      <c r="AR13" s="116" t="str">
        <f t="shared" si="7"/>
        <v>正确</v>
      </c>
      <c r="AS13" s="116" t="str">
        <f t="shared" si="8"/>
        <v>不</v>
      </c>
      <c r="AT13" s="116" t="str">
        <f t="shared" si="9"/>
        <v>重复</v>
      </c>
    </row>
    <row r="14" s="12" customFormat="1" ht="18" customHeight="1" spans="1:46">
      <c r="A14" s="36">
        <v>11</v>
      </c>
      <c r="B14" s="37" t="s">
        <v>144</v>
      </c>
      <c r="C14" s="37" t="s">
        <v>178</v>
      </c>
      <c r="D14" s="37" t="s">
        <v>145</v>
      </c>
      <c r="E14" s="329" t="s">
        <v>179</v>
      </c>
      <c r="F14" s="38" t="s">
        <v>150</v>
      </c>
      <c r="G14" s="39" t="s">
        <v>180</v>
      </c>
      <c r="H14" s="40"/>
      <c r="I14" s="40"/>
      <c r="J14" s="69"/>
      <c r="K14" s="40"/>
      <c r="L14" s="70">
        <v>5972.73</v>
      </c>
      <c r="M14" s="71">
        <v>0</v>
      </c>
      <c r="N14" s="71">
        <v>0</v>
      </c>
      <c r="O14" s="71">
        <v>0</v>
      </c>
      <c r="P14" s="71">
        <v>0</v>
      </c>
      <c r="Q14" s="89">
        <f t="shared" si="0"/>
        <v>0</v>
      </c>
      <c r="R14" s="70">
        <v>0</v>
      </c>
      <c r="S14" s="90">
        <f>L14+IFERROR(VLOOKUP($E:$E,'（居民）工资表-7月'!$E:$S,15,0),0)</f>
        <v>34572.73</v>
      </c>
      <c r="T14" s="91">
        <f>5000+IFERROR(VLOOKUP($E:$E,'（居民）工资表-7月'!$E:$T,16,0),0)</f>
        <v>25000</v>
      </c>
      <c r="U14" s="91">
        <f>Q14+IFERROR(VLOOKUP($E:$E,'（居民）工资表-7月'!$E:$U,17,0),0)</f>
        <v>2236</v>
      </c>
      <c r="V14" s="70"/>
      <c r="W14" s="70"/>
      <c r="X14" s="70"/>
      <c r="Y14" s="70"/>
      <c r="Z14" s="70"/>
      <c r="AA14" s="70"/>
      <c r="AB14" s="90">
        <f t="shared" si="1"/>
        <v>0</v>
      </c>
      <c r="AC14" s="90">
        <f>R14+IFERROR(VLOOKUP($E:$E,'（居民）工资表-7月'!$E:$AC,25,0),0)</f>
        <v>0</v>
      </c>
      <c r="AD14" s="95">
        <f t="shared" si="2"/>
        <v>7336.73</v>
      </c>
      <c r="AE14" s="96">
        <f>ROUND(MAX((AD14)*{0.03;0.1;0.2;0.25;0.3;0.35;0.45}-{0;2520;16920;31920;52920;85920;181920},0),2)</f>
        <v>220.1</v>
      </c>
      <c r="AF14" s="97">
        <f>IFERROR(VLOOKUP(E:E,'（居民）工资表-7月'!E:AF,28,0)+VLOOKUP(E:E,'（居民）工资表-7月'!E:AG,29,0),0)</f>
        <v>190.92</v>
      </c>
      <c r="AG14" s="97">
        <f t="shared" si="3"/>
        <v>29.18</v>
      </c>
      <c r="AH14" s="107">
        <f t="shared" si="4"/>
        <v>5943.55</v>
      </c>
      <c r="AI14" s="108"/>
      <c r="AJ14" s="107">
        <f t="shared" si="5"/>
        <v>5943.55</v>
      </c>
      <c r="AK14" s="109"/>
      <c r="AL14" s="107">
        <f t="shared" si="6"/>
        <v>5972.73</v>
      </c>
      <c r="AM14" s="109"/>
      <c r="AN14" s="109"/>
      <c r="AO14" s="109"/>
      <c r="AP14" s="109"/>
      <c r="AQ14" s="109"/>
      <c r="AR14" s="116" t="str">
        <f t="shared" si="7"/>
        <v>正确</v>
      </c>
      <c r="AS14" s="116" t="str">
        <f t="shared" si="8"/>
        <v>不</v>
      </c>
      <c r="AT14" s="116" t="str">
        <f t="shared" si="9"/>
        <v>重复</v>
      </c>
    </row>
    <row r="15" s="12" customFormat="1" ht="18" customHeight="1" spans="1:46">
      <c r="A15" s="36">
        <v>12</v>
      </c>
      <c r="B15" s="37" t="s">
        <v>144</v>
      </c>
      <c r="C15" s="37" t="s">
        <v>181</v>
      </c>
      <c r="D15" s="37" t="s">
        <v>145</v>
      </c>
      <c r="E15" s="329" t="s">
        <v>182</v>
      </c>
      <c r="F15" s="38" t="s">
        <v>150</v>
      </c>
      <c r="G15" s="39">
        <v>15855788591</v>
      </c>
      <c r="H15" s="40"/>
      <c r="I15" s="40"/>
      <c r="J15" s="69"/>
      <c r="K15" s="40"/>
      <c r="L15" s="70">
        <v>4295.45</v>
      </c>
      <c r="M15" s="71">
        <v>-321.52</v>
      </c>
      <c r="N15" s="71">
        <v>-89.09</v>
      </c>
      <c r="O15" s="71">
        <v>-20.1</v>
      </c>
      <c r="P15" s="71">
        <v>-97</v>
      </c>
      <c r="Q15" s="89">
        <f t="shared" si="0"/>
        <v>-527.71</v>
      </c>
      <c r="R15" s="70">
        <v>0</v>
      </c>
      <c r="S15" s="90">
        <f>L15+IFERROR(VLOOKUP($E:$E,'（居民）工资表-7月'!$E:$S,15,0),0)</f>
        <v>29341.09</v>
      </c>
      <c r="T15" s="91">
        <f>5000+IFERROR(VLOOKUP($E:$E,'（居民）工资表-7月'!$E:$T,16,0),0)</f>
        <v>25000</v>
      </c>
      <c r="U15" s="91">
        <f>Q15+IFERROR(VLOOKUP($E:$E,'（居民）工资表-7月'!$E:$U,17,0),0)</f>
        <v>1583.13</v>
      </c>
      <c r="V15" s="70"/>
      <c r="W15" s="70"/>
      <c r="X15" s="70"/>
      <c r="Y15" s="70"/>
      <c r="Z15" s="70"/>
      <c r="AA15" s="70"/>
      <c r="AB15" s="90">
        <f t="shared" si="1"/>
        <v>0</v>
      </c>
      <c r="AC15" s="90">
        <f>R15+IFERROR(VLOOKUP($E:$E,'（居民）工资表-7月'!$E:$AC,25,0),0)</f>
        <v>0</v>
      </c>
      <c r="AD15" s="95">
        <f t="shared" si="2"/>
        <v>2757.96</v>
      </c>
      <c r="AE15" s="96">
        <f>ROUND(MAX((AD15)*{0.03;0.1;0.2;0.25;0.3;0.35;0.45}-{0;2520;16920;31920;52920;85920;181920},0),2)</f>
        <v>82.74</v>
      </c>
      <c r="AF15" s="97">
        <f>IFERROR(VLOOKUP(E:E,'（居民）工资表-7月'!E:AF,28,0)+VLOOKUP(E:E,'（居民）工资表-7月'!E:AG,29,0),0)</f>
        <v>88.04</v>
      </c>
      <c r="AG15" s="97">
        <f t="shared" si="3"/>
        <v>0</v>
      </c>
      <c r="AH15" s="107">
        <f t="shared" si="4"/>
        <v>4823.16</v>
      </c>
      <c r="AI15" s="108"/>
      <c r="AJ15" s="107">
        <f t="shared" si="5"/>
        <v>4823.16</v>
      </c>
      <c r="AK15" s="109"/>
      <c r="AL15" s="107">
        <f t="shared" si="6"/>
        <v>4823.16</v>
      </c>
      <c r="AM15" s="109"/>
      <c r="AN15" s="109"/>
      <c r="AO15" s="109"/>
      <c r="AP15" s="109"/>
      <c r="AQ15" s="109"/>
      <c r="AR15" s="116" t="str">
        <f t="shared" si="7"/>
        <v>正确</v>
      </c>
      <c r="AS15" s="116" t="str">
        <f t="shared" si="8"/>
        <v>不</v>
      </c>
      <c r="AT15" s="116" t="str">
        <f t="shared" si="9"/>
        <v>重复</v>
      </c>
    </row>
    <row r="16" s="12" customFormat="1" ht="18" customHeight="1" spans="1:46">
      <c r="A16" s="36">
        <v>13</v>
      </c>
      <c r="B16" s="37" t="s">
        <v>144</v>
      </c>
      <c r="C16" s="37" t="s">
        <v>183</v>
      </c>
      <c r="D16" s="37" t="s">
        <v>145</v>
      </c>
      <c r="E16" s="329" t="s">
        <v>184</v>
      </c>
      <c r="F16" s="38" t="s">
        <v>150</v>
      </c>
      <c r="G16" s="39"/>
      <c r="H16" s="40"/>
      <c r="I16" s="40"/>
      <c r="J16" s="69"/>
      <c r="K16" s="40"/>
      <c r="L16" s="70">
        <v>6000</v>
      </c>
      <c r="M16" s="71">
        <v>321.52</v>
      </c>
      <c r="N16" s="71">
        <v>80.38</v>
      </c>
      <c r="O16" s="71">
        <v>20.1</v>
      </c>
      <c r="P16" s="71">
        <v>103</v>
      </c>
      <c r="Q16" s="89">
        <f t="shared" si="0"/>
        <v>525</v>
      </c>
      <c r="R16" s="70">
        <v>0</v>
      </c>
      <c r="S16" s="90">
        <f>L16+IFERROR(VLOOKUP($E:$E,'（居民）工资表-7月'!$E:$S,15,0),0)</f>
        <v>42000</v>
      </c>
      <c r="T16" s="91">
        <f>5000+IFERROR(VLOOKUP($E:$E,'（居民）工资表-7月'!$E:$T,16,0),0)</f>
        <v>35000</v>
      </c>
      <c r="U16" s="91">
        <f>Q16+IFERROR(VLOOKUP($E:$E,'（居民）工资表-7月'!$E:$U,17,0),0)</f>
        <v>3718.68</v>
      </c>
      <c r="V16" s="70"/>
      <c r="W16" s="70"/>
      <c r="X16" s="70"/>
      <c r="Y16" s="70"/>
      <c r="Z16" s="70"/>
      <c r="AA16" s="70"/>
      <c r="AB16" s="90">
        <f t="shared" si="1"/>
        <v>0</v>
      </c>
      <c r="AC16" s="90">
        <f>R16+IFERROR(VLOOKUP($E:$E,'（居民）工资表-7月'!$E:$AC,25,0),0)</f>
        <v>0</v>
      </c>
      <c r="AD16" s="95">
        <f t="shared" si="2"/>
        <v>3281.32</v>
      </c>
      <c r="AE16" s="96">
        <f>ROUND(MAX((AD16)*{0.03;0.1;0.2;0.25;0.3;0.35;0.45}-{0;2520;16920;31920;52920;85920;181920},0),2)</f>
        <v>98.44</v>
      </c>
      <c r="AF16" s="97">
        <f>IFERROR(VLOOKUP(E:E,'（居民）工资表-7月'!E:AF,28,0)+VLOOKUP(E:E,'（居民）工资表-7月'!E:AG,29,0),0)</f>
        <v>84.19</v>
      </c>
      <c r="AG16" s="97">
        <f t="shared" si="3"/>
        <v>14.25</v>
      </c>
      <c r="AH16" s="107">
        <f t="shared" si="4"/>
        <v>5460.75</v>
      </c>
      <c r="AI16" s="108"/>
      <c r="AJ16" s="107">
        <f t="shared" si="5"/>
        <v>5460.75</v>
      </c>
      <c r="AK16" s="109"/>
      <c r="AL16" s="107">
        <f t="shared" si="6"/>
        <v>5475</v>
      </c>
      <c r="AM16" s="109"/>
      <c r="AN16" s="109"/>
      <c r="AO16" s="109"/>
      <c r="AP16" s="109"/>
      <c r="AQ16" s="109"/>
      <c r="AR16" s="116" t="str">
        <f t="shared" si="7"/>
        <v>正确</v>
      </c>
      <c r="AS16" s="116" t="str">
        <f t="shared" si="8"/>
        <v>不</v>
      </c>
      <c r="AT16" s="116" t="str">
        <f t="shared" si="9"/>
        <v>重复</v>
      </c>
    </row>
    <row r="17" s="12" customFormat="1" ht="18" customHeight="1" spans="1:46">
      <c r="A17" s="36">
        <v>14</v>
      </c>
      <c r="B17" s="37" t="s">
        <v>144</v>
      </c>
      <c r="C17" s="37" t="s">
        <v>185</v>
      </c>
      <c r="D17" s="37" t="s">
        <v>145</v>
      </c>
      <c r="E17" s="329" t="s">
        <v>186</v>
      </c>
      <c r="F17" s="38" t="s">
        <v>146</v>
      </c>
      <c r="G17" s="39">
        <v>15056587375</v>
      </c>
      <c r="H17" s="40"/>
      <c r="I17" s="40"/>
      <c r="J17" s="69"/>
      <c r="K17" s="40"/>
      <c r="L17" s="70">
        <v>10000</v>
      </c>
      <c r="M17" s="71">
        <v>321.52</v>
      </c>
      <c r="N17" s="71">
        <v>89.09</v>
      </c>
      <c r="O17" s="71">
        <v>20.1</v>
      </c>
      <c r="P17" s="71">
        <v>97</v>
      </c>
      <c r="Q17" s="89">
        <f t="shared" si="0"/>
        <v>527.71</v>
      </c>
      <c r="R17" s="70">
        <v>0</v>
      </c>
      <c r="S17" s="90">
        <f>L17+IFERROR(VLOOKUP($E:$E,'（居民）工资表-7月'!$E:$S,15,0),0)</f>
        <v>70000</v>
      </c>
      <c r="T17" s="91">
        <f>5000+IFERROR(VLOOKUP($E:$E,'（居民）工资表-7月'!$E:$T,16,0),0)</f>
        <v>35000</v>
      </c>
      <c r="U17" s="91">
        <f>Q17+IFERROR(VLOOKUP($E:$E,'（居民）工资表-7月'!$E:$U,17,0),0)</f>
        <v>3738.55</v>
      </c>
      <c r="V17" s="70"/>
      <c r="W17" s="70"/>
      <c r="X17" s="70"/>
      <c r="Y17" s="70"/>
      <c r="Z17" s="70"/>
      <c r="AA17" s="70"/>
      <c r="AB17" s="90">
        <f t="shared" si="1"/>
        <v>0</v>
      </c>
      <c r="AC17" s="90">
        <f>R17+IFERROR(VLOOKUP($E:$E,'（居民）工资表-7月'!$E:$AC,25,0),0)</f>
        <v>0</v>
      </c>
      <c r="AD17" s="95">
        <f t="shared" si="2"/>
        <v>31261.45</v>
      </c>
      <c r="AE17" s="96">
        <f>ROUND(MAX((AD17)*{0.03;0.1;0.2;0.25;0.3;0.35;0.45}-{0;2520;16920;31920;52920;85920;181920},0),2)</f>
        <v>937.84</v>
      </c>
      <c r="AF17" s="97">
        <f>IFERROR(VLOOKUP(E:E,'（居民）工资表-7月'!E:AF,28,0)+VLOOKUP(E:E,'（居民）工资表-7月'!E:AG,29,0),0)</f>
        <v>803.67</v>
      </c>
      <c r="AG17" s="97">
        <f t="shared" si="3"/>
        <v>134.17</v>
      </c>
      <c r="AH17" s="107">
        <f t="shared" si="4"/>
        <v>9338.12</v>
      </c>
      <c r="AI17" s="108"/>
      <c r="AJ17" s="107">
        <f t="shared" si="5"/>
        <v>9338.12</v>
      </c>
      <c r="AK17" s="109"/>
      <c r="AL17" s="107">
        <f t="shared" si="6"/>
        <v>9472.29</v>
      </c>
      <c r="AM17" s="109"/>
      <c r="AN17" s="109"/>
      <c r="AO17" s="109"/>
      <c r="AP17" s="109"/>
      <c r="AQ17" s="109"/>
      <c r="AR17" s="116" t="str">
        <f t="shared" si="7"/>
        <v>正确</v>
      </c>
      <c r="AS17" s="116" t="str">
        <f>IF(SUMPRODUCT(N(E$1:E$18=E17))&gt;1,"重复","不")</f>
        <v>不</v>
      </c>
      <c r="AT17" s="116" t="str">
        <f>IF(SUMPRODUCT(N(AO$1:AO$18=AO17))&gt;1,"重复","不")</f>
        <v>重复</v>
      </c>
    </row>
    <row r="18" s="12" customFormat="1" ht="18" customHeight="1" spans="1:46">
      <c r="A18" s="36">
        <v>15</v>
      </c>
      <c r="B18" s="37" t="s">
        <v>144</v>
      </c>
      <c r="C18" s="37" t="s">
        <v>187</v>
      </c>
      <c r="D18" s="37" t="s">
        <v>145</v>
      </c>
      <c r="E18" s="37" t="s">
        <v>188</v>
      </c>
      <c r="F18" s="38" t="s">
        <v>146</v>
      </c>
      <c r="G18" s="39">
        <v>13711361074</v>
      </c>
      <c r="H18" s="40"/>
      <c r="I18" s="40"/>
      <c r="J18" s="69"/>
      <c r="K18" s="40"/>
      <c r="L18" s="70">
        <v>7600</v>
      </c>
      <c r="M18" s="71">
        <v>337.92</v>
      </c>
      <c r="N18" s="71">
        <v>91.48</v>
      </c>
      <c r="O18" s="71">
        <v>12.67</v>
      </c>
      <c r="P18" s="71">
        <v>110.5</v>
      </c>
      <c r="Q18" s="89">
        <f t="shared" si="0"/>
        <v>552.57</v>
      </c>
      <c r="R18" s="70">
        <v>0</v>
      </c>
      <c r="S18" s="90">
        <f>L18+IFERROR(VLOOKUP($E:$E,'（居民）工资表-7月'!$E:$S,15,0),0)</f>
        <v>43550.3</v>
      </c>
      <c r="T18" s="91">
        <f>5000+IFERROR(VLOOKUP($E:$E,'（居民）工资表-7月'!$E:$T,16,0),0)</f>
        <v>35000</v>
      </c>
      <c r="U18" s="91">
        <f>Q18+IFERROR(VLOOKUP($E:$E,'（居民）工资表-7月'!$E:$U,17,0),0)</f>
        <v>3895.8</v>
      </c>
      <c r="V18" s="70"/>
      <c r="W18" s="70"/>
      <c r="X18" s="70"/>
      <c r="Y18" s="70"/>
      <c r="Z18" s="70"/>
      <c r="AA18" s="70"/>
      <c r="AB18" s="90">
        <f t="shared" si="1"/>
        <v>0</v>
      </c>
      <c r="AC18" s="90">
        <f>R18+IFERROR(VLOOKUP($E:$E,'（居民）工资表-7月'!$E:$AC,25,0),0)</f>
        <v>0</v>
      </c>
      <c r="AD18" s="95">
        <f t="shared" si="2"/>
        <v>4654.5</v>
      </c>
      <c r="AE18" s="96">
        <f>ROUND(MAX((AD18)*{0.03;0.1;0.2;0.25;0.3;0.35;0.45}-{0;2520;16920;31920;52920;85920;181920},0),2)</f>
        <v>139.64</v>
      </c>
      <c r="AF18" s="97">
        <f>IFERROR(VLOOKUP(E:E,'（居民）工资表-7月'!E:AF,28,0)+VLOOKUP(E:E,'（居民）工资表-7月'!E:AG,29,0),0)</f>
        <v>138.59</v>
      </c>
      <c r="AG18" s="97">
        <f t="shared" si="3"/>
        <v>1.04999999999998</v>
      </c>
      <c r="AH18" s="107">
        <f t="shared" si="4"/>
        <v>7046.38</v>
      </c>
      <c r="AI18" s="108"/>
      <c r="AJ18" s="107">
        <f t="shared" si="5"/>
        <v>7046.38</v>
      </c>
      <c r="AK18" s="109"/>
      <c r="AL18" s="107">
        <f t="shared" si="6"/>
        <v>7047.43</v>
      </c>
      <c r="AM18" s="109"/>
      <c r="AN18" s="109"/>
      <c r="AO18" s="109"/>
      <c r="AP18" s="109"/>
      <c r="AQ18" s="109"/>
      <c r="AR18" s="116" t="str">
        <f t="shared" si="7"/>
        <v>正确</v>
      </c>
      <c r="AS18" s="116" t="str">
        <f>IF(SUMPRODUCT(N(E$1:E$18=E18))&gt;1,"重复","不")</f>
        <v>不</v>
      </c>
      <c r="AT18" s="116" t="str">
        <f>IF(SUMPRODUCT(N(AO$1:AO$18=AO18))&gt;1,"重复","不")</f>
        <v>重复</v>
      </c>
    </row>
    <row r="19" s="12" customFormat="1" ht="18" customHeight="1" spans="1:46">
      <c r="A19" s="36"/>
      <c r="B19" s="37"/>
      <c r="C19" s="37"/>
      <c r="D19" s="37"/>
      <c r="E19" s="37"/>
      <c r="F19" s="38"/>
      <c r="G19" s="39"/>
      <c r="H19" s="40"/>
      <c r="I19" s="40"/>
      <c r="J19" s="69"/>
      <c r="K19" s="40"/>
      <c r="L19" s="70"/>
      <c r="M19" s="71"/>
      <c r="N19" s="71"/>
      <c r="O19" s="71"/>
      <c r="P19" s="71"/>
      <c r="Q19" s="89"/>
      <c r="R19" s="70"/>
      <c r="S19" s="90"/>
      <c r="T19" s="91"/>
      <c r="U19" s="91"/>
      <c r="V19" s="70"/>
      <c r="W19" s="70"/>
      <c r="X19" s="70"/>
      <c r="Y19" s="70"/>
      <c r="Z19" s="70"/>
      <c r="AA19" s="70"/>
      <c r="AB19" s="90"/>
      <c r="AC19" s="90"/>
      <c r="AD19" s="95"/>
      <c r="AE19" s="96"/>
      <c r="AF19" s="97"/>
      <c r="AG19" s="97"/>
      <c r="AH19" s="107"/>
      <c r="AI19" s="108"/>
      <c r="AJ19" s="107"/>
      <c r="AK19" s="109"/>
      <c r="AL19" s="107"/>
      <c r="AM19" s="109"/>
      <c r="AN19" s="109"/>
      <c r="AO19" s="109"/>
      <c r="AP19" s="109"/>
      <c r="AQ19" s="109"/>
      <c r="AR19" s="116"/>
      <c r="AS19" s="116"/>
      <c r="AT19" s="116"/>
    </row>
    <row r="20" s="13" customFormat="1" ht="18" customHeight="1" spans="1:46">
      <c r="A20" s="41"/>
      <c r="B20" s="42" t="s">
        <v>189</v>
      </c>
      <c r="C20" s="42"/>
      <c r="D20" s="43"/>
      <c r="E20" s="44"/>
      <c r="F20" s="45"/>
      <c r="G20" s="46"/>
      <c r="H20" s="45"/>
      <c r="I20" s="72"/>
      <c r="J20" s="73"/>
      <c r="K20" s="72"/>
      <c r="L20" s="74">
        <f>SUM(L4:L19)</f>
        <v>134969.15</v>
      </c>
      <c r="M20" s="74">
        <f>SUM(M4:M19)</f>
        <v>4361.27</v>
      </c>
      <c r="N20" s="74">
        <f>SUM(N4:N19)</f>
        <v>1220.91</v>
      </c>
      <c r="O20" s="74">
        <f t="shared" ref="O20:AL20" si="10">SUM(O4:O19)</f>
        <v>227.19</v>
      </c>
      <c r="P20" s="74">
        <f t="shared" si="10"/>
        <v>2135.9</v>
      </c>
      <c r="Q20" s="74">
        <f t="shared" si="10"/>
        <v>7945.27</v>
      </c>
      <c r="R20" s="74">
        <f t="shared" si="10"/>
        <v>0</v>
      </c>
      <c r="S20" s="74">
        <f t="shared" si="10"/>
        <v>913794.25</v>
      </c>
      <c r="T20" s="74">
        <f t="shared" si="10"/>
        <v>505000</v>
      </c>
      <c r="U20" s="74">
        <f t="shared" si="10"/>
        <v>63244.71</v>
      </c>
      <c r="V20" s="74">
        <f t="shared" si="10"/>
        <v>0</v>
      </c>
      <c r="W20" s="74">
        <f t="shared" si="10"/>
        <v>0</v>
      </c>
      <c r="X20" s="74">
        <f t="shared" si="10"/>
        <v>0</v>
      </c>
      <c r="Y20" s="74">
        <f t="shared" si="10"/>
        <v>0</v>
      </c>
      <c r="Z20" s="74">
        <f t="shared" si="10"/>
        <v>0</v>
      </c>
      <c r="AA20" s="74">
        <f t="shared" si="10"/>
        <v>0</v>
      </c>
      <c r="AB20" s="74">
        <f t="shared" si="10"/>
        <v>0</v>
      </c>
      <c r="AC20" s="74">
        <f t="shared" si="10"/>
        <v>0</v>
      </c>
      <c r="AD20" s="74">
        <f t="shared" si="10"/>
        <v>345549.54</v>
      </c>
      <c r="AE20" s="74">
        <f t="shared" si="10"/>
        <v>22378.98</v>
      </c>
      <c r="AF20" s="74">
        <f t="shared" si="10"/>
        <v>15392.39</v>
      </c>
      <c r="AG20" s="74">
        <f t="shared" si="10"/>
        <v>6991.89</v>
      </c>
      <c r="AH20" s="74">
        <f t="shared" si="10"/>
        <v>120031.99</v>
      </c>
      <c r="AI20" s="74">
        <f t="shared" si="10"/>
        <v>0</v>
      </c>
      <c r="AJ20" s="74">
        <f t="shared" si="10"/>
        <v>120031.99</v>
      </c>
      <c r="AK20" s="74">
        <f t="shared" si="10"/>
        <v>0</v>
      </c>
      <c r="AL20" s="74">
        <f t="shared" si="10"/>
        <v>127023.88</v>
      </c>
      <c r="AM20" s="110"/>
      <c r="AN20" s="110"/>
      <c r="AO20" s="110"/>
      <c r="AP20" s="110"/>
      <c r="AQ20" s="110"/>
      <c r="AR20" s="45"/>
      <c r="AS20" s="45"/>
      <c r="AT20" s="118"/>
    </row>
    <row r="23" spans="30:30">
      <c r="AD23" s="101"/>
    </row>
    <row r="24" ht="18.75" customHeight="1" spans="2:30">
      <c r="B24" s="47" t="s">
        <v>133</v>
      </c>
      <c r="C24" s="47" t="s">
        <v>190</v>
      </c>
      <c r="D24" s="47" t="s">
        <v>22</v>
      </c>
      <c r="E24" s="47" t="s">
        <v>23</v>
      </c>
      <c r="AD24" s="10"/>
    </row>
    <row r="25" ht="18.75" customHeight="1" spans="2:5">
      <c r="B25" s="48">
        <f>AJ20</f>
        <v>120031.99</v>
      </c>
      <c r="C25" s="48">
        <f>AG20</f>
        <v>6991.89</v>
      </c>
      <c r="D25" s="48">
        <f>AK20</f>
        <v>0</v>
      </c>
      <c r="E25" s="48">
        <f>B25+C25+D25</f>
        <v>127023.88</v>
      </c>
    </row>
    <row r="26" spans="2:5">
      <c r="B26" s="49"/>
      <c r="C26" s="49"/>
      <c r="D26" s="49"/>
      <c r="E26" s="49"/>
    </row>
    <row r="27" s="14" customFormat="1" spans="1:35">
      <c r="A27" s="51" t="s">
        <v>191</v>
      </c>
      <c r="B27" s="52" t="s">
        <v>192</v>
      </c>
      <c r="C27" s="50"/>
      <c r="D27" s="50"/>
      <c r="E27" s="50"/>
      <c r="G27" s="53"/>
      <c r="J27" s="75"/>
      <c r="M27" s="76"/>
      <c r="AI27" s="112"/>
    </row>
    <row r="28" s="14" customFormat="1" spans="1:35">
      <c r="A28" s="54"/>
      <c r="B28" s="55" t="s">
        <v>193</v>
      </c>
      <c r="C28" s="50"/>
      <c r="D28" s="50"/>
      <c r="E28" s="50"/>
      <c r="G28" s="53"/>
      <c r="J28" s="75"/>
      <c r="M28" s="76"/>
      <c r="AI28" s="112"/>
    </row>
    <row r="29" s="14" customFormat="1" spans="1:35">
      <c r="A29" s="52"/>
      <c r="B29" s="55" t="s">
        <v>194</v>
      </c>
      <c r="C29" s="56"/>
      <c r="D29" s="56"/>
      <c r="E29" s="56"/>
      <c r="F29" s="56"/>
      <c r="G29" s="56"/>
      <c r="H29" s="56"/>
      <c r="I29" s="56"/>
      <c r="J29" s="77"/>
      <c r="K29" s="56"/>
      <c r="L29" s="56"/>
      <c r="M29" s="78"/>
      <c r="N29" s="56"/>
      <c r="O29" s="56"/>
      <c r="P29" s="56"/>
      <c r="AI29" s="112"/>
    </row>
    <row r="30" s="14" customFormat="1" customHeight="1" spans="1:35">
      <c r="A30" s="55"/>
      <c r="B30" s="55" t="s">
        <v>195</v>
      </c>
      <c r="C30" s="57"/>
      <c r="D30" s="57"/>
      <c r="E30" s="57"/>
      <c r="F30" s="57"/>
      <c r="G30" s="57"/>
      <c r="H30" s="57"/>
      <c r="I30" s="79"/>
      <c r="J30" s="80"/>
      <c r="K30" s="79"/>
      <c r="L30" s="79"/>
      <c r="M30" s="81"/>
      <c r="N30" s="79"/>
      <c r="O30" s="79"/>
      <c r="P30" s="79"/>
      <c r="AI30" s="112"/>
    </row>
    <row r="31" s="14" customFormat="1" customHeight="1" spans="1:35">
      <c r="A31" s="55"/>
      <c r="B31" s="55" t="s">
        <v>196</v>
      </c>
      <c r="C31" s="57"/>
      <c r="D31" s="57"/>
      <c r="E31" s="57"/>
      <c r="F31" s="57"/>
      <c r="G31" s="57"/>
      <c r="H31" s="57"/>
      <c r="I31" s="57"/>
      <c r="J31" s="82"/>
      <c r="K31" s="57"/>
      <c r="L31" s="79"/>
      <c r="M31" s="81"/>
      <c r="N31" s="79"/>
      <c r="O31" s="79"/>
      <c r="P31" s="79"/>
      <c r="AI31" s="112"/>
    </row>
    <row r="32" s="14" customFormat="1" customHeight="1" spans="1:35">
      <c r="A32" s="55"/>
      <c r="B32" s="55" t="s">
        <v>197</v>
      </c>
      <c r="C32" s="57"/>
      <c r="D32" s="57"/>
      <c r="E32" s="57"/>
      <c r="F32" s="57"/>
      <c r="G32" s="57"/>
      <c r="H32" s="57"/>
      <c r="I32" s="79"/>
      <c r="J32" s="80"/>
      <c r="K32" s="79"/>
      <c r="L32" s="79"/>
      <c r="M32" s="81"/>
      <c r="N32" s="79"/>
      <c r="O32" s="79"/>
      <c r="P32" s="79"/>
      <c r="AI32" s="112"/>
    </row>
    <row r="34" ht="11.25" customHeight="1" spans="2:2">
      <c r="B34" s="58" t="s">
        <v>198</v>
      </c>
    </row>
    <row r="35" spans="2:2">
      <c r="B35" s="59" t="s">
        <v>199</v>
      </c>
    </row>
    <row r="36" spans="2:2">
      <c r="B36" s="59" t="s">
        <v>200</v>
      </c>
    </row>
  </sheetData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2">
    <cfRule type="duplicateValues" dxfId="4" priority="2" stopIfTrue="1"/>
  </conditionalFormatting>
  <conditionalFormatting sqref="B27:B31">
    <cfRule type="duplicateValues" dxfId="4" priority="3" stopIfTrue="1"/>
  </conditionalFormatting>
  <conditionalFormatting sqref="B35:B36">
    <cfRule type="duplicateValues" dxfId="4" priority="1" stopIfTrue="1"/>
  </conditionalFormatting>
  <conditionalFormatting sqref="C24:C26">
    <cfRule type="duplicateValues" dxfId="4" priority="4" stopIfTrue="1"/>
    <cfRule type="expression" dxfId="5" priority="5" stopIfTrue="1">
      <formula>AND(COUNTIF($B$20:$B$65456,C24)+COUNTIF($B$1:$B$3,C24)&gt;1,NOT(ISBLANK(C24)))</formula>
    </cfRule>
    <cfRule type="expression" dxfId="5" priority="6" stopIfTrue="1">
      <formula>AND(COUNTIF($B$31:$B$65407,C24)+COUNTIF($B$1:$B$30,C24)&gt;1,NOT(ISBLANK(C24)))</formula>
    </cfRule>
    <cfRule type="expression" dxfId="5" priority="7" stopIfTrue="1">
      <formula>AND(COUNTIF($B$20:$B$65445,C24)+COUNTIF($B$1:$B$3,C24)&gt;1,NOT(ISBLANK(C24)))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tabColor rgb="FF00B050"/>
    <pageSetUpPr fitToPage="1"/>
  </sheetPr>
  <dimension ref="A1:AT34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16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3.3666666666667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customWidth="1"/>
    <col min="41" max="41" width="19" style="15" customWidth="1"/>
    <col min="42" max="42" width="12.2666666666667" style="15" customWidth="1"/>
    <col min="43" max="43" width="9" style="15"/>
    <col min="44" max="44" width="7" style="15" customWidth="1"/>
    <col min="45" max="45" width="6.725" style="15" customWidth="1"/>
    <col min="46" max="46" width="6.09166666666667" style="15" customWidth="1"/>
    <col min="47" max="16384" width="9" style="15"/>
  </cols>
  <sheetData>
    <row r="1" s="10" customFormat="1" ht="29.25" customHeight="1" spans="1:45">
      <c r="A1" s="20" t="s">
        <v>105</v>
      </c>
      <c r="B1" s="21"/>
      <c r="C1" s="22"/>
      <c r="D1" s="23"/>
      <c r="E1" s="24"/>
      <c r="F1" s="24"/>
      <c r="G1" s="25"/>
      <c r="J1" s="60"/>
      <c r="L1" s="61"/>
      <c r="M1" s="62" t="s">
        <v>106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107</v>
      </c>
      <c r="C2" s="28" t="s">
        <v>108</v>
      </c>
      <c r="D2" s="28" t="s">
        <v>109</v>
      </c>
      <c r="E2" s="29" t="s">
        <v>110</v>
      </c>
      <c r="F2" s="30" t="s">
        <v>111</v>
      </c>
      <c r="G2" s="29" t="s">
        <v>112</v>
      </c>
      <c r="H2" s="29" t="s">
        <v>113</v>
      </c>
      <c r="I2" s="29" t="s">
        <v>114</v>
      </c>
      <c r="J2" s="63" t="s">
        <v>115</v>
      </c>
      <c r="K2" s="29" t="s">
        <v>116</v>
      </c>
      <c r="L2" s="29" t="s">
        <v>117</v>
      </c>
      <c r="M2" s="64" t="s">
        <v>118</v>
      </c>
      <c r="N2" s="65"/>
      <c r="O2" s="65"/>
      <c r="P2" s="66"/>
      <c r="Q2" s="30" t="s">
        <v>119</v>
      </c>
      <c r="R2" s="29" t="s">
        <v>120</v>
      </c>
      <c r="S2" s="30" t="s">
        <v>121</v>
      </c>
      <c r="T2" s="84" t="s">
        <v>122</v>
      </c>
      <c r="U2" s="30" t="s">
        <v>123</v>
      </c>
      <c r="V2" s="85" t="s">
        <v>124</v>
      </c>
      <c r="W2" s="86"/>
      <c r="X2" s="86"/>
      <c r="Y2" s="86"/>
      <c r="Z2" s="86"/>
      <c r="AA2" s="94"/>
      <c r="AB2" s="30" t="s">
        <v>125</v>
      </c>
      <c r="AC2" s="30" t="s">
        <v>126</v>
      </c>
      <c r="AD2" s="84" t="s">
        <v>127</v>
      </c>
      <c r="AE2" s="84" t="s">
        <v>128</v>
      </c>
      <c r="AF2" s="84" t="s">
        <v>129</v>
      </c>
      <c r="AG2" s="84" t="s">
        <v>130</v>
      </c>
      <c r="AH2" s="103" t="s">
        <v>131</v>
      </c>
      <c r="AI2" s="104" t="s">
        <v>132</v>
      </c>
      <c r="AJ2" s="103" t="s">
        <v>133</v>
      </c>
      <c r="AK2" s="28" t="s">
        <v>22</v>
      </c>
      <c r="AL2" s="103" t="s">
        <v>134</v>
      </c>
      <c r="AM2" s="29" t="s">
        <v>201</v>
      </c>
      <c r="AN2" s="29" t="s">
        <v>202</v>
      </c>
      <c r="AO2" s="114" t="s">
        <v>203</v>
      </c>
      <c r="AP2" s="29" t="s">
        <v>204</v>
      </c>
      <c r="AQ2" s="29" t="s">
        <v>205</v>
      </c>
      <c r="AR2" s="30" t="s">
        <v>206</v>
      </c>
      <c r="AS2" s="30" t="s">
        <v>207</v>
      </c>
      <c r="AT2" s="30" t="s">
        <v>208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135</v>
      </c>
      <c r="N3" s="68" t="s">
        <v>136</v>
      </c>
      <c r="O3" s="68" t="s">
        <v>137</v>
      </c>
      <c r="P3" s="68" t="s">
        <v>37</v>
      </c>
      <c r="Q3" s="35"/>
      <c r="R3" s="34"/>
      <c r="S3" s="35"/>
      <c r="T3" s="87"/>
      <c r="U3" s="35"/>
      <c r="V3" s="88" t="s">
        <v>138</v>
      </c>
      <c r="W3" s="88" t="s">
        <v>139</v>
      </c>
      <c r="X3" s="88" t="s">
        <v>140</v>
      </c>
      <c r="Y3" s="88" t="s">
        <v>141</v>
      </c>
      <c r="Z3" s="88" t="s">
        <v>142</v>
      </c>
      <c r="AA3" s="88" t="s">
        <v>143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144</v>
      </c>
      <c r="C4" s="37" t="s">
        <v>61</v>
      </c>
      <c r="D4" s="37" t="s">
        <v>145</v>
      </c>
      <c r="E4" s="37" t="s">
        <v>62</v>
      </c>
      <c r="F4" s="38" t="s">
        <v>146</v>
      </c>
      <c r="G4" s="39">
        <v>13944441728</v>
      </c>
      <c r="H4" s="40"/>
      <c r="I4" s="40"/>
      <c r="J4" s="69"/>
      <c r="K4" s="40"/>
      <c r="L4" s="70">
        <v>8000</v>
      </c>
      <c r="M4" s="71">
        <v>344.57</v>
      </c>
      <c r="N4" s="71">
        <v>86.14</v>
      </c>
      <c r="O4" s="71">
        <v>12.92</v>
      </c>
      <c r="P4" s="71">
        <v>177.4</v>
      </c>
      <c r="Q4" s="89">
        <f>ROUND(SUM(M4:P4),2)</f>
        <v>621.03</v>
      </c>
      <c r="R4" s="70">
        <v>0</v>
      </c>
      <c r="S4" s="90">
        <f>L4+IFERROR(VLOOKUP($E:$E,'（居民）工资表-8月'!$E:$S,15,0),0)</f>
        <v>64000</v>
      </c>
      <c r="T4" s="91">
        <f>5000+IFERROR(VLOOKUP($E:$E,'（居民）工资表-8月'!$E:$T,16,0),0)</f>
        <v>40000</v>
      </c>
      <c r="U4" s="91">
        <f>Q4+IFERROR(VLOOKUP($E:$E,'（居民）工资表-8月'!$E:$U,17,0),0)</f>
        <v>4858.38</v>
      </c>
      <c r="V4" s="70"/>
      <c r="W4" s="129"/>
      <c r="X4" s="70"/>
      <c r="Y4" s="70"/>
      <c r="Z4" s="70"/>
      <c r="AA4" s="70"/>
      <c r="AB4" s="90">
        <f>ROUND(SUM(V4:AA4),2)</f>
        <v>0</v>
      </c>
      <c r="AC4" s="90">
        <f>R4+IFERROR(VLOOKUP($E:$E,'（居民）工资表-8月'!$E:$AC,25,0),0)</f>
        <v>0</v>
      </c>
      <c r="AD4" s="95">
        <f>ROUND(S4-T4-U4-AB4-AC4,2)</f>
        <v>19141.62</v>
      </c>
      <c r="AE4" s="96">
        <f>ROUND(MAX((AD4)*{0.03;0.1;0.2;0.25;0.3;0.35;0.45}-{0;2520;16920;31920;52920;85920;181920},0),2)</f>
        <v>574.25</v>
      </c>
      <c r="AF4" s="97">
        <f>IFERROR(VLOOKUP(E:E,'（居民）工资表-8月'!E:AF,28,0)+VLOOKUP(E:E,'（居民）工资表-8月'!E:AG,29,0),0)</f>
        <v>502.88</v>
      </c>
      <c r="AG4" s="97">
        <f>AE4-AF4</f>
        <v>71.37</v>
      </c>
      <c r="AH4" s="107">
        <f>ROUND(IF((L4-Q4-AG4)&lt;0,0,(L4-Q4-AG4)),2)</f>
        <v>7307.6</v>
      </c>
      <c r="AI4" s="108"/>
      <c r="AJ4" s="107">
        <f>AH4+AI4</f>
        <v>7307.6</v>
      </c>
      <c r="AK4" s="109"/>
      <c r="AL4" s="107">
        <f>AJ4+AG4+AK4</f>
        <v>7378.97</v>
      </c>
      <c r="AM4" s="109"/>
      <c r="AN4" s="109"/>
      <c r="AO4" s="109"/>
      <c r="AP4" s="109"/>
      <c r="AQ4" s="109"/>
      <c r="AR4" s="116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>IF(SUMPRODUCT(N(E$1:E$8=E4))&gt;1,"重复","不")</f>
        <v>不</v>
      </c>
      <c r="AT4" s="116" t="str">
        <f>IF(SUMPRODUCT(N(AO$1:AO$8=AO4))&gt;1,"重复","不")</f>
        <v>重复</v>
      </c>
    </row>
    <row r="5" s="12" customFormat="1" ht="18" customHeight="1" spans="1:46">
      <c r="A5" s="36">
        <v>2</v>
      </c>
      <c r="B5" s="37" t="s">
        <v>144</v>
      </c>
      <c r="C5" s="37" t="s">
        <v>148</v>
      </c>
      <c r="D5" s="37" t="s">
        <v>145</v>
      </c>
      <c r="E5" s="329" t="s">
        <v>149</v>
      </c>
      <c r="F5" s="38" t="s">
        <v>150</v>
      </c>
      <c r="G5" s="39">
        <v>15360550807</v>
      </c>
      <c r="H5" s="40"/>
      <c r="I5" s="40"/>
      <c r="J5" s="69"/>
      <c r="K5" s="40"/>
      <c r="L5" s="70">
        <v>6100</v>
      </c>
      <c r="M5" s="71">
        <v>422.72</v>
      </c>
      <c r="N5" s="71">
        <v>119.92</v>
      </c>
      <c r="O5" s="71">
        <v>4.6</v>
      </c>
      <c r="P5" s="71">
        <v>115</v>
      </c>
      <c r="Q5" s="89">
        <f t="shared" ref="Q5:Q19" si="0">ROUND(SUM(M5:P5),2)</f>
        <v>662.24</v>
      </c>
      <c r="R5" s="70">
        <v>0</v>
      </c>
      <c r="S5" s="90">
        <f>L5+IFERROR(VLOOKUP($E:$E,'（居民）工资表-8月'!$E:$S,15,0),0)</f>
        <v>48120</v>
      </c>
      <c r="T5" s="91">
        <f>5000+IFERROR(VLOOKUP($E:$E,'（居民）工资表-8月'!$E:$T,16,0),0)</f>
        <v>40000</v>
      </c>
      <c r="U5" s="91">
        <f>Q5+IFERROR(VLOOKUP($E:$E,'（居民）工资表-8月'!$E:$U,17,0),0)</f>
        <v>5467.84</v>
      </c>
      <c r="V5" s="70"/>
      <c r="W5" s="129"/>
      <c r="X5" s="70"/>
      <c r="Y5" s="70"/>
      <c r="Z5" s="70"/>
      <c r="AA5" s="70"/>
      <c r="AB5" s="90">
        <f t="shared" ref="AB5:AB19" si="1">ROUND(SUM(V5:AA5),2)</f>
        <v>0</v>
      </c>
      <c r="AC5" s="90">
        <f>R5+IFERROR(VLOOKUP($E:$E,'（居民）工资表-8月'!$E:$AC,25,0),0)</f>
        <v>0</v>
      </c>
      <c r="AD5" s="95">
        <f t="shared" ref="AD5:AD19" si="2">ROUND(S5-T5-U5-AB5-AC5,2)</f>
        <v>2652.16</v>
      </c>
      <c r="AE5" s="96">
        <f>ROUND(MAX((AD5)*{0.03;0.1;0.2;0.25;0.3;0.35;0.45}-{0;2520;16920;31920;52920;85920;181920},0),2)</f>
        <v>79.56</v>
      </c>
      <c r="AF5" s="97">
        <f>IFERROR(VLOOKUP(E:E,'（居民）工资表-8月'!E:AF,28,0)+VLOOKUP(E:E,'（居民）工资表-8月'!E:AG,29,0),0)</f>
        <v>66.43</v>
      </c>
      <c r="AG5" s="97">
        <f t="shared" ref="AG5:AG19" si="3">AE5-AF5</f>
        <v>13.13</v>
      </c>
      <c r="AH5" s="107">
        <f t="shared" ref="AH5:AH19" si="4">ROUND(IF((L5-Q5-AG5)&lt;0,0,(L5-Q5-AG5)),2)</f>
        <v>5424.63</v>
      </c>
      <c r="AI5" s="108"/>
      <c r="AJ5" s="107">
        <f t="shared" ref="AJ5:AJ19" si="5">AH5+AI5</f>
        <v>5424.63</v>
      </c>
      <c r="AK5" s="109"/>
      <c r="AL5" s="107">
        <f t="shared" ref="AL5:AL19" si="6">AJ5+AG5+AK5</f>
        <v>5437.76</v>
      </c>
      <c r="AM5" s="109"/>
      <c r="AN5" s="109"/>
      <c r="AO5" s="109"/>
      <c r="AP5" s="109"/>
      <c r="AQ5" s="109"/>
      <c r="AR5" s="116" t="str">
        <f t="shared" ref="AR5:AR19" si="7"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6" t="str">
        <f t="shared" ref="AS5:AS19" si="8">IF(SUMPRODUCT(N(E$1:E$8=E5))&gt;1,"重复","不")</f>
        <v>不</v>
      </c>
      <c r="AT5" s="116" t="str">
        <f t="shared" ref="AT5:AT19" si="9">IF(SUMPRODUCT(N(AO$1:AO$8=AO5))&gt;1,"重复","不")</f>
        <v>重复</v>
      </c>
    </row>
    <row r="6" s="12" customFormat="1" ht="18" customHeight="1" spans="1:46">
      <c r="A6" s="36">
        <v>3</v>
      </c>
      <c r="B6" s="37" t="s">
        <v>144</v>
      </c>
      <c r="C6" s="37" t="s">
        <v>151</v>
      </c>
      <c r="D6" s="37" t="s">
        <v>145</v>
      </c>
      <c r="E6" s="329" t="s">
        <v>152</v>
      </c>
      <c r="F6" s="38" t="s">
        <v>146</v>
      </c>
      <c r="G6" s="39" t="s">
        <v>153</v>
      </c>
      <c r="H6" s="40"/>
      <c r="I6" s="40"/>
      <c r="J6" s="69"/>
      <c r="K6" s="40"/>
      <c r="L6" s="70">
        <v>30060</v>
      </c>
      <c r="M6" s="71">
        <v>590.72</v>
      </c>
      <c r="N6" s="71">
        <v>147.68</v>
      </c>
      <c r="O6" s="71">
        <v>36.92</v>
      </c>
      <c r="P6" s="71">
        <v>202</v>
      </c>
      <c r="Q6" s="89">
        <f t="shared" si="0"/>
        <v>977.32</v>
      </c>
      <c r="R6" s="70">
        <v>0</v>
      </c>
      <c r="S6" s="90">
        <f>L6+IFERROR(VLOOKUP($E:$E,'（居民）工资表-8月'!$E:$S,15,0),0)</f>
        <v>240480</v>
      </c>
      <c r="T6" s="91">
        <f>5000+IFERROR(VLOOKUP($E:$E,'（居民）工资表-8月'!$E:$T,16,0),0)</f>
        <v>40000</v>
      </c>
      <c r="U6" s="91">
        <f>Q6+IFERROR(VLOOKUP($E:$E,'（居民）工资表-8月'!$E:$U,17,0),0)</f>
        <v>7662.25</v>
      </c>
      <c r="V6" s="70"/>
      <c r="W6" s="129"/>
      <c r="X6" s="70"/>
      <c r="Y6" s="70"/>
      <c r="Z6" s="70"/>
      <c r="AA6" s="70"/>
      <c r="AB6" s="90">
        <f t="shared" si="1"/>
        <v>0</v>
      </c>
      <c r="AC6" s="90">
        <f>R6+IFERROR(VLOOKUP($E:$E,'（居民）工资表-8月'!$E:$AC,25,0),0)</f>
        <v>0</v>
      </c>
      <c r="AD6" s="95">
        <f t="shared" si="2"/>
        <v>192817.75</v>
      </c>
      <c r="AE6" s="96">
        <f>ROUND(MAX((AD6)*{0.03;0.1;0.2;0.25;0.3;0.35;0.45}-{0;2520;16920;31920;52920;85920;181920},0),2)</f>
        <v>21643.55</v>
      </c>
      <c r="AF6" s="97">
        <f>IFERROR(VLOOKUP(E:E,'（居民）工资表-8月'!E:AF,28,0)+VLOOKUP(E:E,'（居民）工资表-8月'!E:AG,29,0),0)</f>
        <v>16827.01</v>
      </c>
      <c r="AG6" s="97">
        <f t="shared" si="3"/>
        <v>4816.54</v>
      </c>
      <c r="AH6" s="107">
        <f t="shared" si="4"/>
        <v>24266.14</v>
      </c>
      <c r="AI6" s="108"/>
      <c r="AJ6" s="107">
        <f t="shared" si="5"/>
        <v>24266.14</v>
      </c>
      <c r="AK6" s="109"/>
      <c r="AL6" s="107">
        <f t="shared" si="6"/>
        <v>29082.68</v>
      </c>
      <c r="AM6" s="109"/>
      <c r="AN6" s="109"/>
      <c r="AO6" s="109"/>
      <c r="AP6" s="109"/>
      <c r="AQ6" s="109"/>
      <c r="AR6" s="116" t="str">
        <f t="shared" si="7"/>
        <v>正确</v>
      </c>
      <c r="AS6" s="116" t="str">
        <f t="shared" si="8"/>
        <v>不</v>
      </c>
      <c r="AT6" s="116" t="str">
        <f t="shared" si="9"/>
        <v>重复</v>
      </c>
    </row>
    <row r="7" s="12" customFormat="1" ht="18" customHeight="1" spans="1:46">
      <c r="A7" s="36">
        <v>4</v>
      </c>
      <c r="B7" s="37" t="s">
        <v>144</v>
      </c>
      <c r="C7" s="37" t="s">
        <v>156</v>
      </c>
      <c r="D7" s="37" t="s">
        <v>145</v>
      </c>
      <c r="E7" s="329" t="s">
        <v>157</v>
      </c>
      <c r="F7" s="38" t="s">
        <v>146</v>
      </c>
      <c r="G7" s="39" t="s">
        <v>158</v>
      </c>
      <c r="H7" s="40"/>
      <c r="I7" s="40"/>
      <c r="J7" s="69"/>
      <c r="K7" s="40"/>
      <c r="L7" s="70">
        <v>9000</v>
      </c>
      <c r="M7" s="71">
        <v>321.52</v>
      </c>
      <c r="N7" s="71">
        <v>89.09</v>
      </c>
      <c r="O7" s="71">
        <v>20.1</v>
      </c>
      <c r="P7" s="71">
        <v>97</v>
      </c>
      <c r="Q7" s="89">
        <f t="shared" si="0"/>
        <v>527.71</v>
      </c>
      <c r="R7" s="70">
        <v>0</v>
      </c>
      <c r="S7" s="90">
        <f>L7+IFERROR(VLOOKUP($E:$E,'（居民）工资表-8月'!$E:$S,15,0),0)</f>
        <v>74000</v>
      </c>
      <c r="T7" s="91">
        <f>5000+IFERROR(VLOOKUP($E:$E,'（居民）工资表-8月'!$E:$T,16,0),0)</f>
        <v>40000</v>
      </c>
      <c r="U7" s="91">
        <f>Q7+IFERROR(VLOOKUP($E:$E,'（居民）工资表-8月'!$E:$U,17,0),0)</f>
        <v>4266.26</v>
      </c>
      <c r="V7" s="70"/>
      <c r="W7" s="129"/>
      <c r="X7" s="70"/>
      <c r="Y7" s="70"/>
      <c r="Z7" s="70"/>
      <c r="AA7" s="70"/>
      <c r="AB7" s="90">
        <f t="shared" si="1"/>
        <v>0</v>
      </c>
      <c r="AC7" s="90">
        <f>R7+IFERROR(VLOOKUP($E:$E,'（居民）工资表-8月'!$E:$AC,25,0),0)</f>
        <v>0</v>
      </c>
      <c r="AD7" s="95">
        <f t="shared" si="2"/>
        <v>29733.74</v>
      </c>
      <c r="AE7" s="96">
        <f>ROUND(MAX((AD7)*{0.03;0.1;0.2;0.25;0.3;0.35;0.45}-{0;2520;16920;31920;52920;85920;181920},0),2)</f>
        <v>892.01</v>
      </c>
      <c r="AF7" s="97">
        <f>IFERROR(VLOOKUP(E:E,'（居民）工资表-8月'!E:AF,28,0)+VLOOKUP(E:E,'（居民）工资表-8月'!E:AG,29,0),0)</f>
        <v>787.84</v>
      </c>
      <c r="AG7" s="97">
        <f t="shared" si="3"/>
        <v>104.17</v>
      </c>
      <c r="AH7" s="107">
        <f t="shared" si="4"/>
        <v>8368.12</v>
      </c>
      <c r="AI7" s="108"/>
      <c r="AJ7" s="107">
        <f t="shared" si="5"/>
        <v>8368.12</v>
      </c>
      <c r="AK7" s="109"/>
      <c r="AL7" s="107">
        <f t="shared" si="6"/>
        <v>8472.29</v>
      </c>
      <c r="AM7" s="109"/>
      <c r="AN7" s="109"/>
      <c r="AO7" s="109"/>
      <c r="AP7" s="109"/>
      <c r="AQ7" s="109"/>
      <c r="AR7" s="116" t="str">
        <f t="shared" si="7"/>
        <v>正确</v>
      </c>
      <c r="AS7" s="116" t="str">
        <f t="shared" si="8"/>
        <v>不</v>
      </c>
      <c r="AT7" s="116" t="str">
        <f t="shared" si="9"/>
        <v>重复</v>
      </c>
    </row>
    <row r="8" s="12" customFormat="1" ht="18" customHeight="1" spans="1:46">
      <c r="A8" s="36">
        <v>5</v>
      </c>
      <c r="B8" s="37" t="s">
        <v>144</v>
      </c>
      <c r="C8" s="37" t="s">
        <v>160</v>
      </c>
      <c r="D8" s="37" t="s">
        <v>145</v>
      </c>
      <c r="E8" s="329" t="s">
        <v>161</v>
      </c>
      <c r="F8" s="38" t="s">
        <v>146</v>
      </c>
      <c r="G8" s="39">
        <v>19356875630</v>
      </c>
      <c r="H8" s="40"/>
      <c r="I8" s="40"/>
      <c r="J8" s="69"/>
      <c r="K8" s="40"/>
      <c r="L8" s="70">
        <v>10500</v>
      </c>
      <c r="M8" s="71">
        <v>321.52</v>
      </c>
      <c r="N8" s="71">
        <v>86.38</v>
      </c>
      <c r="O8" s="71">
        <v>20.1</v>
      </c>
      <c r="P8" s="71">
        <v>344</v>
      </c>
      <c r="Q8" s="89">
        <f t="shared" si="0"/>
        <v>772</v>
      </c>
      <c r="R8" s="70">
        <v>0</v>
      </c>
      <c r="S8" s="90">
        <f>L8+IFERROR(VLOOKUP($E:$E,'（居民）工资表-8月'!$E:$S,15,0),0)</f>
        <v>87000</v>
      </c>
      <c r="T8" s="91">
        <f>5000+IFERROR(VLOOKUP($E:$E,'（居民）工资表-8月'!$E:$T,16,0),0)</f>
        <v>40000</v>
      </c>
      <c r="U8" s="91">
        <f>Q8+IFERROR(VLOOKUP($E:$E,'（居民）工资表-8月'!$E:$U,17,0),0)</f>
        <v>6219.68</v>
      </c>
      <c r="V8" s="70"/>
      <c r="W8" s="129"/>
      <c r="X8" s="70"/>
      <c r="Y8" s="70"/>
      <c r="Z8" s="70"/>
      <c r="AA8" s="70"/>
      <c r="AB8" s="90">
        <f t="shared" si="1"/>
        <v>0</v>
      </c>
      <c r="AC8" s="90">
        <f>R8+IFERROR(VLOOKUP($E:$E,'（居民）工资表-8月'!$E:$AC,25,0),0)</f>
        <v>0</v>
      </c>
      <c r="AD8" s="95">
        <f t="shared" si="2"/>
        <v>40780.32</v>
      </c>
      <c r="AE8" s="96">
        <f>ROUND(MAX((AD8)*{0.03;0.1;0.2;0.25;0.3;0.35;0.45}-{0;2520;16920;31920;52920;85920;181920},0),2)</f>
        <v>1558.03</v>
      </c>
      <c r="AF8" s="97">
        <f>IFERROR(VLOOKUP(E:E,'（居民）工资表-8月'!E:AF,28,0)+VLOOKUP(E:E,'（居民）工资表-8月'!E:AG,29,0),0)</f>
        <v>1085.23</v>
      </c>
      <c r="AG8" s="97">
        <f t="shared" si="3"/>
        <v>472.8</v>
      </c>
      <c r="AH8" s="107">
        <f t="shared" si="4"/>
        <v>9255.2</v>
      </c>
      <c r="AI8" s="108"/>
      <c r="AJ8" s="107">
        <f t="shared" si="5"/>
        <v>9255.2</v>
      </c>
      <c r="AK8" s="109"/>
      <c r="AL8" s="107">
        <f t="shared" si="6"/>
        <v>9728</v>
      </c>
      <c r="AM8" s="109"/>
      <c r="AN8" s="109"/>
      <c r="AO8" s="109"/>
      <c r="AP8" s="109"/>
      <c r="AQ8" s="109"/>
      <c r="AR8" s="116" t="str">
        <f t="shared" si="7"/>
        <v>正确</v>
      </c>
      <c r="AS8" s="116" t="str">
        <f t="shared" si="8"/>
        <v>不</v>
      </c>
      <c r="AT8" s="116" t="str">
        <f t="shared" si="9"/>
        <v>重复</v>
      </c>
    </row>
    <row r="9" s="12" customFormat="1" ht="18" customHeight="1" spans="1:46">
      <c r="A9" s="36">
        <v>6</v>
      </c>
      <c r="B9" s="37" t="s">
        <v>144</v>
      </c>
      <c r="C9" s="37" t="s">
        <v>162</v>
      </c>
      <c r="D9" s="37" t="s">
        <v>145</v>
      </c>
      <c r="E9" s="329" t="s">
        <v>163</v>
      </c>
      <c r="F9" s="38" t="s">
        <v>146</v>
      </c>
      <c r="G9" s="39">
        <v>13973652684</v>
      </c>
      <c r="H9" s="40"/>
      <c r="I9" s="40"/>
      <c r="J9" s="69"/>
      <c r="K9" s="40"/>
      <c r="L9" s="70">
        <v>6500</v>
      </c>
      <c r="M9" s="71">
        <v>324.24</v>
      </c>
      <c r="N9" s="71">
        <v>90.4</v>
      </c>
      <c r="O9" s="71">
        <v>12.16</v>
      </c>
      <c r="P9" s="71">
        <v>100</v>
      </c>
      <c r="Q9" s="89">
        <f t="shared" si="0"/>
        <v>526.8</v>
      </c>
      <c r="R9" s="70">
        <v>0</v>
      </c>
      <c r="S9" s="90">
        <f>L9+IFERROR(VLOOKUP($E:$E,'（居民）工资表-8月'!$E:$S,15,0),0)</f>
        <v>52000</v>
      </c>
      <c r="T9" s="91">
        <f>5000+IFERROR(VLOOKUP($E:$E,'（居民）工资表-8月'!$E:$T,16,0),0)</f>
        <v>40000</v>
      </c>
      <c r="U9" s="91">
        <f>Q9+IFERROR(VLOOKUP($E:$E,'（居民）工资表-8月'!$E:$U,17,0),0)</f>
        <v>4313.65</v>
      </c>
      <c r="V9" s="70"/>
      <c r="W9" s="129"/>
      <c r="X9" s="70"/>
      <c r="Y9" s="70"/>
      <c r="Z9" s="70"/>
      <c r="AA9" s="70"/>
      <c r="AB9" s="90">
        <f t="shared" si="1"/>
        <v>0</v>
      </c>
      <c r="AC9" s="90">
        <f>R9+IFERROR(VLOOKUP($E:$E,'（居民）工资表-8月'!$E:$AC,25,0),0)</f>
        <v>0</v>
      </c>
      <c r="AD9" s="95">
        <f t="shared" si="2"/>
        <v>7686.35</v>
      </c>
      <c r="AE9" s="96">
        <f>ROUND(MAX((AD9)*{0.03;0.1;0.2;0.25;0.3;0.35;0.45}-{0;2520;16920;31920;52920;85920;181920},0),2)</f>
        <v>230.59</v>
      </c>
      <c r="AF9" s="97">
        <f>IFERROR(VLOOKUP(E:E,'（居民）工资表-8月'!E:AF,28,0)+VLOOKUP(E:E,'（居民）工资表-8月'!E:AG,29,0),0)</f>
        <v>201.39</v>
      </c>
      <c r="AG9" s="97">
        <f t="shared" si="3"/>
        <v>29.2</v>
      </c>
      <c r="AH9" s="107">
        <f t="shared" si="4"/>
        <v>5944</v>
      </c>
      <c r="AI9" s="108"/>
      <c r="AJ9" s="107">
        <f t="shared" si="5"/>
        <v>5944</v>
      </c>
      <c r="AK9" s="109"/>
      <c r="AL9" s="107">
        <f t="shared" si="6"/>
        <v>5973.2</v>
      </c>
      <c r="AM9" s="109"/>
      <c r="AN9" s="109"/>
      <c r="AO9" s="109"/>
      <c r="AP9" s="109"/>
      <c r="AQ9" s="109"/>
      <c r="AR9" s="116" t="str">
        <f t="shared" si="7"/>
        <v>正确</v>
      </c>
      <c r="AS9" s="116" t="str">
        <f t="shared" si="8"/>
        <v>不</v>
      </c>
      <c r="AT9" s="116" t="str">
        <f t="shared" si="9"/>
        <v>重复</v>
      </c>
    </row>
    <row r="10" s="12" customFormat="1" ht="18" customHeight="1" spans="1:46">
      <c r="A10" s="36">
        <v>7</v>
      </c>
      <c r="B10" s="37" t="s">
        <v>144</v>
      </c>
      <c r="C10" s="37" t="s">
        <v>165</v>
      </c>
      <c r="D10" s="37" t="s">
        <v>145</v>
      </c>
      <c r="E10" s="329" t="s">
        <v>166</v>
      </c>
      <c r="F10" s="38" t="s">
        <v>150</v>
      </c>
      <c r="G10" s="39" t="s">
        <v>167</v>
      </c>
      <c r="H10" s="40"/>
      <c r="I10" s="40"/>
      <c r="J10" s="69"/>
      <c r="K10" s="40"/>
      <c r="L10" s="70">
        <v>4447.97</v>
      </c>
      <c r="M10" s="71">
        <v>401.04</v>
      </c>
      <c r="N10" s="71">
        <v>122.26</v>
      </c>
      <c r="O10" s="71">
        <v>25.07</v>
      </c>
      <c r="P10" s="71">
        <v>116</v>
      </c>
      <c r="Q10" s="89">
        <f t="shared" si="0"/>
        <v>664.37</v>
      </c>
      <c r="R10" s="70">
        <v>0</v>
      </c>
      <c r="S10" s="90">
        <f>L10+IFERROR(VLOOKUP($E:$E,'（居民）工资表-8月'!$E:$S,15,0),0)</f>
        <v>35838.1</v>
      </c>
      <c r="T10" s="91">
        <f>5000+IFERROR(VLOOKUP($E:$E,'（居民）工资表-8月'!$E:$T,16,0),0)</f>
        <v>40000</v>
      </c>
      <c r="U10" s="91">
        <f>Q10+IFERROR(VLOOKUP($E:$E,'（居民）工资表-8月'!$E:$U,17,0),0)</f>
        <v>5183.92</v>
      </c>
      <c r="V10" s="70"/>
      <c r="W10" s="129"/>
      <c r="X10" s="70"/>
      <c r="Y10" s="70"/>
      <c r="Z10" s="70"/>
      <c r="AA10" s="70"/>
      <c r="AB10" s="90">
        <f t="shared" si="1"/>
        <v>0</v>
      </c>
      <c r="AC10" s="90">
        <f>R10+IFERROR(VLOOKUP($E:$E,'（居民）工资表-8月'!$E:$AC,25,0),0)</f>
        <v>0</v>
      </c>
      <c r="AD10" s="95">
        <f t="shared" si="2"/>
        <v>-9345.82</v>
      </c>
      <c r="AE10" s="96">
        <f>ROUND(MAX((AD10)*{0.03;0.1;0.2;0.25;0.3;0.35;0.45}-{0;2520;16920;31920;52920;85920;181920},0),2)</f>
        <v>0</v>
      </c>
      <c r="AF10" s="97">
        <f>IFERROR(VLOOKUP(E:E,'（居民）工资表-8月'!E:AF,28,0)+VLOOKUP(E:E,'（居民）工资表-8月'!E:AG,29,0),0)</f>
        <v>0</v>
      </c>
      <c r="AG10" s="97">
        <f t="shared" si="3"/>
        <v>0</v>
      </c>
      <c r="AH10" s="107">
        <f t="shared" si="4"/>
        <v>3783.6</v>
      </c>
      <c r="AI10" s="108"/>
      <c r="AJ10" s="107">
        <f t="shared" si="5"/>
        <v>3783.6</v>
      </c>
      <c r="AK10" s="109"/>
      <c r="AL10" s="107">
        <f t="shared" si="6"/>
        <v>3783.6</v>
      </c>
      <c r="AM10" s="109"/>
      <c r="AN10" s="109"/>
      <c r="AO10" s="109"/>
      <c r="AP10" s="109"/>
      <c r="AQ10" s="109"/>
      <c r="AR10" s="116" t="str">
        <f t="shared" si="7"/>
        <v>正确</v>
      </c>
      <c r="AS10" s="116" t="str">
        <f t="shared" si="8"/>
        <v>不</v>
      </c>
      <c r="AT10" s="116" t="str">
        <f t="shared" si="9"/>
        <v>重复</v>
      </c>
    </row>
    <row r="11" s="12" customFormat="1" ht="18" customHeight="1" spans="1:46">
      <c r="A11" s="36">
        <v>8</v>
      </c>
      <c r="B11" s="37" t="s">
        <v>144</v>
      </c>
      <c r="C11" s="37" t="s">
        <v>170</v>
      </c>
      <c r="D11" s="37" t="s">
        <v>145</v>
      </c>
      <c r="E11" s="329" t="s">
        <v>171</v>
      </c>
      <c r="F11" s="38" t="s">
        <v>146</v>
      </c>
      <c r="G11" s="39">
        <v>18356553626</v>
      </c>
      <c r="H11" s="40"/>
      <c r="I11" s="40"/>
      <c r="J11" s="69"/>
      <c r="K11" s="40"/>
      <c r="L11" s="70">
        <v>9000</v>
      </c>
      <c r="M11" s="71">
        <v>321.52</v>
      </c>
      <c r="N11" s="71">
        <v>120.38</v>
      </c>
      <c r="O11" s="71">
        <v>20.1</v>
      </c>
      <c r="P11" s="71">
        <v>97</v>
      </c>
      <c r="Q11" s="89">
        <f t="shared" si="0"/>
        <v>559</v>
      </c>
      <c r="R11" s="70">
        <v>0</v>
      </c>
      <c r="S11" s="90">
        <f>L11+IFERROR(VLOOKUP($E:$E,'（居民）工资表-8月'!$E:$S,15,0),0)</f>
        <v>71000</v>
      </c>
      <c r="T11" s="91">
        <f>5000+IFERROR(VLOOKUP($E:$E,'（居民）工资表-8月'!$E:$T,16,0),0)</f>
        <v>40000</v>
      </c>
      <c r="U11" s="91">
        <f>Q11+IFERROR(VLOOKUP($E:$E,'（居民）工资表-8月'!$E:$U,17,0),0)</f>
        <v>4515.68</v>
      </c>
      <c r="V11" s="70"/>
      <c r="W11" s="129"/>
      <c r="X11" s="70"/>
      <c r="Y11" s="70"/>
      <c r="Z11" s="70"/>
      <c r="AA11" s="70"/>
      <c r="AB11" s="90">
        <f t="shared" si="1"/>
        <v>0</v>
      </c>
      <c r="AC11" s="90">
        <f>R11+IFERROR(VLOOKUP($E:$E,'（居民）工资表-8月'!$E:$AC,25,0),0)</f>
        <v>0</v>
      </c>
      <c r="AD11" s="95">
        <f t="shared" si="2"/>
        <v>26484.32</v>
      </c>
      <c r="AE11" s="96">
        <f>ROUND(MAX((AD11)*{0.03;0.1;0.2;0.25;0.3;0.35;0.45}-{0;2520;16920;31920;52920;85920;181920},0),2)</f>
        <v>794.53</v>
      </c>
      <c r="AF11" s="97">
        <f>IFERROR(VLOOKUP(E:E,'（居民）工资表-8月'!E:AF,28,0)+VLOOKUP(E:E,'（居民）工资表-8月'!E:AG,29,0),0)</f>
        <v>691.3</v>
      </c>
      <c r="AG11" s="97">
        <f t="shared" si="3"/>
        <v>103.23</v>
      </c>
      <c r="AH11" s="107">
        <f t="shared" si="4"/>
        <v>8337.77</v>
      </c>
      <c r="AI11" s="108"/>
      <c r="AJ11" s="107">
        <f t="shared" si="5"/>
        <v>8337.77</v>
      </c>
      <c r="AK11" s="109"/>
      <c r="AL11" s="107">
        <f t="shared" si="6"/>
        <v>8441</v>
      </c>
      <c r="AM11" s="109"/>
      <c r="AN11" s="109"/>
      <c r="AO11" s="109"/>
      <c r="AP11" s="109"/>
      <c r="AQ11" s="109"/>
      <c r="AR11" s="116" t="str">
        <f t="shared" si="7"/>
        <v>正确</v>
      </c>
      <c r="AS11" s="116" t="str">
        <f t="shared" si="8"/>
        <v>不</v>
      </c>
      <c r="AT11" s="116" t="str">
        <f t="shared" si="9"/>
        <v>重复</v>
      </c>
    </row>
    <row r="12" s="12" customFormat="1" ht="18" customHeight="1" spans="1:46">
      <c r="A12" s="36">
        <v>9</v>
      </c>
      <c r="B12" s="37" t="s">
        <v>144</v>
      </c>
      <c r="C12" s="37" t="s">
        <v>174</v>
      </c>
      <c r="D12" s="37" t="s">
        <v>145</v>
      </c>
      <c r="E12" s="329" t="s">
        <v>175</v>
      </c>
      <c r="F12" s="38" t="s">
        <v>146</v>
      </c>
      <c r="G12" s="39">
        <v>18326897140</v>
      </c>
      <c r="H12" s="40"/>
      <c r="I12" s="40"/>
      <c r="J12" s="69"/>
      <c r="K12" s="40"/>
      <c r="L12" s="70">
        <v>7500</v>
      </c>
      <c r="M12" s="71">
        <v>321.52</v>
      </c>
      <c r="N12" s="71">
        <v>86.38</v>
      </c>
      <c r="O12" s="71">
        <v>20.1</v>
      </c>
      <c r="P12" s="71">
        <v>344</v>
      </c>
      <c r="Q12" s="89">
        <f t="shared" si="0"/>
        <v>772</v>
      </c>
      <c r="R12" s="70">
        <v>0</v>
      </c>
      <c r="S12" s="90">
        <f>L12+IFERROR(VLOOKUP($E:$E,'（居民）工资表-8月'!$E:$S,15,0),0)</f>
        <v>59000</v>
      </c>
      <c r="T12" s="91">
        <f>5000+IFERROR(VLOOKUP($E:$E,'（居民）工资表-8月'!$E:$T,16,0),0)</f>
        <v>40000</v>
      </c>
      <c r="U12" s="91">
        <f>Q12+IFERROR(VLOOKUP($E:$E,'（居民）工资表-8月'!$E:$U,17,0),0)</f>
        <v>6219.68</v>
      </c>
      <c r="V12" s="70"/>
      <c r="W12" s="129"/>
      <c r="X12" s="70"/>
      <c r="Y12" s="70"/>
      <c r="Z12" s="70"/>
      <c r="AA12" s="70"/>
      <c r="AB12" s="90">
        <f t="shared" si="1"/>
        <v>0</v>
      </c>
      <c r="AC12" s="90">
        <f>R12+IFERROR(VLOOKUP($E:$E,'（居民）工资表-8月'!$E:$AC,25,0),0)</f>
        <v>0</v>
      </c>
      <c r="AD12" s="95">
        <f t="shared" si="2"/>
        <v>12780.32</v>
      </c>
      <c r="AE12" s="96">
        <f>ROUND(MAX((AD12)*{0.03;0.1;0.2;0.25;0.3;0.35;0.45}-{0;2520;16920;31920;52920;85920;181920},0),2)</f>
        <v>383.41</v>
      </c>
      <c r="AF12" s="97">
        <f>IFERROR(VLOOKUP(E:E,'（居民）工资表-8月'!E:AF,28,0)+VLOOKUP(E:E,'（居民）工资表-8月'!E:AG,29,0),0)</f>
        <v>331.57</v>
      </c>
      <c r="AG12" s="97">
        <f t="shared" si="3"/>
        <v>51.84</v>
      </c>
      <c r="AH12" s="107">
        <f t="shared" si="4"/>
        <v>6676.16</v>
      </c>
      <c r="AI12" s="108"/>
      <c r="AJ12" s="107">
        <f t="shared" si="5"/>
        <v>6676.16</v>
      </c>
      <c r="AK12" s="109"/>
      <c r="AL12" s="107">
        <f t="shared" si="6"/>
        <v>6728</v>
      </c>
      <c r="AM12" s="109"/>
      <c r="AN12" s="109"/>
      <c r="AO12" s="109"/>
      <c r="AP12" s="109"/>
      <c r="AQ12" s="109"/>
      <c r="AR12" s="116" t="str">
        <f t="shared" si="7"/>
        <v>正确</v>
      </c>
      <c r="AS12" s="116" t="str">
        <f t="shared" si="8"/>
        <v>不</v>
      </c>
      <c r="AT12" s="116" t="str">
        <f t="shared" si="9"/>
        <v>重复</v>
      </c>
    </row>
    <row r="13" s="12" customFormat="1" ht="18" customHeight="1" spans="1:46">
      <c r="A13" s="36">
        <v>10</v>
      </c>
      <c r="B13" s="37" t="s">
        <v>144</v>
      </c>
      <c r="C13" s="37" t="s">
        <v>176</v>
      </c>
      <c r="D13" s="37" t="s">
        <v>145</v>
      </c>
      <c r="E13" s="329" t="s">
        <v>177</v>
      </c>
      <c r="F13" s="38" t="s">
        <v>146</v>
      </c>
      <c r="G13" s="39">
        <v>17201857014</v>
      </c>
      <c r="H13" s="40"/>
      <c r="I13" s="40"/>
      <c r="J13" s="69"/>
      <c r="K13" s="40"/>
      <c r="L13" s="70">
        <v>8000</v>
      </c>
      <c r="M13" s="71">
        <v>321.52</v>
      </c>
      <c r="N13" s="71">
        <v>86.38</v>
      </c>
      <c r="O13" s="71">
        <v>20.1</v>
      </c>
      <c r="P13" s="71">
        <v>344</v>
      </c>
      <c r="Q13" s="89">
        <f t="shared" si="0"/>
        <v>772</v>
      </c>
      <c r="R13" s="70">
        <v>0</v>
      </c>
      <c r="S13" s="90">
        <f>L13+IFERROR(VLOOKUP($E:$E,'（居民）工资表-8月'!$E:$S,15,0),0)</f>
        <v>62000</v>
      </c>
      <c r="T13" s="91">
        <f>5000+IFERROR(VLOOKUP($E:$E,'（居民）工资表-8月'!$E:$T,16,0),0)</f>
        <v>40000</v>
      </c>
      <c r="U13" s="91">
        <f>Q13+IFERROR(VLOOKUP($E:$E,'（居民）工资表-8月'!$E:$U,17,0),0)</f>
        <v>6219.68</v>
      </c>
      <c r="V13" s="70"/>
      <c r="W13" s="129"/>
      <c r="X13" s="70"/>
      <c r="Y13" s="70"/>
      <c r="Z13" s="70"/>
      <c r="AA13" s="70"/>
      <c r="AB13" s="90">
        <f t="shared" si="1"/>
        <v>0</v>
      </c>
      <c r="AC13" s="90">
        <f>R13+IFERROR(VLOOKUP($E:$E,'（居民）工资表-8月'!$E:$AC,25,0),0)</f>
        <v>0</v>
      </c>
      <c r="AD13" s="95">
        <f t="shared" si="2"/>
        <v>15780.32</v>
      </c>
      <c r="AE13" s="96">
        <f>ROUND(MAX((AD13)*{0.03;0.1;0.2;0.25;0.3;0.35;0.45}-{0;2520;16920;31920;52920;85920;181920},0),2)</f>
        <v>473.41</v>
      </c>
      <c r="AF13" s="97">
        <f>IFERROR(VLOOKUP(E:E,'（居民）工资表-8月'!E:AF,28,0)+VLOOKUP(E:E,'（居民）工资表-8月'!E:AG,29,0),0)</f>
        <v>406.57</v>
      </c>
      <c r="AG13" s="97">
        <f t="shared" si="3"/>
        <v>66.84</v>
      </c>
      <c r="AH13" s="107">
        <f t="shared" si="4"/>
        <v>7161.16</v>
      </c>
      <c r="AI13" s="108"/>
      <c r="AJ13" s="107">
        <f t="shared" si="5"/>
        <v>7161.16</v>
      </c>
      <c r="AK13" s="109"/>
      <c r="AL13" s="107">
        <f t="shared" si="6"/>
        <v>7228</v>
      </c>
      <c r="AM13" s="109"/>
      <c r="AN13" s="109"/>
      <c r="AO13" s="109"/>
      <c r="AP13" s="109"/>
      <c r="AQ13" s="109"/>
      <c r="AR13" s="116" t="str">
        <f t="shared" si="7"/>
        <v>正确</v>
      </c>
      <c r="AS13" s="116" t="str">
        <f t="shared" si="8"/>
        <v>不</v>
      </c>
      <c r="AT13" s="116" t="str">
        <f t="shared" si="9"/>
        <v>重复</v>
      </c>
    </row>
    <row r="14" s="12" customFormat="1" ht="18" customHeight="1" spans="1:46">
      <c r="A14" s="36">
        <v>13</v>
      </c>
      <c r="B14" s="37" t="s">
        <v>144</v>
      </c>
      <c r="C14" s="37" t="s">
        <v>183</v>
      </c>
      <c r="D14" s="37" t="s">
        <v>145</v>
      </c>
      <c r="E14" s="329" t="s">
        <v>184</v>
      </c>
      <c r="F14" s="38" t="s">
        <v>150</v>
      </c>
      <c r="G14" s="39"/>
      <c r="H14" s="40"/>
      <c r="I14" s="40"/>
      <c r="J14" s="69"/>
      <c r="K14" s="40"/>
      <c r="L14" s="70">
        <v>6000</v>
      </c>
      <c r="M14" s="71">
        <v>321.52</v>
      </c>
      <c r="N14" s="71">
        <v>80.38</v>
      </c>
      <c r="O14" s="71">
        <v>20.1</v>
      </c>
      <c r="P14" s="71">
        <v>103</v>
      </c>
      <c r="Q14" s="89">
        <f t="shared" si="0"/>
        <v>525</v>
      </c>
      <c r="R14" s="70">
        <v>0</v>
      </c>
      <c r="S14" s="90">
        <f>L14+IFERROR(VLOOKUP($E:$E,'（居民）工资表-8月'!$E:$S,15,0),0)</f>
        <v>48000</v>
      </c>
      <c r="T14" s="91">
        <f>5000+IFERROR(VLOOKUP($E:$E,'（居民）工资表-8月'!$E:$T,16,0),0)</f>
        <v>40000</v>
      </c>
      <c r="U14" s="91">
        <f>Q14+IFERROR(VLOOKUP($E:$E,'（居民）工资表-8月'!$E:$U,17,0),0)</f>
        <v>4243.68</v>
      </c>
      <c r="V14" s="70"/>
      <c r="W14" s="129"/>
      <c r="X14" s="70"/>
      <c r="Y14" s="70"/>
      <c r="Z14" s="70"/>
      <c r="AA14" s="70"/>
      <c r="AB14" s="90">
        <f t="shared" si="1"/>
        <v>0</v>
      </c>
      <c r="AC14" s="90">
        <f>R14+IFERROR(VLOOKUP($E:$E,'（居民）工资表-8月'!$E:$AC,25,0),0)</f>
        <v>0</v>
      </c>
      <c r="AD14" s="95">
        <f t="shared" si="2"/>
        <v>3756.32</v>
      </c>
      <c r="AE14" s="96">
        <f>ROUND(MAX((AD14)*{0.03;0.1;0.2;0.25;0.3;0.35;0.45}-{0;2520;16920;31920;52920;85920;181920},0),2)</f>
        <v>112.69</v>
      </c>
      <c r="AF14" s="97">
        <f>IFERROR(VLOOKUP(E:E,'（居民）工资表-8月'!E:AF,28,0)+VLOOKUP(E:E,'（居民）工资表-8月'!E:AG,29,0),0)</f>
        <v>98.44</v>
      </c>
      <c r="AG14" s="97">
        <f t="shared" si="3"/>
        <v>14.25</v>
      </c>
      <c r="AH14" s="107">
        <f t="shared" si="4"/>
        <v>5460.75</v>
      </c>
      <c r="AI14" s="108"/>
      <c r="AJ14" s="107">
        <f t="shared" si="5"/>
        <v>5460.75</v>
      </c>
      <c r="AK14" s="109"/>
      <c r="AL14" s="107">
        <f t="shared" si="6"/>
        <v>5475</v>
      </c>
      <c r="AM14" s="109"/>
      <c r="AN14" s="109"/>
      <c r="AO14" s="109"/>
      <c r="AP14" s="109"/>
      <c r="AQ14" s="109"/>
      <c r="AR14" s="116" t="str">
        <f t="shared" si="7"/>
        <v>正确</v>
      </c>
      <c r="AS14" s="116" t="str">
        <f>IF(SUMPRODUCT(N(E$1:E$8=E14))&gt;1,"重复","不")</f>
        <v>不</v>
      </c>
      <c r="AT14" s="116" t="str">
        <f>IF(SUMPRODUCT(N(AO$1:AO$8=AO14))&gt;1,"重复","不")</f>
        <v>重复</v>
      </c>
    </row>
    <row r="15" s="12" customFormat="1" ht="18" customHeight="1" spans="1:46">
      <c r="A15" s="36">
        <v>14</v>
      </c>
      <c r="B15" s="37" t="s">
        <v>144</v>
      </c>
      <c r="C15" s="37" t="s">
        <v>185</v>
      </c>
      <c r="D15" s="37" t="s">
        <v>145</v>
      </c>
      <c r="E15" s="329" t="s">
        <v>186</v>
      </c>
      <c r="F15" s="38" t="s">
        <v>146</v>
      </c>
      <c r="G15" s="39">
        <v>15056587375</v>
      </c>
      <c r="H15" s="40"/>
      <c r="I15" s="40"/>
      <c r="J15" s="69"/>
      <c r="K15" s="40"/>
      <c r="L15" s="70">
        <v>10000</v>
      </c>
      <c r="M15" s="71">
        <v>321.52</v>
      </c>
      <c r="N15" s="71">
        <v>89.09</v>
      </c>
      <c r="O15" s="71">
        <v>20.1</v>
      </c>
      <c r="P15" s="71">
        <v>97</v>
      </c>
      <c r="Q15" s="89">
        <f t="shared" si="0"/>
        <v>527.71</v>
      </c>
      <c r="R15" s="70">
        <v>0</v>
      </c>
      <c r="S15" s="90">
        <f>L15+IFERROR(VLOOKUP($E:$E,'（居民）工资表-8月'!$E:$S,15,0),0)</f>
        <v>80000</v>
      </c>
      <c r="T15" s="91">
        <f>5000+IFERROR(VLOOKUP($E:$E,'（居民）工资表-8月'!$E:$T,16,0),0)</f>
        <v>40000</v>
      </c>
      <c r="U15" s="91">
        <f>Q15+IFERROR(VLOOKUP($E:$E,'（居民）工资表-8月'!$E:$U,17,0),0)</f>
        <v>4266.26</v>
      </c>
      <c r="V15" s="70"/>
      <c r="W15" s="129"/>
      <c r="X15" s="70"/>
      <c r="Y15" s="70"/>
      <c r="Z15" s="70"/>
      <c r="AA15" s="70"/>
      <c r="AB15" s="90">
        <f t="shared" si="1"/>
        <v>0</v>
      </c>
      <c r="AC15" s="90">
        <f>R15+IFERROR(VLOOKUP($E:$E,'（居民）工资表-8月'!$E:$AC,25,0),0)</f>
        <v>0</v>
      </c>
      <c r="AD15" s="95">
        <f t="shared" si="2"/>
        <v>35733.74</v>
      </c>
      <c r="AE15" s="96">
        <f>ROUND(MAX((AD15)*{0.03;0.1;0.2;0.25;0.3;0.35;0.45}-{0;2520;16920;31920;52920;85920;181920},0),2)</f>
        <v>1072.01</v>
      </c>
      <c r="AF15" s="97">
        <f>IFERROR(VLOOKUP(E:E,'（居民）工资表-8月'!E:AF,28,0)+VLOOKUP(E:E,'（居民）工资表-8月'!E:AG,29,0),0)</f>
        <v>937.84</v>
      </c>
      <c r="AG15" s="97">
        <f t="shared" si="3"/>
        <v>134.17</v>
      </c>
      <c r="AH15" s="107">
        <f t="shared" si="4"/>
        <v>9338.12</v>
      </c>
      <c r="AI15" s="108"/>
      <c r="AJ15" s="107">
        <f t="shared" si="5"/>
        <v>9338.12</v>
      </c>
      <c r="AK15" s="109"/>
      <c r="AL15" s="107">
        <f t="shared" si="6"/>
        <v>9472.29</v>
      </c>
      <c r="AM15" s="109"/>
      <c r="AN15" s="109"/>
      <c r="AO15" s="109"/>
      <c r="AP15" s="109"/>
      <c r="AQ15" s="109"/>
      <c r="AR15" s="116" t="str">
        <f t="shared" si="7"/>
        <v>正确</v>
      </c>
      <c r="AS15" s="116" t="str">
        <f>IF(SUMPRODUCT(N(E$1:E$8=E15))&gt;1,"重复","不")</f>
        <v>不</v>
      </c>
      <c r="AT15" s="116" t="str">
        <f>IF(SUMPRODUCT(N(AO$1:AO$8=AO15))&gt;1,"重复","不")</f>
        <v>重复</v>
      </c>
    </row>
    <row r="16" s="12" customFormat="1" ht="18" customHeight="1" spans="1:46">
      <c r="A16" s="36">
        <v>15</v>
      </c>
      <c r="B16" s="37" t="s">
        <v>144</v>
      </c>
      <c r="C16" s="37" t="s">
        <v>187</v>
      </c>
      <c r="D16" s="37" t="s">
        <v>145</v>
      </c>
      <c r="E16" s="37" t="s">
        <v>188</v>
      </c>
      <c r="F16" s="38" t="s">
        <v>146</v>
      </c>
      <c r="G16" s="39">
        <v>13711361074</v>
      </c>
      <c r="H16" s="40"/>
      <c r="I16" s="40"/>
      <c r="J16" s="69"/>
      <c r="K16" s="40"/>
      <c r="L16" s="70">
        <v>7600</v>
      </c>
      <c r="M16" s="71">
        <v>337.92</v>
      </c>
      <c r="N16" s="71">
        <v>91.48</v>
      </c>
      <c r="O16" s="71">
        <v>12.67</v>
      </c>
      <c r="P16" s="71">
        <v>110.5</v>
      </c>
      <c r="Q16" s="89">
        <f t="shared" si="0"/>
        <v>552.57</v>
      </c>
      <c r="R16" s="70">
        <v>0</v>
      </c>
      <c r="S16" s="90">
        <f>L16+IFERROR(VLOOKUP($E:$E,'（居民）工资表-7月'!$E:$S,15,0),0)</f>
        <v>43550.3</v>
      </c>
      <c r="T16" s="91">
        <f>5000+IFERROR(VLOOKUP($E:$E,'（居民）工资表-7月'!$E:$T,16,0),0)</f>
        <v>35000</v>
      </c>
      <c r="U16" s="91">
        <f>Q16+IFERROR(VLOOKUP($E:$E,'（居民）工资表-7月'!$E:$U,17,0),0)</f>
        <v>3895.8</v>
      </c>
      <c r="V16" s="70"/>
      <c r="W16" s="70"/>
      <c r="X16" s="70"/>
      <c r="Y16" s="70"/>
      <c r="Z16" s="70"/>
      <c r="AA16" s="70"/>
      <c r="AB16" s="90">
        <f t="shared" si="1"/>
        <v>0</v>
      </c>
      <c r="AC16" s="90">
        <f>R16+IFERROR(VLOOKUP($E:$E,'（居民）工资表-7月'!$E:$AC,25,0),0)</f>
        <v>0</v>
      </c>
      <c r="AD16" s="95">
        <f t="shared" si="2"/>
        <v>4654.5</v>
      </c>
      <c r="AE16" s="96">
        <f>ROUND(MAX((AD16)*{0.03;0.1;0.2;0.25;0.3;0.35;0.45}-{0;2520;16920;31920;52920;85920;181920},0),2)</f>
        <v>139.64</v>
      </c>
      <c r="AF16" s="97">
        <f>IFERROR(VLOOKUP(E:E,'（居民）工资表-7月'!E:AF,28,0)+VLOOKUP(E:E,'（居民）工资表-7月'!E:AG,29,0),0)</f>
        <v>138.59</v>
      </c>
      <c r="AG16" s="97">
        <f>IF((AE16-AF16)&lt;0,0,AE16-AF16)</f>
        <v>1.04999999999998</v>
      </c>
      <c r="AH16" s="107">
        <f t="shared" si="4"/>
        <v>7046.38</v>
      </c>
      <c r="AI16" s="108"/>
      <c r="AJ16" s="107">
        <f t="shared" si="5"/>
        <v>7046.38</v>
      </c>
      <c r="AK16" s="109"/>
      <c r="AL16" s="107">
        <f t="shared" si="6"/>
        <v>7047.43</v>
      </c>
      <c r="AM16" s="109"/>
      <c r="AN16" s="109"/>
      <c r="AO16" s="109"/>
      <c r="AP16" s="109"/>
      <c r="AQ16" s="109"/>
      <c r="AR16" s="116" t="str">
        <f t="shared" si="7"/>
        <v>正确</v>
      </c>
      <c r="AS16" s="116" t="str">
        <f>IF(SUMPRODUCT(N(E$1:E$18=E16))&gt;1,"重复","不")</f>
        <v>不</v>
      </c>
      <c r="AT16" s="116" t="str">
        <f>IF(SUMPRODUCT(N(AO$1:AO$18=AO16))&gt;1,"重复","不")</f>
        <v>重复</v>
      </c>
    </row>
    <row r="17" s="12" customFormat="1" ht="19" customHeight="1" spans="1:46">
      <c r="A17" s="36"/>
      <c r="B17" s="37"/>
      <c r="C17" s="37"/>
      <c r="D17" s="37"/>
      <c r="E17" s="37"/>
      <c r="F17" s="38"/>
      <c r="G17" s="39"/>
      <c r="H17" s="40"/>
      <c r="I17" s="40"/>
      <c r="J17" s="69"/>
      <c r="K17" s="40"/>
      <c r="L17" s="70"/>
      <c r="M17" s="71"/>
      <c r="N17" s="71"/>
      <c r="O17" s="71"/>
      <c r="P17" s="71"/>
      <c r="Q17" s="89"/>
      <c r="R17" s="70"/>
      <c r="S17" s="90"/>
      <c r="T17" s="91"/>
      <c r="U17" s="91"/>
      <c r="V17" s="70"/>
      <c r="W17" s="70"/>
      <c r="X17" s="70"/>
      <c r="Y17" s="70"/>
      <c r="Z17" s="70"/>
      <c r="AA17" s="70"/>
      <c r="AB17" s="90"/>
      <c r="AC17" s="90"/>
      <c r="AD17" s="95"/>
      <c r="AE17" s="96"/>
      <c r="AF17" s="97"/>
      <c r="AG17" s="97"/>
      <c r="AH17" s="107"/>
      <c r="AI17" s="108"/>
      <c r="AJ17" s="107"/>
      <c r="AK17" s="109"/>
      <c r="AL17" s="107"/>
      <c r="AM17" s="109"/>
      <c r="AN17" s="109"/>
      <c r="AO17" s="109"/>
      <c r="AP17" s="109"/>
      <c r="AQ17" s="109"/>
      <c r="AR17" s="116"/>
      <c r="AS17" s="116"/>
      <c r="AT17" s="116"/>
    </row>
    <row r="18" s="13" customFormat="1" ht="19" customHeight="1" spans="1:46">
      <c r="A18" s="41"/>
      <c r="B18" s="42" t="s">
        <v>189</v>
      </c>
      <c r="C18" s="42"/>
      <c r="D18" s="43"/>
      <c r="E18" s="44"/>
      <c r="F18" s="45"/>
      <c r="G18" s="46"/>
      <c r="H18" s="45"/>
      <c r="I18" s="72"/>
      <c r="J18" s="73"/>
      <c r="K18" s="72"/>
      <c r="L18" s="74">
        <f>SUM(L4:L17)</f>
        <v>122707.97</v>
      </c>
      <c r="M18" s="74">
        <f>SUM(M4:M17)</f>
        <v>4671.85</v>
      </c>
      <c r="N18" s="74">
        <f>SUM(N4:N17)</f>
        <v>1295.96</v>
      </c>
      <c r="O18" s="74">
        <f t="shared" ref="O18:AL18" si="10">SUM(O4:O17)</f>
        <v>245.04</v>
      </c>
      <c r="P18" s="74">
        <f t="shared" si="10"/>
        <v>2246.9</v>
      </c>
      <c r="Q18" s="74">
        <f t="shared" si="10"/>
        <v>8459.75</v>
      </c>
      <c r="R18" s="74">
        <f t="shared" si="10"/>
        <v>0</v>
      </c>
      <c r="S18" s="74">
        <f t="shared" si="10"/>
        <v>964988.4</v>
      </c>
      <c r="T18" s="74">
        <f t="shared" si="10"/>
        <v>515000</v>
      </c>
      <c r="U18" s="74">
        <f t="shared" si="10"/>
        <v>67332.76</v>
      </c>
      <c r="V18" s="74">
        <f t="shared" si="10"/>
        <v>0</v>
      </c>
      <c r="W18" s="74">
        <f t="shared" si="10"/>
        <v>0</v>
      </c>
      <c r="X18" s="74">
        <f t="shared" si="10"/>
        <v>0</v>
      </c>
      <c r="Y18" s="74">
        <f t="shared" si="10"/>
        <v>0</v>
      </c>
      <c r="Z18" s="74">
        <f t="shared" si="10"/>
        <v>0</v>
      </c>
      <c r="AA18" s="74">
        <f t="shared" si="10"/>
        <v>0</v>
      </c>
      <c r="AB18" s="74">
        <f t="shared" si="10"/>
        <v>0</v>
      </c>
      <c r="AC18" s="74">
        <f t="shared" si="10"/>
        <v>0</v>
      </c>
      <c r="AD18" s="74">
        <f t="shared" si="10"/>
        <v>382655.64</v>
      </c>
      <c r="AE18" s="74">
        <f t="shared" si="10"/>
        <v>27953.68</v>
      </c>
      <c r="AF18" s="74">
        <f t="shared" si="10"/>
        <v>22075.09</v>
      </c>
      <c r="AG18" s="74">
        <f t="shared" si="10"/>
        <v>5878.59</v>
      </c>
      <c r="AH18" s="74">
        <f t="shared" si="10"/>
        <v>108369.63</v>
      </c>
      <c r="AI18" s="74">
        <f t="shared" si="10"/>
        <v>0</v>
      </c>
      <c r="AJ18" s="74">
        <f t="shared" si="10"/>
        <v>108369.63</v>
      </c>
      <c r="AK18" s="74">
        <f t="shared" si="10"/>
        <v>0</v>
      </c>
      <c r="AL18" s="74">
        <f t="shared" si="10"/>
        <v>114248.22</v>
      </c>
      <c r="AM18" s="110"/>
      <c r="AN18" s="110"/>
      <c r="AO18" s="110"/>
      <c r="AP18" s="110"/>
      <c r="AQ18" s="110"/>
      <c r="AR18" s="45"/>
      <c r="AS18" s="45"/>
      <c r="AT18" s="118"/>
    </row>
    <row r="19" ht="19" customHeight="1"/>
    <row r="20" ht="19" customHeight="1"/>
    <row r="21" ht="19" customHeight="1" spans="30:30">
      <c r="AD21" s="101"/>
    </row>
    <row r="22" ht="19" customHeight="1" spans="2:30">
      <c r="B22" s="47" t="s">
        <v>133</v>
      </c>
      <c r="C22" s="47" t="s">
        <v>190</v>
      </c>
      <c r="D22" s="47" t="s">
        <v>22</v>
      </c>
      <c r="E22" s="47" t="s">
        <v>23</v>
      </c>
      <c r="AD22" s="10"/>
    </row>
    <row r="23" ht="19" customHeight="1" spans="2:5">
      <c r="B23" s="48">
        <f>AJ18</f>
        <v>108369.63</v>
      </c>
      <c r="C23" s="48">
        <f>AG18</f>
        <v>5878.59</v>
      </c>
      <c r="D23" s="48">
        <f>AK18</f>
        <v>0</v>
      </c>
      <c r="E23" s="48">
        <f>B23+C23+D23</f>
        <v>114248.22</v>
      </c>
    </row>
    <row r="24" ht="19" customHeight="1" spans="2:5">
      <c r="B24" s="49"/>
      <c r="C24" s="49"/>
      <c r="D24" s="49"/>
      <c r="E24" s="49"/>
    </row>
    <row r="25" s="14" customFormat="1" ht="19" customHeight="1" spans="1:35">
      <c r="A25" s="51" t="s">
        <v>191</v>
      </c>
      <c r="B25" s="52" t="s">
        <v>192</v>
      </c>
      <c r="C25" s="50"/>
      <c r="D25" s="50"/>
      <c r="E25" s="50"/>
      <c r="G25" s="53"/>
      <c r="J25" s="75"/>
      <c r="M25" s="76"/>
      <c r="AI25" s="112"/>
    </row>
    <row r="26" s="14" customFormat="1" ht="19" customHeight="1" spans="1:35">
      <c r="A26" s="54"/>
      <c r="B26" s="55" t="s">
        <v>193</v>
      </c>
      <c r="C26" s="50"/>
      <c r="D26" s="50"/>
      <c r="E26" s="50"/>
      <c r="G26" s="53"/>
      <c r="J26" s="75"/>
      <c r="M26" s="76"/>
      <c r="AI26" s="112"/>
    </row>
    <row r="27" s="14" customFormat="1" spans="1:35">
      <c r="A27" s="52"/>
      <c r="B27" s="55" t="s">
        <v>194</v>
      </c>
      <c r="C27" s="56"/>
      <c r="D27" s="56"/>
      <c r="E27" s="56"/>
      <c r="F27" s="56"/>
      <c r="G27" s="56"/>
      <c r="H27" s="56"/>
      <c r="I27" s="56"/>
      <c r="J27" s="77"/>
      <c r="K27" s="56"/>
      <c r="L27" s="56"/>
      <c r="M27" s="78"/>
      <c r="N27" s="56"/>
      <c r="O27" s="56"/>
      <c r="P27" s="56"/>
      <c r="AI27" s="112"/>
    </row>
    <row r="28" s="14" customFormat="1" customHeight="1" spans="1:35">
      <c r="A28" s="55"/>
      <c r="B28" s="55" t="s">
        <v>195</v>
      </c>
      <c r="C28" s="57"/>
      <c r="D28" s="57"/>
      <c r="E28" s="57"/>
      <c r="F28" s="57"/>
      <c r="G28" s="57"/>
      <c r="H28" s="57"/>
      <c r="I28" s="79"/>
      <c r="J28" s="80"/>
      <c r="K28" s="79"/>
      <c r="L28" s="79"/>
      <c r="M28" s="81"/>
      <c r="N28" s="79"/>
      <c r="O28" s="79"/>
      <c r="P28" s="79"/>
      <c r="AI28" s="112"/>
    </row>
    <row r="29" s="14" customFormat="1" customHeight="1" spans="1:35">
      <c r="A29" s="55"/>
      <c r="B29" s="55" t="s">
        <v>196</v>
      </c>
      <c r="C29" s="57"/>
      <c r="D29" s="57"/>
      <c r="E29" s="57"/>
      <c r="F29" s="57"/>
      <c r="G29" s="57"/>
      <c r="H29" s="57"/>
      <c r="I29" s="57"/>
      <c r="J29" s="82"/>
      <c r="K29" s="57"/>
      <c r="L29" s="79"/>
      <c r="M29" s="81"/>
      <c r="N29" s="79"/>
      <c r="O29" s="79"/>
      <c r="P29" s="79"/>
      <c r="AI29" s="112"/>
    </row>
    <row r="30" s="14" customFormat="1" customHeight="1" spans="1:35">
      <c r="A30" s="55"/>
      <c r="B30" s="55" t="s">
        <v>197</v>
      </c>
      <c r="C30" s="57"/>
      <c r="D30" s="57"/>
      <c r="E30" s="57"/>
      <c r="F30" s="57"/>
      <c r="G30" s="57"/>
      <c r="H30" s="57"/>
      <c r="I30" s="79"/>
      <c r="J30" s="80"/>
      <c r="K30" s="79"/>
      <c r="L30" s="79"/>
      <c r="M30" s="81"/>
      <c r="N30" s="79"/>
      <c r="O30" s="79"/>
      <c r="P30" s="79"/>
      <c r="AI30" s="112"/>
    </row>
    <row r="32" ht="11.25" customHeight="1" spans="2:2">
      <c r="B32" s="58" t="s">
        <v>198</v>
      </c>
    </row>
    <row r="33" spans="2:2">
      <c r="B33" s="59" t="s">
        <v>199</v>
      </c>
    </row>
    <row r="34" spans="2:2">
      <c r="B34" s="59" t="s">
        <v>200</v>
      </c>
    </row>
  </sheetData>
  <autoFilter xmlns:etc="http://www.wps.cn/officeDocument/2017/etCustomData" ref="A3:AT18" etc:filterBottomFollowUsedRange="0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0">
    <cfRule type="duplicateValues" dxfId="4" priority="2" stopIfTrue="1"/>
  </conditionalFormatting>
  <conditionalFormatting sqref="B25:B29">
    <cfRule type="duplicateValues" dxfId="4" priority="3" stopIfTrue="1"/>
  </conditionalFormatting>
  <conditionalFormatting sqref="B33:B34">
    <cfRule type="duplicateValues" dxfId="4" priority="1" stopIfTrue="1"/>
  </conditionalFormatting>
  <conditionalFormatting sqref="C22:C24">
    <cfRule type="duplicateValues" dxfId="4" priority="4" stopIfTrue="1"/>
    <cfRule type="expression" dxfId="5" priority="5" stopIfTrue="1">
      <formula>AND(COUNTIF($B$18:$B$65454,C22)+COUNTIF($B$1:$B$3,C22)&gt;1,NOT(ISBLANK(C22)))</formula>
    </cfRule>
    <cfRule type="expression" dxfId="5" priority="6" stopIfTrue="1">
      <formula>AND(COUNTIF($B$29:$B$65405,C22)+COUNTIF($B$1:$B$28,C22)&gt;1,NOT(ISBLANK(C22)))</formula>
    </cfRule>
    <cfRule type="expression" dxfId="5" priority="7" stopIfTrue="1">
      <formula>AND(COUNTIF($B$18:$B$65443,C22)+COUNTIF($B$1:$B$3,C22)&gt;1,NOT(ISBLANK(C22)))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tabColor rgb="FF00B050"/>
    <pageSetUpPr fitToPage="1"/>
  </sheetPr>
  <dimension ref="A1:AW34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4" sqref="A4:P16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0.125" style="18" customWidth="1"/>
    <col min="11" max="11" width="5.26666666666667" style="15" hidden="1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3.3666666666667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hidden="1" customWidth="1"/>
    <col min="41" max="41" width="19" style="15" hidden="1" customWidth="1"/>
    <col min="42" max="42" width="12.2666666666667" style="15" hidden="1" customWidth="1"/>
    <col min="43" max="43" width="9" style="15" hidden="1" customWidth="1"/>
    <col min="44" max="44" width="7" style="15" hidden="1" customWidth="1"/>
    <col min="45" max="45" width="6.725" style="15" hidden="1" customWidth="1"/>
    <col min="46" max="46" width="6.09166666666667" style="15" hidden="1" customWidth="1"/>
    <col min="47" max="47" width="9" style="15" hidden="1" customWidth="1"/>
    <col min="48" max="16384" width="9" style="15"/>
  </cols>
  <sheetData>
    <row r="1" s="10" customFormat="1" ht="29.25" customHeight="1" spans="1:45">
      <c r="A1" s="20" t="s">
        <v>105</v>
      </c>
      <c r="B1" s="21"/>
      <c r="C1" s="22"/>
      <c r="D1" s="23"/>
      <c r="E1" s="24"/>
      <c r="F1" s="24"/>
      <c r="G1" s="25"/>
      <c r="J1" s="60"/>
      <c r="L1" s="61"/>
      <c r="M1" s="62" t="s">
        <v>106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107</v>
      </c>
      <c r="C2" s="28" t="s">
        <v>108</v>
      </c>
      <c r="D2" s="28" t="s">
        <v>109</v>
      </c>
      <c r="E2" s="29" t="s">
        <v>110</v>
      </c>
      <c r="F2" s="30" t="s">
        <v>111</v>
      </c>
      <c r="G2" s="29" t="s">
        <v>112</v>
      </c>
      <c r="H2" s="29" t="s">
        <v>113</v>
      </c>
      <c r="I2" s="29" t="s">
        <v>114</v>
      </c>
      <c r="J2" s="63" t="s">
        <v>115</v>
      </c>
      <c r="K2" s="29" t="s">
        <v>116</v>
      </c>
      <c r="L2" s="29" t="s">
        <v>117</v>
      </c>
      <c r="M2" s="64" t="s">
        <v>118</v>
      </c>
      <c r="N2" s="65"/>
      <c r="O2" s="65"/>
      <c r="P2" s="66"/>
      <c r="Q2" s="30" t="s">
        <v>119</v>
      </c>
      <c r="R2" s="29" t="s">
        <v>120</v>
      </c>
      <c r="S2" s="30" t="s">
        <v>121</v>
      </c>
      <c r="T2" s="84" t="s">
        <v>122</v>
      </c>
      <c r="U2" s="30" t="s">
        <v>123</v>
      </c>
      <c r="V2" s="85" t="s">
        <v>124</v>
      </c>
      <c r="W2" s="86"/>
      <c r="X2" s="86"/>
      <c r="Y2" s="86"/>
      <c r="Z2" s="86"/>
      <c r="AA2" s="94"/>
      <c r="AB2" s="30" t="s">
        <v>125</v>
      </c>
      <c r="AC2" s="30" t="s">
        <v>126</v>
      </c>
      <c r="AD2" s="84" t="s">
        <v>127</v>
      </c>
      <c r="AE2" s="84" t="s">
        <v>128</v>
      </c>
      <c r="AF2" s="84" t="s">
        <v>129</v>
      </c>
      <c r="AG2" s="84" t="s">
        <v>130</v>
      </c>
      <c r="AH2" s="103" t="s">
        <v>131</v>
      </c>
      <c r="AI2" s="104" t="s">
        <v>132</v>
      </c>
      <c r="AJ2" s="103" t="s">
        <v>133</v>
      </c>
      <c r="AK2" s="28" t="s">
        <v>22</v>
      </c>
      <c r="AL2" s="103" t="s">
        <v>134</v>
      </c>
      <c r="AM2" s="29" t="s">
        <v>201</v>
      </c>
      <c r="AN2" s="29" t="s">
        <v>202</v>
      </c>
      <c r="AO2" s="114" t="s">
        <v>203</v>
      </c>
      <c r="AP2" s="29" t="s">
        <v>204</v>
      </c>
      <c r="AQ2" s="29" t="s">
        <v>205</v>
      </c>
      <c r="AR2" s="30" t="s">
        <v>206</v>
      </c>
      <c r="AS2" s="30" t="s">
        <v>207</v>
      </c>
      <c r="AT2" s="30" t="s">
        <v>208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135</v>
      </c>
      <c r="N3" s="68" t="s">
        <v>136</v>
      </c>
      <c r="O3" s="68" t="s">
        <v>137</v>
      </c>
      <c r="P3" s="68" t="s">
        <v>37</v>
      </c>
      <c r="Q3" s="35"/>
      <c r="R3" s="34"/>
      <c r="S3" s="35"/>
      <c r="T3" s="87"/>
      <c r="U3" s="35"/>
      <c r="V3" s="88" t="s">
        <v>138</v>
      </c>
      <c r="W3" s="88" t="s">
        <v>139</v>
      </c>
      <c r="X3" s="88" t="s">
        <v>140</v>
      </c>
      <c r="Y3" s="88" t="s">
        <v>141</v>
      </c>
      <c r="Z3" s="88" t="s">
        <v>142</v>
      </c>
      <c r="AA3" s="88" t="s">
        <v>143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9">
      <c r="A4" s="36">
        <v>1</v>
      </c>
      <c r="B4" s="37" t="s">
        <v>144</v>
      </c>
      <c r="C4" s="37" t="s">
        <v>61</v>
      </c>
      <c r="D4" s="37" t="s">
        <v>145</v>
      </c>
      <c r="E4" s="37" t="s">
        <v>62</v>
      </c>
      <c r="F4" s="38" t="s">
        <v>146</v>
      </c>
      <c r="G4" s="39">
        <v>13944441728</v>
      </c>
      <c r="H4" s="40"/>
      <c r="I4" s="40"/>
      <c r="J4" s="69"/>
      <c r="K4" s="40"/>
      <c r="L4" s="70">
        <v>8000</v>
      </c>
      <c r="M4" s="71">
        <v>344.57</v>
      </c>
      <c r="N4" s="71">
        <v>86.14</v>
      </c>
      <c r="O4" s="71">
        <v>12.92</v>
      </c>
      <c r="P4" s="71">
        <v>177.4</v>
      </c>
      <c r="Q4" s="89">
        <f t="shared" ref="Q4:Q11" si="0">ROUND(SUM(M4:P4),2)</f>
        <v>621.03</v>
      </c>
      <c r="R4" s="70">
        <v>0</v>
      </c>
      <c r="S4" s="90">
        <f>L4+IFERROR(VLOOKUP($E:$E,'（居民）工资表-9月'!$E:$S,15,0),0)</f>
        <v>72000</v>
      </c>
      <c r="T4" s="91">
        <f>5000+IFERROR(VLOOKUP($E:$E,'（居民）工资表-9月'!$E:$T,16,0),0)</f>
        <v>45000</v>
      </c>
      <c r="U4" s="91">
        <f>Q4+IFERROR(VLOOKUP($E:$E,'（居民）工资表-9月'!$E:$U,17,0),0)</f>
        <v>5479.41</v>
      </c>
      <c r="V4" s="70">
        <v>10000</v>
      </c>
      <c r="W4" s="70"/>
      <c r="X4" s="70">
        <v>10000</v>
      </c>
      <c r="Y4" s="70"/>
      <c r="Z4" s="70">
        <v>4000</v>
      </c>
      <c r="AA4" s="70"/>
      <c r="AB4" s="90">
        <f t="shared" ref="AB4:AB11" si="1">ROUND(SUM(V4:AA4),2)</f>
        <v>24000</v>
      </c>
      <c r="AC4" s="90">
        <f>R4+IFERROR(VLOOKUP($E:$E,'（居民）工资表-9月'!$E:$AC,25,0),0)</f>
        <v>0</v>
      </c>
      <c r="AD4" s="95">
        <f t="shared" ref="AD4:AD11" si="2">ROUND(S4-T4-U4-AB4-AC4,2)</f>
        <v>-2479.41</v>
      </c>
      <c r="AE4" s="96">
        <f>ROUND(MAX((AD4)*{0.03;0.1;0.2;0.25;0.3;0.35;0.45}-{0;2520;16920;31920;52920;85920;181920},0),2)</f>
        <v>0</v>
      </c>
      <c r="AF4" s="97">
        <f>IFERROR(VLOOKUP(E:E,'（居民）工资表-9月'!E:AF,28,0)+VLOOKUP(E:E,'（居民）工资表-9月'!E:AG,29,0),0)</f>
        <v>574.25</v>
      </c>
      <c r="AG4" s="97">
        <f t="shared" ref="AG4:AG11" si="3">IF((AE4-AF4)&lt;0,0,AE4-AF4)</f>
        <v>0</v>
      </c>
      <c r="AH4" s="107">
        <f t="shared" ref="AH4:AH11" si="4">ROUND(IF((L4-Q4-AG4)&lt;0,0,(L4-Q4-AG4)),2)</f>
        <v>7378.97</v>
      </c>
      <c r="AI4" s="108"/>
      <c r="AJ4" s="107">
        <f t="shared" ref="AJ4:AJ11" si="5">AH4+AI4</f>
        <v>7378.97</v>
      </c>
      <c r="AK4" s="109"/>
      <c r="AL4" s="107">
        <f t="shared" ref="AL4:AL11" si="6">AJ4+AG4+AK4</f>
        <v>7378.97</v>
      </c>
      <c r="AM4" s="109"/>
      <c r="AN4" s="109"/>
      <c r="AO4" s="109"/>
      <c r="AP4" s="109"/>
      <c r="AQ4" s="109"/>
      <c r="AR4" s="116" t="str">
        <f t="shared" ref="AR4:AR11" si="7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 t="shared" ref="AS4:AS11" si="8">IF(SUMPRODUCT(N(E$1:E$7=E4))&gt;1,"重复","不")</f>
        <v>不</v>
      </c>
      <c r="AT4" s="116" t="str">
        <f t="shared" ref="AT4:AT11" si="9">IF(SUMPRODUCT(N(AO$1:AO$7=AO4))&gt;1,"重复","不")</f>
        <v>重复</v>
      </c>
      <c r="AV4" s="12" t="s">
        <v>147</v>
      </c>
      <c r="AW4" s="12" t="s">
        <v>51</v>
      </c>
    </row>
    <row r="5" s="12" customFormat="1" ht="18" customHeight="1" spans="1:49">
      <c r="A5" s="36">
        <v>2</v>
      </c>
      <c r="B5" s="37" t="s">
        <v>144</v>
      </c>
      <c r="C5" s="37" t="s">
        <v>148</v>
      </c>
      <c r="D5" s="37" t="s">
        <v>145</v>
      </c>
      <c r="E5" s="329" t="s">
        <v>149</v>
      </c>
      <c r="F5" s="38" t="s">
        <v>150</v>
      </c>
      <c r="G5" s="39">
        <v>15360550807</v>
      </c>
      <c r="H5" s="40"/>
      <c r="I5" s="40"/>
      <c r="J5" s="69"/>
      <c r="K5" s="40"/>
      <c r="L5" s="70">
        <v>6100</v>
      </c>
      <c r="M5" s="71">
        <v>422.72</v>
      </c>
      <c r="N5" s="71">
        <v>119.92</v>
      </c>
      <c r="O5" s="71">
        <v>4.6</v>
      </c>
      <c r="P5" s="71">
        <v>115</v>
      </c>
      <c r="Q5" s="89">
        <f t="shared" si="0"/>
        <v>662.24</v>
      </c>
      <c r="R5" s="70">
        <v>0</v>
      </c>
      <c r="S5" s="90">
        <f>L5+IFERROR(VLOOKUP($E:$E,'（居民）工资表-9月'!$E:$S,15,0),0)</f>
        <v>54220</v>
      </c>
      <c r="T5" s="91">
        <f>5000+IFERROR(VLOOKUP($E:$E,'（居民）工资表-9月'!$E:$T,16,0),0)</f>
        <v>45000</v>
      </c>
      <c r="U5" s="91">
        <f>Q5+IFERROR(VLOOKUP($E:$E,'（居民）工资表-9月'!$E:$U,17,0),0)</f>
        <v>6130.08</v>
      </c>
      <c r="V5" s="70"/>
      <c r="W5" s="70"/>
      <c r="X5" s="70"/>
      <c r="Y5" s="70"/>
      <c r="Z5" s="70"/>
      <c r="AA5" s="70"/>
      <c r="AB5" s="90">
        <f t="shared" si="1"/>
        <v>0</v>
      </c>
      <c r="AC5" s="90">
        <f>R5+IFERROR(VLOOKUP($E:$E,'（居民）工资表-9月'!$E:$AC,25,0),0)</f>
        <v>0</v>
      </c>
      <c r="AD5" s="95">
        <f t="shared" si="2"/>
        <v>3089.92</v>
      </c>
      <c r="AE5" s="96">
        <f>ROUND(MAX((AD5)*{0.03;0.1;0.2;0.25;0.3;0.35;0.45}-{0;2520;16920;31920;52920;85920;181920},0),2)</f>
        <v>92.7</v>
      </c>
      <c r="AF5" s="97">
        <f>IFERROR(VLOOKUP(E:E,'（居民）工资表-9月'!E:AF,28,0)+VLOOKUP(E:E,'（居民）工资表-9月'!E:AG,29,0),0)</f>
        <v>79.56</v>
      </c>
      <c r="AG5" s="97">
        <f t="shared" si="3"/>
        <v>13.14</v>
      </c>
      <c r="AH5" s="107">
        <f t="shared" si="4"/>
        <v>5424.62</v>
      </c>
      <c r="AI5" s="108"/>
      <c r="AJ5" s="107">
        <f t="shared" si="5"/>
        <v>5424.62</v>
      </c>
      <c r="AK5" s="109"/>
      <c r="AL5" s="107">
        <f t="shared" si="6"/>
        <v>5437.76</v>
      </c>
      <c r="AM5" s="109"/>
      <c r="AN5" s="109"/>
      <c r="AO5" s="109"/>
      <c r="AP5" s="109"/>
      <c r="AQ5" s="109"/>
      <c r="AR5" s="116" t="str">
        <f t="shared" si="7"/>
        <v>正确</v>
      </c>
      <c r="AS5" s="116" t="str">
        <f t="shared" si="8"/>
        <v>不</v>
      </c>
      <c r="AT5" s="116" t="str">
        <f t="shared" si="9"/>
        <v>重复</v>
      </c>
      <c r="AV5" s="12" t="s">
        <v>50</v>
      </c>
      <c r="AW5" s="12" t="s">
        <v>51</v>
      </c>
    </row>
    <row r="6" s="12" customFormat="1" ht="18" customHeight="1" spans="1:49">
      <c r="A6" s="36">
        <v>3</v>
      </c>
      <c r="B6" s="37" t="s">
        <v>144</v>
      </c>
      <c r="C6" s="37" t="s">
        <v>151</v>
      </c>
      <c r="D6" s="37" t="s">
        <v>145</v>
      </c>
      <c r="E6" s="329" t="s">
        <v>152</v>
      </c>
      <c r="F6" s="38" t="s">
        <v>146</v>
      </c>
      <c r="G6" s="39" t="s">
        <v>153</v>
      </c>
      <c r="H6" s="40"/>
      <c r="I6" s="40"/>
      <c r="J6" s="69"/>
      <c r="K6" s="40"/>
      <c r="L6" s="70">
        <v>30060</v>
      </c>
      <c r="M6" s="71">
        <v>590.72</v>
      </c>
      <c r="N6" s="71">
        <v>147.68</v>
      </c>
      <c r="O6" s="71">
        <v>36.92</v>
      </c>
      <c r="P6" s="71">
        <v>188</v>
      </c>
      <c r="Q6" s="89">
        <f t="shared" si="0"/>
        <v>963.32</v>
      </c>
      <c r="R6" s="70">
        <v>0</v>
      </c>
      <c r="S6" s="90">
        <f>L6+IFERROR(VLOOKUP($E:$E,'（居民）工资表-9月'!$E:$S,15,0),0)</f>
        <v>270540</v>
      </c>
      <c r="T6" s="91">
        <f>5000+IFERROR(VLOOKUP($E:$E,'（居民）工资表-9月'!$E:$T,16,0),0)</f>
        <v>45000</v>
      </c>
      <c r="U6" s="91">
        <f>Q6+IFERROR(VLOOKUP($E:$E,'（居民）工资表-9月'!$E:$U,17,0),0)</f>
        <v>8625.57</v>
      </c>
      <c r="V6" s="70"/>
      <c r="W6" s="70"/>
      <c r="X6" s="70"/>
      <c r="Y6" s="70"/>
      <c r="Z6" s="70"/>
      <c r="AA6" s="70"/>
      <c r="AB6" s="90">
        <f t="shared" si="1"/>
        <v>0</v>
      </c>
      <c r="AC6" s="90">
        <f>R6+IFERROR(VLOOKUP($E:$E,'（居民）工资表-9月'!$E:$AC,25,0),0)</f>
        <v>0</v>
      </c>
      <c r="AD6" s="95">
        <f t="shared" si="2"/>
        <v>216914.43</v>
      </c>
      <c r="AE6" s="96">
        <f>ROUND(MAX((AD6)*{0.03;0.1;0.2;0.25;0.3;0.35;0.45}-{0;2520;16920;31920;52920;85920;181920},0),2)</f>
        <v>26462.89</v>
      </c>
      <c r="AF6" s="97">
        <f>IFERROR(VLOOKUP(E:E,'（居民）工资表-9月'!E:AF,28,0)+VLOOKUP(E:E,'（居民）工资表-9月'!E:AG,29,0),0)</f>
        <v>21643.55</v>
      </c>
      <c r="AG6" s="97">
        <f t="shared" si="3"/>
        <v>4819.34</v>
      </c>
      <c r="AH6" s="107">
        <f t="shared" si="4"/>
        <v>24277.34</v>
      </c>
      <c r="AI6" s="108"/>
      <c r="AJ6" s="107">
        <f t="shared" si="5"/>
        <v>24277.34</v>
      </c>
      <c r="AK6" s="109"/>
      <c r="AL6" s="107">
        <f t="shared" si="6"/>
        <v>29096.68</v>
      </c>
      <c r="AM6" s="109"/>
      <c r="AN6" s="109"/>
      <c r="AO6" s="109"/>
      <c r="AP6" s="109"/>
      <c r="AQ6" s="109"/>
      <c r="AR6" s="116" t="str">
        <f t="shared" si="7"/>
        <v>正确</v>
      </c>
      <c r="AS6" s="116" t="str">
        <f t="shared" si="8"/>
        <v>不</v>
      </c>
      <c r="AT6" s="116" t="str">
        <f t="shared" si="9"/>
        <v>重复</v>
      </c>
      <c r="AV6" s="12" t="s">
        <v>154</v>
      </c>
      <c r="AW6" s="12" t="s">
        <v>155</v>
      </c>
    </row>
    <row r="7" s="12" customFormat="1" ht="18" customHeight="1" spans="1:49">
      <c r="A7" s="36">
        <v>4</v>
      </c>
      <c r="B7" s="37" t="s">
        <v>144</v>
      </c>
      <c r="C7" s="37" t="s">
        <v>156</v>
      </c>
      <c r="D7" s="37" t="s">
        <v>145</v>
      </c>
      <c r="E7" s="329" t="s">
        <v>157</v>
      </c>
      <c r="F7" s="38" t="s">
        <v>146</v>
      </c>
      <c r="G7" s="39" t="s">
        <v>158</v>
      </c>
      <c r="H7" s="40"/>
      <c r="I7" s="40"/>
      <c r="J7" s="69"/>
      <c r="K7" s="40"/>
      <c r="L7" s="70">
        <v>9000</v>
      </c>
      <c r="M7" s="71">
        <v>504.56</v>
      </c>
      <c r="N7" s="71">
        <v>139.8</v>
      </c>
      <c r="O7" s="71">
        <v>31.54</v>
      </c>
      <c r="P7" s="71">
        <v>97</v>
      </c>
      <c r="Q7" s="89">
        <f t="shared" si="0"/>
        <v>772.9</v>
      </c>
      <c r="R7" s="70">
        <v>0</v>
      </c>
      <c r="S7" s="90">
        <f>L7+IFERROR(VLOOKUP($E:$E,'（居民）工资表-9月'!$E:$S,15,0),0)</f>
        <v>83000</v>
      </c>
      <c r="T7" s="91">
        <f>5000+IFERROR(VLOOKUP($E:$E,'（居民）工资表-9月'!$E:$T,16,0),0)</f>
        <v>45000</v>
      </c>
      <c r="U7" s="91">
        <f>Q7+IFERROR(VLOOKUP($E:$E,'（居民）工资表-9月'!$E:$U,17,0),0)</f>
        <v>5039.16</v>
      </c>
      <c r="V7" s="70"/>
      <c r="W7" s="70"/>
      <c r="X7" s="70"/>
      <c r="Y7" s="70"/>
      <c r="Z7" s="70"/>
      <c r="AA7" s="70"/>
      <c r="AB7" s="90">
        <f t="shared" si="1"/>
        <v>0</v>
      </c>
      <c r="AC7" s="90">
        <f>R7+IFERROR(VLOOKUP($E:$E,'（居民）工资表-9月'!$E:$AC,25,0),0)</f>
        <v>0</v>
      </c>
      <c r="AD7" s="95">
        <f t="shared" si="2"/>
        <v>32960.84</v>
      </c>
      <c r="AE7" s="96">
        <f>ROUND(MAX((AD7)*{0.03;0.1;0.2;0.25;0.3;0.35;0.45}-{0;2520;16920;31920;52920;85920;181920},0),2)</f>
        <v>988.83</v>
      </c>
      <c r="AF7" s="97">
        <f>IFERROR(VLOOKUP(E:E,'（居民）工资表-9月'!E:AF,28,0)+VLOOKUP(E:E,'（居民）工资表-9月'!E:AG,29,0),0)</f>
        <v>892.01</v>
      </c>
      <c r="AG7" s="97">
        <f t="shared" si="3"/>
        <v>96.82</v>
      </c>
      <c r="AH7" s="107">
        <f t="shared" si="4"/>
        <v>8130.28</v>
      </c>
      <c r="AI7" s="108"/>
      <c r="AJ7" s="107">
        <f t="shared" si="5"/>
        <v>8130.28</v>
      </c>
      <c r="AK7" s="109"/>
      <c r="AL7" s="107">
        <f t="shared" si="6"/>
        <v>8227.1</v>
      </c>
      <c r="AM7" s="109"/>
      <c r="AN7" s="109"/>
      <c r="AO7" s="109"/>
      <c r="AP7" s="109"/>
      <c r="AQ7" s="109"/>
      <c r="AR7" s="116" t="str">
        <f t="shared" si="7"/>
        <v>正确</v>
      </c>
      <c r="AS7" s="116" t="str">
        <f t="shared" si="8"/>
        <v>不</v>
      </c>
      <c r="AT7" s="116" t="str">
        <f t="shared" si="9"/>
        <v>重复</v>
      </c>
      <c r="AV7" s="12" t="s">
        <v>159</v>
      </c>
      <c r="AW7" s="12" t="s">
        <v>51</v>
      </c>
    </row>
    <row r="8" s="12" customFormat="1" ht="18" customHeight="1" spans="1:49">
      <c r="A8" s="36">
        <v>5</v>
      </c>
      <c r="B8" s="37" t="s">
        <v>144</v>
      </c>
      <c r="C8" s="37" t="s">
        <v>160</v>
      </c>
      <c r="D8" s="37" t="s">
        <v>145</v>
      </c>
      <c r="E8" s="329" t="s">
        <v>161</v>
      </c>
      <c r="F8" s="38" t="s">
        <v>146</v>
      </c>
      <c r="G8" s="39">
        <v>19356875630</v>
      </c>
      <c r="H8" s="40"/>
      <c r="I8" s="40"/>
      <c r="J8" s="69"/>
      <c r="K8" s="40"/>
      <c r="L8" s="70">
        <v>10500</v>
      </c>
      <c r="M8" s="71">
        <v>504.56</v>
      </c>
      <c r="N8" s="71">
        <v>132.14</v>
      </c>
      <c r="O8" s="71">
        <v>31.54</v>
      </c>
      <c r="P8" s="71">
        <v>344</v>
      </c>
      <c r="Q8" s="89">
        <f t="shared" si="0"/>
        <v>1012.24</v>
      </c>
      <c r="R8" s="70">
        <v>0</v>
      </c>
      <c r="S8" s="90">
        <f>L8+IFERROR(VLOOKUP($E:$E,'（居民）工资表-9月'!$E:$S,15,0),0)</f>
        <v>97500</v>
      </c>
      <c r="T8" s="91">
        <f>5000+IFERROR(VLOOKUP($E:$E,'（居民）工资表-9月'!$E:$T,16,0),0)</f>
        <v>45000</v>
      </c>
      <c r="U8" s="91">
        <f>Q8+IFERROR(VLOOKUP($E:$E,'（居民）工资表-9月'!$E:$U,17,0),0)</f>
        <v>7231.92</v>
      </c>
      <c r="V8" s="70"/>
      <c r="W8" s="70"/>
      <c r="X8" s="70"/>
      <c r="Y8" s="70"/>
      <c r="Z8" s="70"/>
      <c r="AA8" s="70"/>
      <c r="AB8" s="90">
        <f t="shared" si="1"/>
        <v>0</v>
      </c>
      <c r="AC8" s="90">
        <f>R8+IFERROR(VLOOKUP($E:$E,'（居民）工资表-9月'!$E:$AC,25,0),0)</f>
        <v>0</v>
      </c>
      <c r="AD8" s="95">
        <f t="shared" si="2"/>
        <v>45268.08</v>
      </c>
      <c r="AE8" s="96">
        <f>ROUND(MAX((AD8)*{0.03;0.1;0.2;0.25;0.3;0.35;0.45}-{0;2520;16920;31920;52920;85920;181920},0),2)</f>
        <v>2006.81</v>
      </c>
      <c r="AF8" s="97">
        <f>IFERROR(VLOOKUP(E:E,'（居民）工资表-9月'!E:AF,28,0)+VLOOKUP(E:E,'（居民）工资表-9月'!E:AG,29,0),0)</f>
        <v>1558.03</v>
      </c>
      <c r="AG8" s="97">
        <f t="shared" si="3"/>
        <v>448.78</v>
      </c>
      <c r="AH8" s="107">
        <f t="shared" si="4"/>
        <v>9038.98</v>
      </c>
      <c r="AI8" s="108"/>
      <c r="AJ8" s="107">
        <f t="shared" si="5"/>
        <v>9038.98</v>
      </c>
      <c r="AK8" s="109"/>
      <c r="AL8" s="107">
        <f t="shared" si="6"/>
        <v>9487.76</v>
      </c>
      <c r="AM8" s="109"/>
      <c r="AN8" s="109"/>
      <c r="AO8" s="109"/>
      <c r="AP8" s="109"/>
      <c r="AQ8" s="109"/>
      <c r="AR8" s="116" t="str">
        <f t="shared" si="7"/>
        <v>正确</v>
      </c>
      <c r="AS8" s="116" t="str">
        <f t="shared" si="8"/>
        <v>不</v>
      </c>
      <c r="AT8" s="116" t="str">
        <f t="shared" si="9"/>
        <v>重复</v>
      </c>
      <c r="AV8" s="12" t="s">
        <v>159</v>
      </c>
      <c r="AW8" s="12" t="s">
        <v>51</v>
      </c>
    </row>
    <row r="9" s="12" customFormat="1" ht="18" customHeight="1" spans="1:49">
      <c r="A9" s="36">
        <v>6</v>
      </c>
      <c r="B9" s="37" t="s">
        <v>144</v>
      </c>
      <c r="C9" s="37" t="s">
        <v>162</v>
      </c>
      <c r="D9" s="37" t="s">
        <v>145</v>
      </c>
      <c r="E9" s="329" t="s">
        <v>163</v>
      </c>
      <c r="F9" s="38" t="s">
        <v>146</v>
      </c>
      <c r="G9" s="39">
        <v>13973652684</v>
      </c>
      <c r="H9" s="40"/>
      <c r="I9" s="40"/>
      <c r="J9" s="69"/>
      <c r="K9" s="40"/>
      <c r="L9" s="70">
        <v>6500</v>
      </c>
      <c r="M9" s="71">
        <v>324.24</v>
      </c>
      <c r="N9" s="71">
        <v>105.82</v>
      </c>
      <c r="O9" s="71">
        <v>12.16</v>
      </c>
      <c r="P9" s="71">
        <v>100</v>
      </c>
      <c r="Q9" s="89">
        <f t="shared" si="0"/>
        <v>542.22</v>
      </c>
      <c r="R9" s="70">
        <v>0</v>
      </c>
      <c r="S9" s="90">
        <f>L9+IFERROR(VLOOKUP($E:$E,'（居民）工资表-9月'!$E:$S,15,0),0)</f>
        <v>58500</v>
      </c>
      <c r="T9" s="91">
        <f>5000+IFERROR(VLOOKUP($E:$E,'（居民）工资表-9月'!$E:$T,16,0),0)</f>
        <v>45000</v>
      </c>
      <c r="U9" s="91">
        <f>Q9+IFERROR(VLOOKUP($E:$E,'（居民）工资表-9月'!$E:$U,17,0),0)</f>
        <v>4855.87</v>
      </c>
      <c r="V9" s="70"/>
      <c r="W9" s="70"/>
      <c r="X9" s="70"/>
      <c r="Y9" s="70"/>
      <c r="Z9" s="70"/>
      <c r="AA9" s="70"/>
      <c r="AB9" s="90">
        <f t="shared" si="1"/>
        <v>0</v>
      </c>
      <c r="AC9" s="90">
        <f>R9+IFERROR(VLOOKUP($E:$E,'（居民）工资表-9月'!$E:$AC,25,0),0)</f>
        <v>0</v>
      </c>
      <c r="AD9" s="95">
        <f t="shared" si="2"/>
        <v>8644.13</v>
      </c>
      <c r="AE9" s="96">
        <f>ROUND(MAX((AD9)*{0.03;0.1;0.2;0.25;0.3;0.35;0.45}-{0;2520;16920;31920;52920;85920;181920},0),2)</f>
        <v>259.32</v>
      </c>
      <c r="AF9" s="97">
        <f>IFERROR(VLOOKUP(E:E,'（居民）工资表-9月'!E:AF,28,0)+VLOOKUP(E:E,'（居民）工资表-9月'!E:AG,29,0),0)</f>
        <v>230.59</v>
      </c>
      <c r="AG9" s="97">
        <f t="shared" si="3"/>
        <v>28.73</v>
      </c>
      <c r="AH9" s="107">
        <f t="shared" si="4"/>
        <v>5929.05</v>
      </c>
      <c r="AI9" s="108"/>
      <c r="AJ9" s="107">
        <f t="shared" si="5"/>
        <v>5929.05</v>
      </c>
      <c r="AK9" s="109"/>
      <c r="AL9" s="107">
        <f t="shared" si="6"/>
        <v>5957.78</v>
      </c>
      <c r="AM9" s="109"/>
      <c r="AN9" s="109"/>
      <c r="AO9" s="109"/>
      <c r="AP9" s="109"/>
      <c r="AQ9" s="109"/>
      <c r="AR9" s="116" t="str">
        <f t="shared" si="7"/>
        <v>正确</v>
      </c>
      <c r="AS9" s="116" t="str">
        <f t="shared" si="8"/>
        <v>不</v>
      </c>
      <c r="AT9" s="116" t="str">
        <f t="shared" si="9"/>
        <v>重复</v>
      </c>
      <c r="AV9" s="12" t="s">
        <v>164</v>
      </c>
      <c r="AW9" s="12" t="s">
        <v>51</v>
      </c>
    </row>
    <row r="10" s="12" customFormat="1" ht="18" customHeight="1" spans="1:49">
      <c r="A10" s="36">
        <v>7</v>
      </c>
      <c r="B10" s="37" t="s">
        <v>144</v>
      </c>
      <c r="C10" s="37" t="s">
        <v>165</v>
      </c>
      <c r="D10" s="37" t="s">
        <v>145</v>
      </c>
      <c r="E10" s="329" t="s">
        <v>166</v>
      </c>
      <c r="F10" s="38" t="s">
        <v>150</v>
      </c>
      <c r="G10" s="39" t="s">
        <v>167</v>
      </c>
      <c r="H10" s="40"/>
      <c r="I10" s="40"/>
      <c r="J10" s="69"/>
      <c r="K10" s="40"/>
      <c r="L10" s="70">
        <v>4447.97</v>
      </c>
      <c r="M10" s="71">
        <v>401.04</v>
      </c>
      <c r="N10" s="71">
        <v>122.26</v>
      </c>
      <c r="O10" s="71">
        <v>25.07</v>
      </c>
      <c r="P10" s="71">
        <v>116</v>
      </c>
      <c r="Q10" s="89">
        <f t="shared" si="0"/>
        <v>664.37</v>
      </c>
      <c r="R10" s="70">
        <v>0</v>
      </c>
      <c r="S10" s="90">
        <f>L10+IFERROR(VLOOKUP($E:$E,'（居民）工资表-9月'!$E:$S,15,0),0)</f>
        <v>40286.07</v>
      </c>
      <c r="T10" s="91">
        <f>5000+IFERROR(VLOOKUP($E:$E,'（居民）工资表-9月'!$E:$T,16,0),0)</f>
        <v>45000</v>
      </c>
      <c r="U10" s="91">
        <f>Q10+IFERROR(VLOOKUP($E:$E,'（居民）工资表-9月'!$E:$U,17,0),0)</f>
        <v>5848.29</v>
      </c>
      <c r="V10" s="70"/>
      <c r="W10" s="70"/>
      <c r="X10" s="70"/>
      <c r="Y10" s="70"/>
      <c r="Z10" s="70"/>
      <c r="AA10" s="70"/>
      <c r="AB10" s="90">
        <f t="shared" si="1"/>
        <v>0</v>
      </c>
      <c r="AC10" s="90">
        <f>R10+IFERROR(VLOOKUP($E:$E,'（居民）工资表-9月'!$E:$AC,25,0),0)</f>
        <v>0</v>
      </c>
      <c r="AD10" s="95">
        <f t="shared" si="2"/>
        <v>-10562.22</v>
      </c>
      <c r="AE10" s="96">
        <f>ROUND(MAX((AD10)*{0.03;0.1;0.2;0.25;0.3;0.35;0.45}-{0;2520;16920;31920;52920;85920;181920},0),2)</f>
        <v>0</v>
      </c>
      <c r="AF10" s="97">
        <f>IFERROR(VLOOKUP(E:E,'（居民）工资表-9月'!E:AF,28,0)+VLOOKUP(E:E,'（居民）工资表-9月'!E:AG,29,0),0)</f>
        <v>0</v>
      </c>
      <c r="AG10" s="97">
        <f t="shared" si="3"/>
        <v>0</v>
      </c>
      <c r="AH10" s="107">
        <f t="shared" si="4"/>
        <v>3783.6</v>
      </c>
      <c r="AI10" s="108"/>
      <c r="AJ10" s="107">
        <f t="shared" si="5"/>
        <v>3783.6</v>
      </c>
      <c r="AK10" s="109"/>
      <c r="AL10" s="107">
        <f t="shared" si="6"/>
        <v>3783.6</v>
      </c>
      <c r="AM10" s="109"/>
      <c r="AN10" s="109"/>
      <c r="AO10" s="109"/>
      <c r="AP10" s="109"/>
      <c r="AQ10" s="109"/>
      <c r="AR10" s="116" t="str">
        <f t="shared" si="7"/>
        <v>正确</v>
      </c>
      <c r="AS10" s="116" t="str">
        <f t="shared" si="8"/>
        <v>不</v>
      </c>
      <c r="AT10" s="116" t="str">
        <f t="shared" si="9"/>
        <v>重复</v>
      </c>
      <c r="AV10" s="12" t="s">
        <v>168</v>
      </c>
      <c r="AW10" s="12" t="s">
        <v>209</v>
      </c>
    </row>
    <row r="11" s="12" customFormat="1" ht="18" customHeight="1" spans="1:49">
      <c r="A11" s="36">
        <v>8</v>
      </c>
      <c r="B11" s="37" t="s">
        <v>144</v>
      </c>
      <c r="C11" s="37" t="s">
        <v>170</v>
      </c>
      <c r="D11" s="37" t="s">
        <v>145</v>
      </c>
      <c r="E11" s="329" t="s">
        <v>171</v>
      </c>
      <c r="F11" s="38" t="s">
        <v>146</v>
      </c>
      <c r="G11" s="39">
        <v>18356553626</v>
      </c>
      <c r="H11" s="40"/>
      <c r="I11" s="40"/>
      <c r="J11" s="69"/>
      <c r="K11" s="40"/>
      <c r="L11" s="70">
        <v>9000</v>
      </c>
      <c r="M11" s="71">
        <v>504.56</v>
      </c>
      <c r="N11" s="71">
        <v>166.14</v>
      </c>
      <c r="O11" s="71">
        <v>31.54</v>
      </c>
      <c r="P11" s="71">
        <v>97</v>
      </c>
      <c r="Q11" s="89">
        <f t="shared" ref="Q11:Q19" si="10">ROUND(SUM(M11:P11),2)</f>
        <v>799.24</v>
      </c>
      <c r="R11" s="70">
        <v>0</v>
      </c>
      <c r="S11" s="90">
        <f>L11+IFERROR(VLOOKUP($E:$E,'（居民）工资表-9月'!$E:$S,15,0),0)</f>
        <v>80000</v>
      </c>
      <c r="T11" s="91">
        <f>5000+IFERROR(VLOOKUP($E:$E,'（居民）工资表-9月'!$E:$T,16,0),0)</f>
        <v>45000</v>
      </c>
      <c r="U11" s="91">
        <f>Q11+IFERROR(VLOOKUP($E:$E,'（居民）工资表-9月'!$E:$U,17,0),0)</f>
        <v>5314.92</v>
      </c>
      <c r="V11" s="70"/>
      <c r="W11" s="70"/>
      <c r="X11" s="70"/>
      <c r="Y11" s="70"/>
      <c r="Z11" s="70"/>
      <c r="AA11" s="70"/>
      <c r="AB11" s="90">
        <f t="shared" ref="AB11:AB19" si="11">ROUND(SUM(V11:AA11),2)</f>
        <v>0</v>
      </c>
      <c r="AC11" s="90">
        <f>R11+IFERROR(VLOOKUP($E:$E,'（居民）工资表-9月'!$E:$AC,25,0),0)</f>
        <v>0</v>
      </c>
      <c r="AD11" s="95">
        <f t="shared" ref="AD11:AD19" si="12">ROUND(S11-T11-U11-AB11-AC11,2)</f>
        <v>29685.08</v>
      </c>
      <c r="AE11" s="96">
        <f>ROUND(MAX((AD11)*{0.03;0.1;0.2;0.25;0.3;0.35;0.45}-{0;2520;16920;31920;52920;85920;181920},0),2)</f>
        <v>890.55</v>
      </c>
      <c r="AF11" s="97">
        <f>IFERROR(VLOOKUP(E:E,'（居民）工资表-9月'!E:AF,28,0)+VLOOKUP(E:E,'（居民）工资表-9月'!E:AG,29,0),0)</f>
        <v>794.53</v>
      </c>
      <c r="AG11" s="97">
        <f t="shared" ref="AG11:AG19" si="13">IF((AE11-AF11)&lt;0,0,AE11-AF11)</f>
        <v>96.02</v>
      </c>
      <c r="AH11" s="107">
        <f t="shared" ref="AH11:AH19" si="14">ROUND(IF((L11-Q11-AG11)&lt;0,0,(L11-Q11-AG11)),2)</f>
        <v>8104.74</v>
      </c>
      <c r="AI11" s="108"/>
      <c r="AJ11" s="107">
        <f t="shared" ref="AJ11:AJ19" si="15">AH11+AI11</f>
        <v>8104.74</v>
      </c>
      <c r="AK11" s="109"/>
      <c r="AL11" s="107">
        <f t="shared" ref="AL11:AL19" si="16">AJ11+AG11+AK11</f>
        <v>8200.76</v>
      </c>
      <c r="AM11" s="109"/>
      <c r="AN11" s="109"/>
      <c r="AO11" s="109"/>
      <c r="AP11" s="109"/>
      <c r="AQ11" s="109"/>
      <c r="AR11" s="116" t="str">
        <f t="shared" ref="AR11:AR19" si="17">IF(LEN(E11)=18,IF(RIGHT(E11,1)="X",IF(CHOOSE(MOD(SUM(LEFT(RIGHT(E11,18))*7+LEFT(RIGHT(E11,17))*9+LEFT(RIGHT(E11,16))*10+LEFT(RIGHT(E11,15))*5+LEFT(RIGHT(E11,14))*8+LEFT(RIGHT(E11,13))*4+LEFT(RIGHT(E11,12))*2+LEFT(RIGHT(E11,11))*1+LEFT(RIGHT(E11,10))*6+LEFT(RIGHT(E11,9))*3+LEFT(RIGHT(E11,8))*7+LEFT(RIGHT(E11,7))*9+LEFT(RIGHT(E11,6))*10+LEFT(RIGHT(E11,5))*5+LEFT(RIGHT(E11,4))*8+LEFT(RIGHT(E11,3))*4+LEFT(RIGHT(E11,2))*2),11)+1,1,0,"X",9,8,7,6,5,4,3,2)=LEFT(RIGHT(E11,1)),"正确","错误"),IF(CHOOSE(MOD(SUM(LEFT(RIGHT(E11,18))*7+LEFT(RIGHT(E11,17))*9+LEFT(RIGHT(E11,16))*10+LEFT(RIGHT(E11,15))*5+LEFT(RIGHT(E11,14))*8+LEFT(RIGHT(E11,13))*4+LEFT(RIGHT(E11,12))*2+LEFT(RIGHT(E11,11))*1+LEFT(RIGHT(E11,10))*6+LEFT(RIGHT(E11,9))*3+LEFT(RIGHT(E11,8))*7+LEFT(RIGHT(E11,7))*9+LEFT(RIGHT(E11,6))*10+LEFT(RIGHT(E11,5))*5+LEFT(RIGHT(E11,4))*8+LEFT(RIGHT(E11,3))*4+LEFT(RIGHT(E11,2))*2),11)+1,1,0,"X",9,8,7,6,5,4,3,2)=LEFT(RIGHT(E11,1))*1,"正确","错误")),IF(LEN(E11)=15,"老号，请注意！",IF(LEN(E11)=0,"未填写身份证号码","位数不对！")))</f>
        <v>正确</v>
      </c>
      <c r="AS11" s="116" t="str">
        <f t="shared" ref="AS11:AS19" si="18">IF(SUMPRODUCT(N(E$1:E$7=E11))&gt;1,"重复","不")</f>
        <v>不</v>
      </c>
      <c r="AT11" s="116" t="str">
        <f t="shared" ref="AT11:AT19" si="19">IF(SUMPRODUCT(N(AO$1:AO$7=AO11))&gt;1,"重复","不")</f>
        <v>重复</v>
      </c>
      <c r="AV11" s="12" t="s">
        <v>172</v>
      </c>
      <c r="AW11" s="12" t="s">
        <v>173</v>
      </c>
    </row>
    <row r="12" s="12" customFormat="1" ht="18" customHeight="1" spans="1:49">
      <c r="A12" s="36">
        <v>9</v>
      </c>
      <c r="B12" s="37" t="s">
        <v>144</v>
      </c>
      <c r="C12" s="37" t="s">
        <v>174</v>
      </c>
      <c r="D12" s="37" t="s">
        <v>145</v>
      </c>
      <c r="E12" s="329" t="s">
        <v>175</v>
      </c>
      <c r="F12" s="38" t="s">
        <v>146</v>
      </c>
      <c r="G12" s="39">
        <v>18326897140</v>
      </c>
      <c r="H12" s="40"/>
      <c r="I12" s="40"/>
      <c r="J12" s="69"/>
      <c r="K12" s="40"/>
      <c r="L12" s="70">
        <v>7500</v>
      </c>
      <c r="M12" s="71">
        <v>504.56</v>
      </c>
      <c r="N12" s="71">
        <v>132.14</v>
      </c>
      <c r="O12" s="71">
        <v>31.54</v>
      </c>
      <c r="P12" s="71">
        <v>344</v>
      </c>
      <c r="Q12" s="89">
        <f t="shared" si="10"/>
        <v>1012.24</v>
      </c>
      <c r="R12" s="70">
        <v>0</v>
      </c>
      <c r="S12" s="90">
        <f>L12+IFERROR(VLOOKUP($E:$E,'（居民）工资表-9月'!$E:$S,15,0),0)</f>
        <v>66500</v>
      </c>
      <c r="T12" s="91">
        <f>5000+IFERROR(VLOOKUP($E:$E,'（居民）工资表-9月'!$E:$T,16,0),0)</f>
        <v>45000</v>
      </c>
      <c r="U12" s="91">
        <f>Q12+IFERROR(VLOOKUP($E:$E,'（居民）工资表-9月'!$E:$U,17,0),0)</f>
        <v>7231.92</v>
      </c>
      <c r="V12" s="70"/>
      <c r="W12" s="70"/>
      <c r="X12" s="70"/>
      <c r="Y12" s="70"/>
      <c r="Z12" s="70"/>
      <c r="AA12" s="70"/>
      <c r="AB12" s="90">
        <f t="shared" si="11"/>
        <v>0</v>
      </c>
      <c r="AC12" s="90">
        <f>R12+IFERROR(VLOOKUP($E:$E,'（居民）工资表-9月'!$E:$AC,25,0),0)</f>
        <v>0</v>
      </c>
      <c r="AD12" s="95">
        <f t="shared" si="12"/>
        <v>14268.08</v>
      </c>
      <c r="AE12" s="96">
        <f>ROUND(MAX((AD12)*{0.03;0.1;0.2;0.25;0.3;0.35;0.45}-{0;2520;16920;31920;52920;85920;181920},0),2)</f>
        <v>428.04</v>
      </c>
      <c r="AF12" s="97">
        <f>IFERROR(VLOOKUP(E:E,'（居民）工资表-9月'!E:AF,28,0)+VLOOKUP(E:E,'（居民）工资表-9月'!E:AG,29,0),0)</f>
        <v>383.41</v>
      </c>
      <c r="AG12" s="97">
        <f t="shared" si="13"/>
        <v>44.63</v>
      </c>
      <c r="AH12" s="107">
        <f t="shared" si="14"/>
        <v>6443.13</v>
      </c>
      <c r="AI12" s="108"/>
      <c r="AJ12" s="107">
        <f t="shared" si="15"/>
        <v>6443.13</v>
      </c>
      <c r="AK12" s="109"/>
      <c r="AL12" s="107">
        <f t="shared" si="16"/>
        <v>6487.76</v>
      </c>
      <c r="AM12" s="109"/>
      <c r="AN12" s="109"/>
      <c r="AO12" s="109"/>
      <c r="AP12" s="109"/>
      <c r="AQ12" s="109"/>
      <c r="AR12" s="116" t="str">
        <f t="shared" si="17"/>
        <v>正确</v>
      </c>
      <c r="AS12" s="116" t="str">
        <f t="shared" si="18"/>
        <v>不</v>
      </c>
      <c r="AT12" s="116" t="str">
        <f t="shared" si="19"/>
        <v>重复</v>
      </c>
      <c r="AV12" s="12" t="s">
        <v>159</v>
      </c>
      <c r="AW12" s="12" t="s">
        <v>51</v>
      </c>
    </row>
    <row r="13" s="12" customFormat="1" ht="18" customHeight="1" spans="1:49">
      <c r="A13" s="36">
        <v>10</v>
      </c>
      <c r="B13" s="37" t="s">
        <v>144</v>
      </c>
      <c r="C13" s="37" t="s">
        <v>176</v>
      </c>
      <c r="D13" s="37" t="s">
        <v>145</v>
      </c>
      <c r="E13" s="329" t="s">
        <v>177</v>
      </c>
      <c r="F13" s="38" t="s">
        <v>146</v>
      </c>
      <c r="G13" s="39">
        <v>17201857014</v>
      </c>
      <c r="H13" s="40"/>
      <c r="I13" s="40"/>
      <c r="J13" s="69"/>
      <c r="K13" s="40"/>
      <c r="L13" s="70">
        <v>8000</v>
      </c>
      <c r="M13" s="71">
        <v>504.56</v>
      </c>
      <c r="N13" s="71">
        <v>132.14</v>
      </c>
      <c r="O13" s="71">
        <v>41.24</v>
      </c>
      <c r="P13" s="71">
        <v>344</v>
      </c>
      <c r="Q13" s="89">
        <f t="shared" si="10"/>
        <v>1021.94</v>
      </c>
      <c r="R13" s="70">
        <v>0</v>
      </c>
      <c r="S13" s="90">
        <f>L13+IFERROR(VLOOKUP($E:$E,'（居民）工资表-9月'!$E:$S,15,0),0)</f>
        <v>70000</v>
      </c>
      <c r="T13" s="91">
        <f>5000+IFERROR(VLOOKUP($E:$E,'（居民）工资表-9月'!$E:$T,16,0),0)</f>
        <v>45000</v>
      </c>
      <c r="U13" s="91">
        <f>Q13+IFERROR(VLOOKUP($E:$E,'（居民）工资表-9月'!$E:$U,17,0),0)</f>
        <v>7241.62</v>
      </c>
      <c r="V13" s="70"/>
      <c r="W13" s="70"/>
      <c r="X13" s="70"/>
      <c r="Y13" s="70"/>
      <c r="Z13" s="70"/>
      <c r="AA13" s="70"/>
      <c r="AB13" s="90">
        <f t="shared" si="11"/>
        <v>0</v>
      </c>
      <c r="AC13" s="90">
        <f>R13+IFERROR(VLOOKUP($E:$E,'（居民）工资表-9月'!$E:$AC,25,0),0)</f>
        <v>0</v>
      </c>
      <c r="AD13" s="95">
        <f t="shared" si="12"/>
        <v>17758.38</v>
      </c>
      <c r="AE13" s="96">
        <f>ROUND(MAX((AD13)*{0.03;0.1;0.2;0.25;0.3;0.35;0.45}-{0;2520;16920;31920;52920;85920;181920},0),2)</f>
        <v>532.75</v>
      </c>
      <c r="AF13" s="97">
        <f>IFERROR(VLOOKUP(E:E,'（居民）工资表-9月'!E:AF,28,0)+VLOOKUP(E:E,'（居民）工资表-9月'!E:AG,29,0),0)</f>
        <v>473.41</v>
      </c>
      <c r="AG13" s="97">
        <f t="shared" si="13"/>
        <v>59.34</v>
      </c>
      <c r="AH13" s="107">
        <f t="shared" si="14"/>
        <v>6918.72</v>
      </c>
      <c r="AI13" s="108"/>
      <c r="AJ13" s="107">
        <f t="shared" si="15"/>
        <v>6918.72</v>
      </c>
      <c r="AK13" s="109"/>
      <c r="AL13" s="107">
        <f t="shared" si="16"/>
        <v>6978.06</v>
      </c>
      <c r="AM13" s="109"/>
      <c r="AN13" s="109"/>
      <c r="AO13" s="109"/>
      <c r="AP13" s="109"/>
      <c r="AQ13" s="109"/>
      <c r="AR13" s="116" t="str">
        <f t="shared" si="17"/>
        <v>正确</v>
      </c>
      <c r="AS13" s="116" t="str">
        <f t="shared" si="18"/>
        <v>不</v>
      </c>
      <c r="AT13" s="116" t="str">
        <f t="shared" si="19"/>
        <v>重复</v>
      </c>
      <c r="AV13" s="12" t="s">
        <v>159</v>
      </c>
      <c r="AW13" s="12" t="s">
        <v>51</v>
      </c>
    </row>
    <row r="14" s="12" customFormat="1" ht="18" customHeight="1" spans="1:49">
      <c r="A14" s="36">
        <v>11</v>
      </c>
      <c r="B14" s="37" t="s">
        <v>144</v>
      </c>
      <c r="C14" s="37" t="s">
        <v>183</v>
      </c>
      <c r="D14" s="37" t="s">
        <v>145</v>
      </c>
      <c r="E14" s="329" t="s">
        <v>184</v>
      </c>
      <c r="F14" s="38" t="s">
        <v>150</v>
      </c>
      <c r="G14" s="39"/>
      <c r="H14" s="40"/>
      <c r="I14" s="40"/>
      <c r="J14" s="69"/>
      <c r="K14" s="40"/>
      <c r="L14" s="70">
        <v>6000</v>
      </c>
      <c r="M14" s="71">
        <v>504.56</v>
      </c>
      <c r="N14" s="71">
        <v>126.14</v>
      </c>
      <c r="O14" s="71">
        <v>31.54</v>
      </c>
      <c r="P14" s="71">
        <v>103</v>
      </c>
      <c r="Q14" s="89">
        <f t="shared" si="10"/>
        <v>765.24</v>
      </c>
      <c r="R14" s="70">
        <v>0</v>
      </c>
      <c r="S14" s="90">
        <f>L14+IFERROR(VLOOKUP($E:$E,'（居民）工资表-9月'!$E:$S,15,0),0)</f>
        <v>54000</v>
      </c>
      <c r="T14" s="91">
        <f>5000+IFERROR(VLOOKUP($E:$E,'（居民）工资表-9月'!$E:$T,16,0),0)</f>
        <v>45000</v>
      </c>
      <c r="U14" s="91">
        <f>Q14+IFERROR(VLOOKUP($E:$E,'（居民）工资表-9月'!$E:$U,17,0),0)</f>
        <v>5008.92</v>
      </c>
      <c r="V14" s="70"/>
      <c r="W14" s="70"/>
      <c r="X14" s="70"/>
      <c r="Y14" s="70"/>
      <c r="Z14" s="70"/>
      <c r="AA14" s="70"/>
      <c r="AB14" s="90">
        <f t="shared" si="11"/>
        <v>0</v>
      </c>
      <c r="AC14" s="90">
        <f>R14+IFERROR(VLOOKUP($E:$E,'（居民）工资表-9月'!$E:$AC,25,0),0)</f>
        <v>0</v>
      </c>
      <c r="AD14" s="95">
        <f t="shared" si="12"/>
        <v>3991.08</v>
      </c>
      <c r="AE14" s="96">
        <f>ROUND(MAX((AD14)*{0.03;0.1;0.2;0.25;0.3;0.35;0.45}-{0;2520;16920;31920;52920;85920;181920},0),2)</f>
        <v>119.73</v>
      </c>
      <c r="AF14" s="97">
        <f>IFERROR(VLOOKUP(E:E,'（居民）工资表-9月'!E:AF,28,0)+VLOOKUP(E:E,'（居民）工资表-9月'!E:AG,29,0),0)</f>
        <v>112.69</v>
      </c>
      <c r="AG14" s="97">
        <f t="shared" si="13"/>
        <v>7.04000000000001</v>
      </c>
      <c r="AH14" s="107">
        <f t="shared" si="14"/>
        <v>5227.72</v>
      </c>
      <c r="AI14" s="108"/>
      <c r="AJ14" s="107">
        <f t="shared" si="15"/>
        <v>5227.72</v>
      </c>
      <c r="AK14" s="109"/>
      <c r="AL14" s="107">
        <f t="shared" si="16"/>
        <v>5234.76</v>
      </c>
      <c r="AM14" s="109"/>
      <c r="AN14" s="109"/>
      <c r="AO14" s="109"/>
      <c r="AP14" s="109"/>
      <c r="AQ14" s="109"/>
      <c r="AR14" s="116" t="str">
        <f t="shared" si="17"/>
        <v>正确</v>
      </c>
      <c r="AS14" s="116" t="str">
        <f t="shared" si="18"/>
        <v>不</v>
      </c>
      <c r="AT14" s="116" t="str">
        <f t="shared" si="19"/>
        <v>重复</v>
      </c>
      <c r="AV14" s="12" t="s">
        <v>159</v>
      </c>
      <c r="AW14" s="12" t="s">
        <v>51</v>
      </c>
    </row>
    <row r="15" s="12" customFormat="1" ht="18" customHeight="1" spans="1:49">
      <c r="A15" s="36">
        <v>12</v>
      </c>
      <c r="B15" s="37" t="s">
        <v>144</v>
      </c>
      <c r="C15" s="37" t="s">
        <v>185</v>
      </c>
      <c r="D15" s="37" t="s">
        <v>145</v>
      </c>
      <c r="E15" s="329" t="s">
        <v>186</v>
      </c>
      <c r="F15" s="38" t="s">
        <v>146</v>
      </c>
      <c r="G15" s="39">
        <v>15056587375</v>
      </c>
      <c r="H15" s="40"/>
      <c r="I15" s="40"/>
      <c r="J15" s="69"/>
      <c r="K15" s="40"/>
      <c r="L15" s="70">
        <v>10000</v>
      </c>
      <c r="M15" s="71">
        <v>504.56</v>
      </c>
      <c r="N15" s="71">
        <v>139.8</v>
      </c>
      <c r="O15" s="71">
        <v>31.54</v>
      </c>
      <c r="P15" s="71">
        <v>97</v>
      </c>
      <c r="Q15" s="89">
        <f t="shared" si="10"/>
        <v>772.9</v>
      </c>
      <c r="R15" s="70">
        <v>0</v>
      </c>
      <c r="S15" s="90">
        <f>L15+IFERROR(VLOOKUP($E:$E,'（居民）工资表-9月'!$E:$S,15,0),0)</f>
        <v>90000</v>
      </c>
      <c r="T15" s="91">
        <f>5000+IFERROR(VLOOKUP($E:$E,'（居民）工资表-9月'!$E:$T,16,0),0)</f>
        <v>45000</v>
      </c>
      <c r="U15" s="91">
        <f>Q15+IFERROR(VLOOKUP($E:$E,'（居民）工资表-9月'!$E:$U,17,0),0)</f>
        <v>5039.16</v>
      </c>
      <c r="V15" s="70"/>
      <c r="W15" s="70"/>
      <c r="X15" s="70"/>
      <c r="Y15" s="70"/>
      <c r="Z15" s="70"/>
      <c r="AA15" s="70"/>
      <c r="AB15" s="90">
        <f t="shared" si="11"/>
        <v>0</v>
      </c>
      <c r="AC15" s="90">
        <f>R15+IFERROR(VLOOKUP($E:$E,'（居民）工资表-9月'!$E:$AC,25,0),0)</f>
        <v>0</v>
      </c>
      <c r="AD15" s="95">
        <f t="shared" si="12"/>
        <v>39960.84</v>
      </c>
      <c r="AE15" s="96">
        <f>ROUND(MAX((AD15)*{0.03;0.1;0.2;0.25;0.3;0.35;0.45}-{0;2520;16920;31920;52920;85920;181920},0),2)</f>
        <v>1476.08</v>
      </c>
      <c r="AF15" s="97">
        <f>IFERROR(VLOOKUP(E:E,'（居民）工资表-9月'!E:AF,28,0)+VLOOKUP(E:E,'（居民）工资表-9月'!E:AG,29,0),0)</f>
        <v>1072.01</v>
      </c>
      <c r="AG15" s="97">
        <f t="shared" si="13"/>
        <v>404.07</v>
      </c>
      <c r="AH15" s="107">
        <f t="shared" si="14"/>
        <v>8823.03</v>
      </c>
      <c r="AI15" s="108"/>
      <c r="AJ15" s="107">
        <f t="shared" si="15"/>
        <v>8823.03</v>
      </c>
      <c r="AK15" s="109"/>
      <c r="AL15" s="107">
        <f t="shared" si="16"/>
        <v>9227.1</v>
      </c>
      <c r="AM15" s="109"/>
      <c r="AN15" s="109"/>
      <c r="AO15" s="109"/>
      <c r="AP15" s="109"/>
      <c r="AQ15" s="109"/>
      <c r="AR15" s="116" t="str">
        <f t="shared" si="17"/>
        <v>正确</v>
      </c>
      <c r="AS15" s="116" t="str">
        <f t="shared" si="18"/>
        <v>不</v>
      </c>
      <c r="AT15" s="116" t="str">
        <f t="shared" si="19"/>
        <v>重复</v>
      </c>
      <c r="AV15" s="12" t="s">
        <v>159</v>
      </c>
      <c r="AW15" s="12" t="s">
        <v>51</v>
      </c>
    </row>
    <row r="16" s="12" customFormat="1" ht="18" customHeight="1" spans="1:49">
      <c r="A16" s="36">
        <v>13</v>
      </c>
      <c r="B16" s="37" t="s">
        <v>144</v>
      </c>
      <c r="C16" s="37" t="s">
        <v>187</v>
      </c>
      <c r="D16" s="37" t="s">
        <v>145</v>
      </c>
      <c r="E16" s="37" t="s">
        <v>188</v>
      </c>
      <c r="F16" s="38" t="s">
        <v>146</v>
      </c>
      <c r="G16" s="39">
        <v>13711361074</v>
      </c>
      <c r="H16" s="40"/>
      <c r="I16" s="40"/>
      <c r="J16" s="69"/>
      <c r="K16" s="40"/>
      <c r="L16" s="70">
        <v>7560.35</v>
      </c>
      <c r="M16" s="71">
        <v>337.92</v>
      </c>
      <c r="N16" s="71">
        <v>91.48</v>
      </c>
      <c r="O16" s="71">
        <v>12.67</v>
      </c>
      <c r="P16" s="71">
        <v>110.5</v>
      </c>
      <c r="Q16" s="89">
        <f t="shared" si="10"/>
        <v>552.57</v>
      </c>
      <c r="R16" s="70">
        <v>0</v>
      </c>
      <c r="S16" s="90">
        <f>L16+IFERROR(VLOOKUP($E:$E,'（居民）工资表-9月'!$E:$S,15,0),0)</f>
        <v>51110.65</v>
      </c>
      <c r="T16" s="91">
        <f>5000+IFERROR(VLOOKUP($E:$E,'（居民）工资表-9月'!$E:$T,16,0),0)</f>
        <v>40000</v>
      </c>
      <c r="U16" s="91">
        <f>Q16+IFERROR(VLOOKUP($E:$E,'（居民）工资表-9月'!$E:$U,17,0),0)</f>
        <v>4448.37</v>
      </c>
      <c r="V16" s="70"/>
      <c r="W16" s="70"/>
      <c r="X16" s="70"/>
      <c r="Y16" s="70"/>
      <c r="Z16" s="70"/>
      <c r="AA16" s="70"/>
      <c r="AB16" s="90">
        <f t="shared" si="11"/>
        <v>0</v>
      </c>
      <c r="AC16" s="90">
        <f>R16+IFERROR(VLOOKUP($E:$E,'（居民）工资表-9月'!$E:$AC,25,0),0)</f>
        <v>0</v>
      </c>
      <c r="AD16" s="95">
        <f t="shared" si="12"/>
        <v>6662.28</v>
      </c>
      <c r="AE16" s="96">
        <f>ROUND(MAX((AD16)*{0.03;0.1;0.2;0.25;0.3;0.35;0.45}-{0;2520;16920;31920;52920;85920;181920},0),2)</f>
        <v>199.87</v>
      </c>
      <c r="AF16" s="97">
        <f>IFERROR(VLOOKUP(E:E,'（居民）工资表-9月'!E:AF,28,0)+VLOOKUP(E:E,'（居民）工资表-9月'!E:AG,29,0),0)</f>
        <v>139.64</v>
      </c>
      <c r="AG16" s="97">
        <f t="shared" si="13"/>
        <v>60.23</v>
      </c>
      <c r="AH16" s="107">
        <f t="shared" si="14"/>
        <v>6947.55</v>
      </c>
      <c r="AI16" s="108"/>
      <c r="AJ16" s="107">
        <f t="shared" si="15"/>
        <v>6947.55</v>
      </c>
      <c r="AK16" s="109"/>
      <c r="AL16" s="107">
        <f t="shared" si="16"/>
        <v>7007.78</v>
      </c>
      <c r="AM16" s="109"/>
      <c r="AN16" s="109"/>
      <c r="AO16" s="109"/>
      <c r="AP16" s="109"/>
      <c r="AQ16" s="109"/>
      <c r="AR16" s="116" t="str">
        <f t="shared" si="17"/>
        <v>正确</v>
      </c>
      <c r="AS16" s="116" t="str">
        <f t="shared" si="18"/>
        <v>不</v>
      </c>
      <c r="AT16" s="116" t="str">
        <f t="shared" si="19"/>
        <v>重复</v>
      </c>
      <c r="AV16" s="12" t="s">
        <v>159</v>
      </c>
      <c r="AW16" s="12" t="s">
        <v>51</v>
      </c>
    </row>
    <row r="17" s="12" customFormat="1" ht="18" customHeight="1" spans="1:46">
      <c r="A17" s="36"/>
      <c r="B17" s="37"/>
      <c r="C17" s="128"/>
      <c r="D17" s="37"/>
      <c r="E17" s="37"/>
      <c r="F17" s="38"/>
      <c r="G17" s="39"/>
      <c r="H17" s="40"/>
      <c r="I17" s="40"/>
      <c r="J17" s="69"/>
      <c r="K17" s="40"/>
      <c r="L17" s="70"/>
      <c r="M17" s="71"/>
      <c r="N17" s="71"/>
      <c r="O17" s="71"/>
      <c r="P17" s="71"/>
      <c r="Q17" s="89"/>
      <c r="R17" s="70"/>
      <c r="S17" s="90"/>
      <c r="T17" s="91"/>
      <c r="U17" s="91"/>
      <c r="V17" s="70"/>
      <c r="W17" s="70"/>
      <c r="X17" s="70"/>
      <c r="Y17" s="70"/>
      <c r="Z17" s="70"/>
      <c r="AA17" s="70"/>
      <c r="AB17" s="90"/>
      <c r="AC17" s="90"/>
      <c r="AD17" s="95"/>
      <c r="AE17" s="96"/>
      <c r="AF17" s="97"/>
      <c r="AG17" s="97"/>
      <c r="AH17" s="107"/>
      <c r="AI17" s="108"/>
      <c r="AJ17" s="107"/>
      <c r="AK17" s="109"/>
      <c r="AL17" s="107"/>
      <c r="AM17" s="109"/>
      <c r="AN17" s="109"/>
      <c r="AO17" s="109"/>
      <c r="AP17" s="109"/>
      <c r="AQ17" s="109"/>
      <c r="AR17" s="116"/>
      <c r="AS17" s="116"/>
      <c r="AT17" s="116"/>
    </row>
    <row r="18" s="13" customFormat="1" ht="18" customHeight="1" spans="1:46">
      <c r="A18" s="41"/>
      <c r="B18" s="42" t="s">
        <v>189</v>
      </c>
      <c r="C18" s="42"/>
      <c r="D18" s="43"/>
      <c r="E18" s="44"/>
      <c r="F18" s="45"/>
      <c r="G18" s="46"/>
      <c r="H18" s="45"/>
      <c r="I18" s="72"/>
      <c r="J18" s="73"/>
      <c r="K18" s="72"/>
      <c r="L18" s="74">
        <f>SUM(L4:L17)</f>
        <v>122668.32</v>
      </c>
      <c r="M18" s="74">
        <f>SUM(M4:M17)</f>
        <v>5953.13</v>
      </c>
      <c r="N18" s="74">
        <f>SUM(N4:N17)</f>
        <v>1641.6</v>
      </c>
      <c r="O18" s="74">
        <f>SUM(O4:O17)</f>
        <v>334.82</v>
      </c>
      <c r="P18" s="74">
        <f>SUM(P4:P17)</f>
        <v>2232.9</v>
      </c>
      <c r="Q18" s="74">
        <f t="shared" ref="Q18:AL18" si="20">SUM(Q4:Q17)</f>
        <v>10162.45</v>
      </c>
      <c r="R18" s="74">
        <f t="shared" si="20"/>
        <v>0</v>
      </c>
      <c r="S18" s="74">
        <f t="shared" si="20"/>
        <v>1087656.72</v>
      </c>
      <c r="T18" s="74">
        <f t="shared" si="20"/>
        <v>580000</v>
      </c>
      <c r="U18" s="74">
        <f t="shared" si="20"/>
        <v>77495.21</v>
      </c>
      <c r="V18" s="74">
        <f t="shared" si="20"/>
        <v>10000</v>
      </c>
      <c r="W18" s="74">
        <f t="shared" si="20"/>
        <v>0</v>
      </c>
      <c r="X18" s="74">
        <f t="shared" si="20"/>
        <v>10000</v>
      </c>
      <c r="Y18" s="74">
        <f t="shared" si="20"/>
        <v>0</v>
      </c>
      <c r="Z18" s="74">
        <f t="shared" si="20"/>
        <v>4000</v>
      </c>
      <c r="AA18" s="74">
        <f t="shared" si="20"/>
        <v>0</v>
      </c>
      <c r="AB18" s="74">
        <f t="shared" si="20"/>
        <v>24000</v>
      </c>
      <c r="AC18" s="74">
        <f t="shared" si="20"/>
        <v>0</v>
      </c>
      <c r="AD18" s="74">
        <f t="shared" si="20"/>
        <v>406161.51</v>
      </c>
      <c r="AE18" s="74">
        <f t="shared" si="20"/>
        <v>33457.57</v>
      </c>
      <c r="AF18" s="74">
        <f t="shared" si="20"/>
        <v>27953.68</v>
      </c>
      <c r="AG18" s="74">
        <f t="shared" si="20"/>
        <v>6078.14</v>
      </c>
      <c r="AH18" s="74">
        <f t="shared" si="20"/>
        <v>106427.73</v>
      </c>
      <c r="AI18" s="74">
        <f t="shared" si="20"/>
        <v>0</v>
      </c>
      <c r="AJ18" s="74">
        <f t="shared" si="20"/>
        <v>106427.73</v>
      </c>
      <c r="AK18" s="74">
        <f t="shared" si="20"/>
        <v>0</v>
      </c>
      <c r="AL18" s="74">
        <f t="shared" si="20"/>
        <v>112505.87</v>
      </c>
      <c r="AM18" s="110"/>
      <c r="AN18" s="110"/>
      <c r="AO18" s="110"/>
      <c r="AP18" s="110"/>
      <c r="AQ18" s="110"/>
      <c r="AR18" s="45"/>
      <c r="AS18" s="45"/>
      <c r="AT18" s="118"/>
    </row>
    <row r="21" spans="30:30">
      <c r="AD21" s="101"/>
    </row>
    <row r="22" ht="18.75" customHeight="1" spans="2:30">
      <c r="B22" s="47" t="s">
        <v>133</v>
      </c>
      <c r="C22" s="47" t="s">
        <v>190</v>
      </c>
      <c r="D22" s="47" t="s">
        <v>22</v>
      </c>
      <c r="E22" s="47" t="s">
        <v>23</v>
      </c>
      <c r="AD22" s="10"/>
    </row>
    <row r="23" ht="18.75" customHeight="1" spans="2:5">
      <c r="B23" s="48">
        <f>AJ18</f>
        <v>106427.73</v>
      </c>
      <c r="C23" s="48">
        <f>AG18</f>
        <v>6078.14</v>
      </c>
      <c r="D23" s="48">
        <f>AK18</f>
        <v>0</v>
      </c>
      <c r="E23" s="48">
        <f>B23+C23+D23</f>
        <v>112505.87</v>
      </c>
    </row>
    <row r="24" spans="2:5">
      <c r="B24" s="49"/>
      <c r="C24" s="49"/>
      <c r="D24" s="49"/>
      <c r="E24" s="49"/>
    </row>
    <row r="25" s="14" customFormat="1" spans="1:35">
      <c r="A25" s="51" t="s">
        <v>191</v>
      </c>
      <c r="B25" s="52" t="s">
        <v>192</v>
      </c>
      <c r="C25" s="50"/>
      <c r="D25" s="50"/>
      <c r="E25" s="50"/>
      <c r="G25" s="53"/>
      <c r="J25" s="75"/>
      <c r="M25" s="76"/>
      <c r="AI25" s="112"/>
    </row>
    <row r="26" s="14" customFormat="1" spans="1:35">
      <c r="A26" s="54"/>
      <c r="B26" s="55" t="s">
        <v>193</v>
      </c>
      <c r="C26" s="50"/>
      <c r="D26" s="50"/>
      <c r="E26" s="50"/>
      <c r="G26" s="53"/>
      <c r="J26" s="75"/>
      <c r="M26" s="76"/>
      <c r="AI26" s="112"/>
    </row>
    <row r="27" s="14" customFormat="1" spans="1:35">
      <c r="A27" s="52"/>
      <c r="B27" s="55" t="s">
        <v>194</v>
      </c>
      <c r="C27" s="56"/>
      <c r="D27" s="56"/>
      <c r="E27" s="56"/>
      <c r="F27" s="56"/>
      <c r="G27" s="56"/>
      <c r="H27" s="56"/>
      <c r="I27" s="56"/>
      <c r="J27" s="77"/>
      <c r="K27" s="56"/>
      <c r="L27" s="56"/>
      <c r="M27" s="78"/>
      <c r="N27" s="56"/>
      <c r="O27" s="56"/>
      <c r="P27" s="56"/>
      <c r="AI27" s="112"/>
    </row>
    <row r="28" s="14" customFormat="1" customHeight="1" spans="1:35">
      <c r="A28" s="55"/>
      <c r="B28" s="55" t="s">
        <v>195</v>
      </c>
      <c r="C28" s="57"/>
      <c r="D28" s="57"/>
      <c r="E28" s="57"/>
      <c r="F28" s="57"/>
      <c r="G28" s="57"/>
      <c r="H28" s="57"/>
      <c r="I28" s="79"/>
      <c r="J28" s="80"/>
      <c r="K28" s="79"/>
      <c r="L28" s="79"/>
      <c r="M28" s="81"/>
      <c r="N28" s="79"/>
      <c r="O28" s="79"/>
      <c r="P28" s="79"/>
      <c r="AI28" s="112"/>
    </row>
    <row r="29" s="14" customFormat="1" customHeight="1" spans="1:35">
      <c r="A29" s="55"/>
      <c r="B29" s="55" t="s">
        <v>196</v>
      </c>
      <c r="C29" s="57"/>
      <c r="D29" s="57"/>
      <c r="E29" s="57"/>
      <c r="F29" s="57"/>
      <c r="G29" s="57"/>
      <c r="H29" s="57"/>
      <c r="I29" s="57"/>
      <c r="J29" s="82"/>
      <c r="K29" s="57"/>
      <c r="L29" s="79"/>
      <c r="M29" s="81"/>
      <c r="N29" s="79"/>
      <c r="O29" s="79"/>
      <c r="P29" s="79"/>
      <c r="AI29" s="112"/>
    </row>
    <row r="30" s="14" customFormat="1" customHeight="1" spans="1:35">
      <c r="A30" s="55"/>
      <c r="B30" s="55" t="s">
        <v>197</v>
      </c>
      <c r="C30" s="57"/>
      <c r="D30" s="57"/>
      <c r="E30" s="57"/>
      <c r="F30" s="57"/>
      <c r="G30" s="57"/>
      <c r="H30" s="57"/>
      <c r="I30" s="79"/>
      <c r="J30" s="80"/>
      <c r="K30" s="79"/>
      <c r="L30" s="79"/>
      <c r="M30" s="81"/>
      <c r="N30" s="79"/>
      <c r="O30" s="79"/>
      <c r="P30" s="79"/>
      <c r="AI30" s="112"/>
    </row>
    <row r="32" ht="11.25" customHeight="1" spans="2:2">
      <c r="B32" s="58" t="s">
        <v>198</v>
      </c>
    </row>
    <row r="33" spans="2:2">
      <c r="B33" s="59" t="s">
        <v>199</v>
      </c>
    </row>
    <row r="34" spans="2:2">
      <c r="B34" s="59" t="s">
        <v>200</v>
      </c>
    </row>
  </sheetData>
  <autoFilter xmlns:etc="http://www.wps.cn/officeDocument/2017/etCustomData" ref="A3:AT18" etc:filterBottomFollowUsedRange="0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C17">
    <cfRule type="duplicateValues" dxfId="4" priority="1"/>
  </conditionalFormatting>
  <conditionalFormatting sqref="B30">
    <cfRule type="duplicateValues" dxfId="4" priority="3" stopIfTrue="1"/>
  </conditionalFormatting>
  <conditionalFormatting sqref="B25:B29">
    <cfRule type="duplicateValues" dxfId="4" priority="4" stopIfTrue="1"/>
  </conditionalFormatting>
  <conditionalFormatting sqref="B33:B34">
    <cfRule type="duplicateValues" dxfId="4" priority="2" stopIfTrue="1"/>
  </conditionalFormatting>
  <conditionalFormatting sqref="C22:C24">
    <cfRule type="duplicateValues" dxfId="4" priority="5" stopIfTrue="1"/>
    <cfRule type="expression" dxfId="5" priority="6" stopIfTrue="1">
      <formula>AND(COUNTIF($B$18:$B$65454,C22)+COUNTIF($B$1:$B$3,C22)&gt;1,NOT(ISBLANK(C22)))</formula>
    </cfRule>
    <cfRule type="expression" dxfId="5" priority="7" stopIfTrue="1">
      <formula>AND(COUNTIF($B$29:$B$65405,C22)+COUNTIF($B$1:$B$28,C22)&gt;1,NOT(ISBLANK(C22)))</formula>
    </cfRule>
    <cfRule type="expression" dxfId="5" priority="8" stopIfTrue="1">
      <formula>AND(COUNTIF($B$18:$B$65443,C22)+COUNTIF($B$1:$B$3,C22)&gt;1,NOT(ISBLANK(C22)))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tabColor rgb="FF00B050"/>
    <pageSetUpPr fitToPage="1"/>
  </sheetPr>
  <dimension ref="A1:AV34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16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3.3666666666667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hidden="1" customWidth="1"/>
    <col min="41" max="41" width="19" style="15" hidden="1" customWidth="1"/>
    <col min="42" max="42" width="12.2666666666667" style="15" hidden="1" customWidth="1"/>
    <col min="43" max="43" width="9" style="15" hidden="1" customWidth="1"/>
    <col min="44" max="44" width="7" style="15" hidden="1" customWidth="1"/>
    <col min="45" max="45" width="6.725" style="15" hidden="1" customWidth="1"/>
    <col min="46" max="46" width="6.09166666666667" style="15" hidden="1" customWidth="1"/>
    <col min="47" max="16384" width="9" style="15"/>
  </cols>
  <sheetData>
    <row r="1" s="10" customFormat="1" ht="29.25" customHeight="1" spans="1:45">
      <c r="A1" s="20" t="s">
        <v>105</v>
      </c>
      <c r="B1" s="21"/>
      <c r="C1" s="22"/>
      <c r="D1" s="23"/>
      <c r="E1" s="24"/>
      <c r="F1" s="24"/>
      <c r="G1" s="25"/>
      <c r="J1" s="60"/>
      <c r="L1" s="61"/>
      <c r="M1" s="62" t="s">
        <v>106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107</v>
      </c>
      <c r="C2" s="28" t="s">
        <v>108</v>
      </c>
      <c r="D2" s="28" t="s">
        <v>109</v>
      </c>
      <c r="E2" s="29" t="s">
        <v>110</v>
      </c>
      <c r="F2" s="30" t="s">
        <v>111</v>
      </c>
      <c r="G2" s="29" t="s">
        <v>112</v>
      </c>
      <c r="H2" s="29" t="s">
        <v>113</v>
      </c>
      <c r="I2" s="29" t="s">
        <v>114</v>
      </c>
      <c r="J2" s="63" t="s">
        <v>115</v>
      </c>
      <c r="K2" s="29" t="s">
        <v>116</v>
      </c>
      <c r="L2" s="29" t="s">
        <v>117</v>
      </c>
      <c r="M2" s="64" t="s">
        <v>118</v>
      </c>
      <c r="N2" s="65"/>
      <c r="O2" s="65"/>
      <c r="P2" s="66"/>
      <c r="Q2" s="30" t="s">
        <v>119</v>
      </c>
      <c r="R2" s="29" t="s">
        <v>120</v>
      </c>
      <c r="S2" s="30" t="s">
        <v>121</v>
      </c>
      <c r="T2" s="84" t="s">
        <v>122</v>
      </c>
      <c r="U2" s="30" t="s">
        <v>123</v>
      </c>
      <c r="V2" s="85" t="s">
        <v>124</v>
      </c>
      <c r="W2" s="86"/>
      <c r="X2" s="86"/>
      <c r="Y2" s="86"/>
      <c r="Z2" s="86"/>
      <c r="AA2" s="94"/>
      <c r="AB2" s="30" t="s">
        <v>125</v>
      </c>
      <c r="AC2" s="30" t="s">
        <v>126</v>
      </c>
      <c r="AD2" s="84" t="s">
        <v>127</v>
      </c>
      <c r="AE2" s="84" t="s">
        <v>128</v>
      </c>
      <c r="AF2" s="84" t="s">
        <v>129</v>
      </c>
      <c r="AG2" s="84" t="s">
        <v>130</v>
      </c>
      <c r="AH2" s="103" t="s">
        <v>131</v>
      </c>
      <c r="AI2" s="104" t="s">
        <v>132</v>
      </c>
      <c r="AJ2" s="103" t="s">
        <v>133</v>
      </c>
      <c r="AK2" s="28" t="s">
        <v>22</v>
      </c>
      <c r="AL2" s="103" t="s">
        <v>134</v>
      </c>
      <c r="AM2" s="29" t="s">
        <v>201</v>
      </c>
      <c r="AN2" s="29" t="s">
        <v>202</v>
      </c>
      <c r="AO2" s="114" t="s">
        <v>203</v>
      </c>
      <c r="AP2" s="29" t="s">
        <v>204</v>
      </c>
      <c r="AQ2" s="29" t="s">
        <v>205</v>
      </c>
      <c r="AR2" s="30" t="s">
        <v>206</v>
      </c>
      <c r="AS2" s="30" t="s">
        <v>207</v>
      </c>
      <c r="AT2" s="30" t="s">
        <v>208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135</v>
      </c>
      <c r="N3" s="68" t="s">
        <v>136</v>
      </c>
      <c r="O3" s="68" t="s">
        <v>137</v>
      </c>
      <c r="P3" s="68" t="s">
        <v>37</v>
      </c>
      <c r="Q3" s="35"/>
      <c r="R3" s="34"/>
      <c r="S3" s="35"/>
      <c r="T3" s="87"/>
      <c r="U3" s="35"/>
      <c r="V3" s="88" t="s">
        <v>138</v>
      </c>
      <c r="W3" s="88" t="s">
        <v>139</v>
      </c>
      <c r="X3" s="88" t="s">
        <v>140</v>
      </c>
      <c r="Y3" s="88" t="s">
        <v>141</v>
      </c>
      <c r="Z3" s="88" t="s">
        <v>142</v>
      </c>
      <c r="AA3" s="88" t="s">
        <v>143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8">
      <c r="A4" s="36">
        <v>1</v>
      </c>
      <c r="B4" s="37" t="s">
        <v>144</v>
      </c>
      <c r="C4" s="37" t="s">
        <v>61</v>
      </c>
      <c r="D4" s="37" t="s">
        <v>145</v>
      </c>
      <c r="E4" s="37" t="s">
        <v>62</v>
      </c>
      <c r="F4" s="38" t="s">
        <v>146</v>
      </c>
      <c r="G4" s="39">
        <v>13944441728</v>
      </c>
      <c r="H4" s="40"/>
      <c r="I4" s="40"/>
      <c r="J4" s="69"/>
      <c r="K4" s="40"/>
      <c r="L4" s="70">
        <v>8000</v>
      </c>
      <c r="M4" s="71">
        <v>344.57</v>
      </c>
      <c r="N4" s="71">
        <v>86.14</v>
      </c>
      <c r="O4" s="71">
        <v>12.92</v>
      </c>
      <c r="P4" s="71">
        <v>177.4</v>
      </c>
      <c r="Q4" s="89">
        <f t="shared" ref="Q4:Q16" si="0">ROUND(SUM(M4:P4),2)</f>
        <v>621.03</v>
      </c>
      <c r="R4" s="70">
        <v>0</v>
      </c>
      <c r="S4" s="90">
        <f>L4+IFERROR(VLOOKUP($E:$E,'（居民）工资表-10月'!$E:$S,15,0),0)</f>
        <v>80000</v>
      </c>
      <c r="T4" s="91">
        <f>5000+IFERROR(VLOOKUP($E:$E,'（居民）工资表-10月'!$E:$T,16,0),0)</f>
        <v>50000</v>
      </c>
      <c r="U4" s="91">
        <f>Q4+IFERROR(VLOOKUP($E:$E,'（居民）工资表-10月'!$E:$U,17,0),0)</f>
        <v>6100.44</v>
      </c>
      <c r="V4" s="70"/>
      <c r="W4" s="70"/>
      <c r="X4" s="70"/>
      <c r="Y4" s="70"/>
      <c r="Z4" s="70"/>
      <c r="AA4" s="70"/>
      <c r="AB4" s="90">
        <f t="shared" ref="AB4:AB16" si="1">ROUND(SUM(V4:AA4),2)</f>
        <v>0</v>
      </c>
      <c r="AC4" s="90">
        <f>R4+IFERROR(VLOOKUP($E:$E,'（居民）工资表-10月'!$E:$AC,25,0),0)</f>
        <v>0</v>
      </c>
      <c r="AD4" s="95">
        <f t="shared" ref="AD4:AD16" si="2">ROUND(S4-T4-U4-AB4-AC4,2)</f>
        <v>23899.56</v>
      </c>
      <c r="AE4" s="96">
        <f>ROUND(MAX((AD4)*{0.03;0.1;0.2;0.25;0.3;0.35;0.45}-{0;2520;16920;31920;52920;85920;181920},0),2)</f>
        <v>716.99</v>
      </c>
      <c r="AF4" s="97">
        <f>IFERROR(VLOOKUP(E:E,'（居民）工资表-10月'!E:AF,28,0)+VLOOKUP(E:E,'（居民）工资表-10月'!E:AG,29,0),0)</f>
        <v>574.25</v>
      </c>
      <c r="AG4" s="97">
        <f>IF((AE4-AF4)&lt;0,0,AE4-AF4)</f>
        <v>142.74</v>
      </c>
      <c r="AH4" s="107">
        <f t="shared" ref="AH4:AH16" si="3">ROUND(IF((L4-Q4-AG4)&lt;0,0,(L4-Q4-AG4)),2)</f>
        <v>7236.23</v>
      </c>
      <c r="AI4" s="108"/>
      <c r="AJ4" s="107">
        <f t="shared" ref="AJ4:AJ16" si="4">AH4+AI4</f>
        <v>7236.23</v>
      </c>
      <c r="AK4" s="109"/>
      <c r="AL4" s="107">
        <f t="shared" ref="AL4:AL16" si="5">AJ4+AG4+AK4</f>
        <v>7378.97</v>
      </c>
      <c r="AM4" s="109"/>
      <c r="AN4" s="109"/>
      <c r="AO4" s="109"/>
      <c r="AP4" s="109"/>
      <c r="AQ4" s="109"/>
      <c r="AR4" s="116" t="str">
        <f t="shared" ref="AR4:AR16" si="6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 t="shared" ref="AS4:AS12" si="7">IF(SUMPRODUCT(N(E$1:E$6=E4))&gt;1,"重复","不")</f>
        <v>不</v>
      </c>
      <c r="AT4" s="116" t="str">
        <f t="shared" ref="AT4:AT12" si="8">IF(SUMPRODUCT(N(AO$1:AO$6=AO4))&gt;1,"重复","不")</f>
        <v>重复</v>
      </c>
      <c r="AU4" s="11"/>
      <c r="AV4" s="11"/>
    </row>
    <row r="5" s="12" customFormat="1" ht="18" customHeight="1" spans="1:48">
      <c r="A5" s="36">
        <v>2</v>
      </c>
      <c r="B5" s="37" t="s">
        <v>144</v>
      </c>
      <c r="C5" s="37" t="s">
        <v>148</v>
      </c>
      <c r="D5" s="37" t="s">
        <v>145</v>
      </c>
      <c r="E5" s="329" t="s">
        <v>149</v>
      </c>
      <c r="F5" s="38" t="s">
        <v>150</v>
      </c>
      <c r="G5" s="39">
        <v>15360550807</v>
      </c>
      <c r="H5" s="40"/>
      <c r="I5" s="40"/>
      <c r="J5" s="69"/>
      <c r="K5" s="40"/>
      <c r="L5" s="70">
        <v>6100</v>
      </c>
      <c r="M5" s="71">
        <v>422.72</v>
      </c>
      <c r="N5" s="71">
        <v>119.92</v>
      </c>
      <c r="O5" s="71">
        <v>4.6</v>
      </c>
      <c r="P5" s="71">
        <v>115</v>
      </c>
      <c r="Q5" s="89">
        <f t="shared" si="0"/>
        <v>662.24</v>
      </c>
      <c r="R5" s="70">
        <v>0</v>
      </c>
      <c r="S5" s="90">
        <f>L5+IFERROR(VLOOKUP($E:$E,'（居民）工资表-10月'!$E:$S,15,0),0)</f>
        <v>60320</v>
      </c>
      <c r="T5" s="91">
        <f>5000+IFERROR(VLOOKUP($E:$E,'（居民）工资表-10月'!$E:$T,16,0),0)</f>
        <v>50000</v>
      </c>
      <c r="U5" s="91">
        <f>Q5+IFERROR(VLOOKUP($E:$E,'（居民）工资表-10月'!$E:$U,17,0),0)</f>
        <v>6792.32</v>
      </c>
      <c r="V5" s="70"/>
      <c r="W5" s="70"/>
      <c r="X5" s="70"/>
      <c r="Y5" s="70"/>
      <c r="Z5" s="70"/>
      <c r="AA5" s="70"/>
      <c r="AB5" s="90">
        <f t="shared" si="1"/>
        <v>0</v>
      </c>
      <c r="AC5" s="90">
        <f>R5+IFERROR(VLOOKUP($E:$E,'（居民）工资表-10月'!$E:$AC,25,0),0)</f>
        <v>0</v>
      </c>
      <c r="AD5" s="95">
        <f t="shared" si="2"/>
        <v>3527.68</v>
      </c>
      <c r="AE5" s="96">
        <f>ROUND(MAX((AD5)*{0.03;0.1;0.2;0.25;0.3;0.35;0.45}-{0;2520;16920;31920;52920;85920;181920},0),2)</f>
        <v>105.83</v>
      </c>
      <c r="AF5" s="97">
        <f>IFERROR(VLOOKUP(E:E,'（居民）工资表-10月'!E:AF,28,0)+VLOOKUP(E:E,'（居民）工资表-10月'!E:AG,29,0),0)</f>
        <v>92.7</v>
      </c>
      <c r="AG5" s="97">
        <f t="shared" ref="AG5:AG16" si="9">IF((AE5-AF5)&lt;0,0,AE5-AF5)</f>
        <v>13.13</v>
      </c>
      <c r="AH5" s="107">
        <f t="shared" si="3"/>
        <v>5424.63</v>
      </c>
      <c r="AI5" s="108"/>
      <c r="AJ5" s="107">
        <f t="shared" si="4"/>
        <v>5424.63</v>
      </c>
      <c r="AK5" s="109"/>
      <c r="AL5" s="107">
        <f t="shared" si="5"/>
        <v>5437.76</v>
      </c>
      <c r="AM5" s="109"/>
      <c r="AN5" s="109"/>
      <c r="AO5" s="109"/>
      <c r="AP5" s="109"/>
      <c r="AQ5" s="109"/>
      <c r="AR5" s="116" t="str">
        <f t="shared" si="6"/>
        <v>正确</v>
      </c>
      <c r="AS5" s="116" t="str">
        <f t="shared" si="7"/>
        <v>不</v>
      </c>
      <c r="AT5" s="116" t="str">
        <f t="shared" si="8"/>
        <v>重复</v>
      </c>
      <c r="AU5" s="11"/>
      <c r="AV5" s="11"/>
    </row>
    <row r="6" s="12" customFormat="1" ht="18" customHeight="1" spans="1:48">
      <c r="A6" s="36">
        <v>3</v>
      </c>
      <c r="B6" s="37" t="s">
        <v>144</v>
      </c>
      <c r="C6" s="37" t="s">
        <v>151</v>
      </c>
      <c r="D6" s="37" t="s">
        <v>145</v>
      </c>
      <c r="E6" s="329" t="s">
        <v>152</v>
      </c>
      <c r="F6" s="38" t="s">
        <v>146</v>
      </c>
      <c r="G6" s="39" t="s">
        <v>153</v>
      </c>
      <c r="H6" s="40"/>
      <c r="I6" s="40"/>
      <c r="J6" s="69"/>
      <c r="K6" s="40"/>
      <c r="L6" s="70">
        <v>30060</v>
      </c>
      <c r="M6" s="71">
        <v>590.72</v>
      </c>
      <c r="N6" s="71">
        <v>147.68</v>
      </c>
      <c r="O6" s="71">
        <v>36.92</v>
      </c>
      <c r="P6" s="71">
        <v>188</v>
      </c>
      <c r="Q6" s="89">
        <f t="shared" si="0"/>
        <v>963.32</v>
      </c>
      <c r="R6" s="70">
        <v>0</v>
      </c>
      <c r="S6" s="90">
        <f>L6+IFERROR(VLOOKUP($E:$E,'（居民）工资表-10月'!$E:$S,15,0),0)</f>
        <v>300600</v>
      </c>
      <c r="T6" s="91">
        <f>5000+IFERROR(VLOOKUP($E:$E,'（居民）工资表-10月'!$E:$T,16,0),0)</f>
        <v>50000</v>
      </c>
      <c r="U6" s="91">
        <f>Q6+IFERROR(VLOOKUP($E:$E,'（居民）工资表-10月'!$E:$U,17,0),0)</f>
        <v>9588.89</v>
      </c>
      <c r="V6" s="70"/>
      <c r="W6" s="70"/>
      <c r="X6" s="70"/>
      <c r="Y6" s="70"/>
      <c r="Z6" s="70"/>
      <c r="AA6" s="70"/>
      <c r="AB6" s="90">
        <f t="shared" si="1"/>
        <v>0</v>
      </c>
      <c r="AC6" s="90">
        <f>R6+IFERROR(VLOOKUP($E:$E,'（居民）工资表-10月'!$E:$AC,25,0),0)</f>
        <v>0</v>
      </c>
      <c r="AD6" s="95">
        <f t="shared" si="2"/>
        <v>241011.11</v>
      </c>
      <c r="AE6" s="96">
        <f>ROUND(MAX((AD6)*{0.03;0.1;0.2;0.25;0.3;0.35;0.45}-{0;2520;16920;31920;52920;85920;181920},0),2)</f>
        <v>31282.22</v>
      </c>
      <c r="AF6" s="97">
        <f>IFERROR(VLOOKUP(E:E,'（居民）工资表-10月'!E:AF,28,0)+VLOOKUP(E:E,'（居民）工资表-10月'!E:AG,29,0),0)</f>
        <v>26462.89</v>
      </c>
      <c r="AG6" s="97">
        <f t="shared" si="9"/>
        <v>4819.33</v>
      </c>
      <c r="AH6" s="107">
        <f t="shared" si="3"/>
        <v>24277.35</v>
      </c>
      <c r="AI6" s="108"/>
      <c r="AJ6" s="107">
        <f t="shared" si="4"/>
        <v>24277.35</v>
      </c>
      <c r="AK6" s="109"/>
      <c r="AL6" s="107">
        <f t="shared" si="5"/>
        <v>29096.68</v>
      </c>
      <c r="AM6" s="109"/>
      <c r="AN6" s="109"/>
      <c r="AO6" s="109"/>
      <c r="AP6" s="109"/>
      <c r="AQ6" s="109"/>
      <c r="AR6" s="116" t="str">
        <f t="shared" si="6"/>
        <v>正确</v>
      </c>
      <c r="AS6" s="116" t="str">
        <f t="shared" si="7"/>
        <v>不</v>
      </c>
      <c r="AT6" s="116" t="str">
        <f t="shared" si="8"/>
        <v>重复</v>
      </c>
      <c r="AU6" s="11"/>
      <c r="AV6" s="11"/>
    </row>
    <row r="7" s="12" customFormat="1" ht="19" customHeight="1" spans="1:48">
      <c r="A7" s="36">
        <v>4</v>
      </c>
      <c r="B7" s="37" t="s">
        <v>144</v>
      </c>
      <c r="C7" s="37" t="s">
        <v>156</v>
      </c>
      <c r="D7" s="37" t="s">
        <v>145</v>
      </c>
      <c r="E7" s="329" t="s">
        <v>157</v>
      </c>
      <c r="F7" s="38" t="s">
        <v>146</v>
      </c>
      <c r="G7" s="39" t="s">
        <v>158</v>
      </c>
      <c r="H7" s="40"/>
      <c r="I7" s="40"/>
      <c r="J7" s="69"/>
      <c r="K7" s="40"/>
      <c r="L7" s="70">
        <v>9000</v>
      </c>
      <c r="M7" s="71">
        <v>338.16</v>
      </c>
      <c r="N7" s="71">
        <v>93.7</v>
      </c>
      <c r="O7" s="71">
        <v>21.14</v>
      </c>
      <c r="P7" s="71">
        <v>97</v>
      </c>
      <c r="Q7" s="89">
        <f t="shared" si="0"/>
        <v>550</v>
      </c>
      <c r="R7" s="70">
        <v>0</v>
      </c>
      <c r="S7" s="90">
        <f>L7+IFERROR(VLOOKUP($E:$E,'（居民）工资表-10月'!$E:$S,15,0),0)</f>
        <v>92000</v>
      </c>
      <c r="T7" s="91">
        <f>5000+IFERROR(VLOOKUP($E:$E,'（居民）工资表-10月'!$E:$T,16,0),0)</f>
        <v>50000</v>
      </c>
      <c r="U7" s="91">
        <f>Q7+IFERROR(VLOOKUP($E:$E,'（居民）工资表-10月'!$E:$U,17,0),0)</f>
        <v>5589.16</v>
      </c>
      <c r="V7" s="70"/>
      <c r="W7" s="70"/>
      <c r="X7" s="70"/>
      <c r="Y7" s="70"/>
      <c r="Z7" s="70"/>
      <c r="AA7" s="70"/>
      <c r="AB7" s="90">
        <f t="shared" si="1"/>
        <v>0</v>
      </c>
      <c r="AC7" s="90">
        <f>R7+IFERROR(VLOOKUP($E:$E,'（居民）工资表-10月'!$E:$AC,25,0),0)</f>
        <v>0</v>
      </c>
      <c r="AD7" s="95">
        <f t="shared" si="2"/>
        <v>36410.84</v>
      </c>
      <c r="AE7" s="96">
        <f>ROUND(MAX((AD7)*{0.03;0.1;0.2;0.25;0.3;0.35;0.45}-{0;2520;16920;31920;52920;85920;181920},0),2)</f>
        <v>1121.08</v>
      </c>
      <c r="AF7" s="97">
        <f>IFERROR(VLOOKUP(E:E,'（居民）工资表-10月'!E:AF,28,0)+VLOOKUP(E:E,'（居民）工资表-10月'!E:AG,29,0),0)</f>
        <v>988.83</v>
      </c>
      <c r="AG7" s="97">
        <f t="shared" si="9"/>
        <v>132.25</v>
      </c>
      <c r="AH7" s="107">
        <f t="shared" si="3"/>
        <v>8317.75</v>
      </c>
      <c r="AI7" s="108"/>
      <c r="AJ7" s="107">
        <f t="shared" si="4"/>
        <v>8317.75</v>
      </c>
      <c r="AK7" s="109"/>
      <c r="AL7" s="107">
        <f t="shared" si="5"/>
        <v>8450</v>
      </c>
      <c r="AM7" s="109"/>
      <c r="AN7" s="109"/>
      <c r="AO7" s="109"/>
      <c r="AP7" s="109"/>
      <c r="AQ7" s="109"/>
      <c r="AR7" s="116" t="str">
        <f t="shared" si="6"/>
        <v>正确</v>
      </c>
      <c r="AS7" s="116" t="str">
        <f t="shared" si="7"/>
        <v>不</v>
      </c>
      <c r="AT7" s="116" t="str">
        <f t="shared" si="8"/>
        <v>重复</v>
      </c>
      <c r="AU7" s="11"/>
      <c r="AV7" s="11"/>
    </row>
    <row r="8" s="12" customFormat="1" ht="19" customHeight="1" spans="1:48">
      <c r="A8" s="36">
        <v>5</v>
      </c>
      <c r="B8" s="37" t="s">
        <v>144</v>
      </c>
      <c r="C8" s="37" t="s">
        <v>160</v>
      </c>
      <c r="D8" s="37" t="s">
        <v>145</v>
      </c>
      <c r="E8" s="329" t="s">
        <v>161</v>
      </c>
      <c r="F8" s="38" t="s">
        <v>146</v>
      </c>
      <c r="G8" s="39">
        <v>19356875630</v>
      </c>
      <c r="H8" s="40"/>
      <c r="I8" s="40"/>
      <c r="J8" s="69"/>
      <c r="K8" s="40"/>
      <c r="L8" s="70">
        <v>10500</v>
      </c>
      <c r="M8" s="71">
        <v>338.16</v>
      </c>
      <c r="N8" s="71">
        <v>90.54</v>
      </c>
      <c r="O8" s="71">
        <v>21.14</v>
      </c>
      <c r="P8" s="71">
        <v>344</v>
      </c>
      <c r="Q8" s="89">
        <f t="shared" si="0"/>
        <v>793.84</v>
      </c>
      <c r="R8" s="70">
        <v>0</v>
      </c>
      <c r="S8" s="90">
        <f>L8+IFERROR(VLOOKUP($E:$E,'（居民）工资表-10月'!$E:$S,15,0),0)</f>
        <v>108000</v>
      </c>
      <c r="T8" s="91">
        <f>5000+IFERROR(VLOOKUP($E:$E,'（居民）工资表-10月'!$E:$T,16,0),0)</f>
        <v>50000</v>
      </c>
      <c r="U8" s="91">
        <f>Q8+IFERROR(VLOOKUP($E:$E,'（居民）工资表-10月'!$E:$U,17,0),0)</f>
        <v>8025.76</v>
      </c>
      <c r="V8" s="70"/>
      <c r="W8" s="70"/>
      <c r="X8" s="70"/>
      <c r="Y8" s="70"/>
      <c r="Z8" s="70"/>
      <c r="AA8" s="70"/>
      <c r="AB8" s="90">
        <f t="shared" si="1"/>
        <v>0</v>
      </c>
      <c r="AC8" s="90">
        <f>R8+IFERROR(VLOOKUP($E:$E,'（居民）工资表-10月'!$E:$AC,25,0),0)</f>
        <v>0</v>
      </c>
      <c r="AD8" s="95">
        <f t="shared" si="2"/>
        <v>49974.24</v>
      </c>
      <c r="AE8" s="96">
        <f>ROUND(MAX((AD8)*{0.03;0.1;0.2;0.25;0.3;0.35;0.45}-{0;2520;16920;31920;52920;85920;181920},0),2)</f>
        <v>2477.42</v>
      </c>
      <c r="AF8" s="97">
        <f>IFERROR(VLOOKUP(E:E,'（居民）工资表-10月'!E:AF,28,0)+VLOOKUP(E:E,'（居民）工资表-10月'!E:AG,29,0),0)</f>
        <v>2006.81</v>
      </c>
      <c r="AG8" s="97">
        <f t="shared" si="9"/>
        <v>470.61</v>
      </c>
      <c r="AH8" s="107">
        <f t="shared" si="3"/>
        <v>9235.55</v>
      </c>
      <c r="AI8" s="108"/>
      <c r="AJ8" s="107">
        <f t="shared" si="4"/>
        <v>9235.55</v>
      </c>
      <c r="AK8" s="109"/>
      <c r="AL8" s="107">
        <f t="shared" si="5"/>
        <v>9706.16</v>
      </c>
      <c r="AM8" s="109"/>
      <c r="AN8" s="109"/>
      <c r="AO8" s="109"/>
      <c r="AP8" s="109"/>
      <c r="AQ8" s="109"/>
      <c r="AR8" s="116" t="str">
        <f t="shared" si="6"/>
        <v>正确</v>
      </c>
      <c r="AS8" s="116" t="str">
        <f t="shared" si="7"/>
        <v>不</v>
      </c>
      <c r="AT8" s="116" t="str">
        <f t="shared" si="8"/>
        <v>重复</v>
      </c>
      <c r="AU8" s="11"/>
      <c r="AV8" s="11"/>
    </row>
    <row r="9" s="12" customFormat="1" ht="19" customHeight="1" spans="1:48">
      <c r="A9" s="36">
        <v>6</v>
      </c>
      <c r="B9" s="37" t="s">
        <v>144</v>
      </c>
      <c r="C9" s="37" t="s">
        <v>162</v>
      </c>
      <c r="D9" s="37" t="s">
        <v>145</v>
      </c>
      <c r="E9" s="329" t="s">
        <v>163</v>
      </c>
      <c r="F9" s="38" t="s">
        <v>146</v>
      </c>
      <c r="G9" s="39">
        <v>13973652684</v>
      </c>
      <c r="H9" s="40"/>
      <c r="I9" s="40"/>
      <c r="J9" s="69"/>
      <c r="K9" s="40"/>
      <c r="L9" s="70">
        <v>6500</v>
      </c>
      <c r="M9" s="71">
        <v>299.28</v>
      </c>
      <c r="N9" s="71">
        <v>95.54</v>
      </c>
      <c r="O9" s="71">
        <v>11.22</v>
      </c>
      <c r="P9" s="71">
        <v>100</v>
      </c>
      <c r="Q9" s="89">
        <f t="shared" si="0"/>
        <v>506.04</v>
      </c>
      <c r="R9" s="70">
        <v>0</v>
      </c>
      <c r="S9" s="90">
        <f>L9+IFERROR(VLOOKUP($E:$E,'（居民）工资表-10月'!$E:$S,15,0),0)</f>
        <v>65000</v>
      </c>
      <c r="T9" s="91">
        <f>5000+IFERROR(VLOOKUP($E:$E,'（居民）工资表-10月'!$E:$T,16,0),0)</f>
        <v>50000</v>
      </c>
      <c r="U9" s="91">
        <f>Q9+IFERROR(VLOOKUP($E:$E,'（居民）工资表-10月'!$E:$U,17,0),0)</f>
        <v>5361.91</v>
      </c>
      <c r="V9" s="70"/>
      <c r="W9" s="70"/>
      <c r="X9" s="70"/>
      <c r="Y9" s="70"/>
      <c r="Z9" s="70"/>
      <c r="AA9" s="70"/>
      <c r="AB9" s="90">
        <f t="shared" si="1"/>
        <v>0</v>
      </c>
      <c r="AC9" s="90">
        <f>R9+IFERROR(VLOOKUP($E:$E,'（居民）工资表-10月'!$E:$AC,25,0),0)</f>
        <v>0</v>
      </c>
      <c r="AD9" s="95">
        <f t="shared" si="2"/>
        <v>9638.09</v>
      </c>
      <c r="AE9" s="96">
        <f>ROUND(MAX((AD9)*{0.03;0.1;0.2;0.25;0.3;0.35;0.45}-{0;2520;16920;31920;52920;85920;181920},0),2)</f>
        <v>289.14</v>
      </c>
      <c r="AF9" s="97">
        <f>IFERROR(VLOOKUP(E:E,'（居民）工资表-10月'!E:AF,28,0)+VLOOKUP(E:E,'（居民）工资表-10月'!E:AG,29,0),0)</f>
        <v>259.32</v>
      </c>
      <c r="AG9" s="97">
        <f t="shared" si="9"/>
        <v>29.82</v>
      </c>
      <c r="AH9" s="107">
        <f t="shared" si="3"/>
        <v>5964.14</v>
      </c>
      <c r="AI9" s="108"/>
      <c r="AJ9" s="107">
        <f t="shared" si="4"/>
        <v>5964.14</v>
      </c>
      <c r="AK9" s="109"/>
      <c r="AL9" s="107">
        <f t="shared" si="5"/>
        <v>5993.96</v>
      </c>
      <c r="AM9" s="109"/>
      <c r="AN9" s="109"/>
      <c r="AO9" s="109"/>
      <c r="AP9" s="109"/>
      <c r="AQ9" s="109"/>
      <c r="AR9" s="116" t="str">
        <f t="shared" si="6"/>
        <v>正确</v>
      </c>
      <c r="AS9" s="116" t="str">
        <f t="shared" si="7"/>
        <v>不</v>
      </c>
      <c r="AT9" s="116" t="str">
        <f t="shared" si="8"/>
        <v>重复</v>
      </c>
      <c r="AU9" s="11"/>
      <c r="AV9" s="11"/>
    </row>
    <row r="10" s="12" customFormat="1" ht="19" customHeight="1" spans="1:48">
      <c r="A10" s="36">
        <v>7</v>
      </c>
      <c r="B10" s="37" t="s">
        <v>144</v>
      </c>
      <c r="C10" s="37" t="s">
        <v>165</v>
      </c>
      <c r="D10" s="37" t="s">
        <v>145</v>
      </c>
      <c r="E10" s="329" t="s">
        <v>166</v>
      </c>
      <c r="F10" s="38" t="s">
        <v>150</v>
      </c>
      <c r="G10" s="39" t="s">
        <v>167</v>
      </c>
      <c r="H10" s="40"/>
      <c r="I10" s="40"/>
      <c r="J10" s="69"/>
      <c r="K10" s="40"/>
      <c r="L10" s="70">
        <v>4447.97</v>
      </c>
      <c r="M10" s="71">
        <v>401.04</v>
      </c>
      <c r="N10" s="71">
        <v>122.26</v>
      </c>
      <c r="O10" s="71">
        <v>25.07</v>
      </c>
      <c r="P10" s="71">
        <v>116</v>
      </c>
      <c r="Q10" s="89">
        <f t="shared" si="0"/>
        <v>664.37</v>
      </c>
      <c r="R10" s="70">
        <v>0</v>
      </c>
      <c r="S10" s="90">
        <f>L10+IFERROR(VLOOKUP($E:$E,'（居民）工资表-10月'!$E:$S,15,0),0)</f>
        <v>44734.04</v>
      </c>
      <c r="T10" s="91">
        <f>5000+IFERROR(VLOOKUP($E:$E,'（居民）工资表-10月'!$E:$T,16,0),0)</f>
        <v>50000</v>
      </c>
      <c r="U10" s="91">
        <f>Q10+IFERROR(VLOOKUP($E:$E,'（居民）工资表-10月'!$E:$U,17,0),0)</f>
        <v>6512.66</v>
      </c>
      <c r="V10" s="70"/>
      <c r="W10" s="70"/>
      <c r="X10" s="70"/>
      <c r="Y10" s="70"/>
      <c r="Z10" s="70"/>
      <c r="AA10" s="70"/>
      <c r="AB10" s="90">
        <f t="shared" si="1"/>
        <v>0</v>
      </c>
      <c r="AC10" s="90">
        <f>R10+IFERROR(VLOOKUP($E:$E,'（居民）工资表-10月'!$E:$AC,25,0),0)</f>
        <v>0</v>
      </c>
      <c r="AD10" s="95">
        <f t="shared" si="2"/>
        <v>-11778.62</v>
      </c>
      <c r="AE10" s="96">
        <f>ROUND(MAX((AD10)*{0.03;0.1;0.2;0.25;0.3;0.35;0.45}-{0;2520;16920;31920;52920;85920;181920},0),2)</f>
        <v>0</v>
      </c>
      <c r="AF10" s="97">
        <f>IFERROR(VLOOKUP(E:E,'（居民）工资表-10月'!E:AF,28,0)+VLOOKUP(E:E,'（居民）工资表-10月'!E:AG,29,0),0)</f>
        <v>0</v>
      </c>
      <c r="AG10" s="97">
        <f t="shared" si="9"/>
        <v>0</v>
      </c>
      <c r="AH10" s="107">
        <f t="shared" si="3"/>
        <v>3783.6</v>
      </c>
      <c r="AI10" s="108"/>
      <c r="AJ10" s="107">
        <f t="shared" si="4"/>
        <v>3783.6</v>
      </c>
      <c r="AK10" s="109"/>
      <c r="AL10" s="107">
        <f t="shared" si="5"/>
        <v>3783.6</v>
      </c>
      <c r="AM10" s="109"/>
      <c r="AN10" s="109"/>
      <c r="AO10" s="109"/>
      <c r="AP10" s="109"/>
      <c r="AQ10" s="109"/>
      <c r="AR10" s="116" t="str">
        <f t="shared" si="6"/>
        <v>正确</v>
      </c>
      <c r="AS10" s="116" t="str">
        <f t="shared" si="7"/>
        <v>不</v>
      </c>
      <c r="AT10" s="116" t="str">
        <f t="shared" si="8"/>
        <v>重复</v>
      </c>
      <c r="AU10" s="11"/>
      <c r="AV10" s="11"/>
    </row>
    <row r="11" s="12" customFormat="1" ht="18" customHeight="1" spans="1:48">
      <c r="A11" s="36">
        <v>8</v>
      </c>
      <c r="B11" s="37" t="s">
        <v>144</v>
      </c>
      <c r="C11" s="37" t="s">
        <v>170</v>
      </c>
      <c r="D11" s="37" t="s">
        <v>145</v>
      </c>
      <c r="E11" s="329" t="s">
        <v>171</v>
      </c>
      <c r="F11" s="38" t="s">
        <v>146</v>
      </c>
      <c r="G11" s="39">
        <v>18356553626</v>
      </c>
      <c r="H11" s="40"/>
      <c r="I11" s="40"/>
      <c r="J11" s="69"/>
      <c r="K11" s="40"/>
      <c r="L11" s="70">
        <v>9000</v>
      </c>
      <c r="M11" s="71">
        <v>338.16</v>
      </c>
      <c r="N11" s="71">
        <v>124.54</v>
      </c>
      <c r="O11" s="71">
        <v>21.14</v>
      </c>
      <c r="P11" s="71">
        <v>97</v>
      </c>
      <c r="Q11" s="89">
        <f t="shared" si="0"/>
        <v>580.84</v>
      </c>
      <c r="R11" s="70">
        <v>0</v>
      </c>
      <c r="S11" s="90">
        <f>L11+IFERROR(VLOOKUP($E:$E,'（居民）工资表-10月'!$E:$S,15,0),0)</f>
        <v>89000</v>
      </c>
      <c r="T11" s="91">
        <f>5000+IFERROR(VLOOKUP($E:$E,'（居民）工资表-10月'!$E:$T,16,0),0)</f>
        <v>50000</v>
      </c>
      <c r="U11" s="91">
        <f>Q11+IFERROR(VLOOKUP($E:$E,'（居民）工资表-10月'!$E:$U,17,0),0)</f>
        <v>5895.76</v>
      </c>
      <c r="V11" s="70"/>
      <c r="W11" s="70"/>
      <c r="X11" s="70"/>
      <c r="Y11" s="70"/>
      <c r="Z11" s="70"/>
      <c r="AA11" s="70"/>
      <c r="AB11" s="90">
        <f t="shared" si="1"/>
        <v>0</v>
      </c>
      <c r="AC11" s="90">
        <f>R11+IFERROR(VLOOKUP($E:$E,'（居民）工资表-10月'!$E:$AC,25,0),0)</f>
        <v>0</v>
      </c>
      <c r="AD11" s="95">
        <f t="shared" si="2"/>
        <v>33104.24</v>
      </c>
      <c r="AE11" s="96">
        <f>ROUND(MAX((AD11)*{0.03;0.1;0.2;0.25;0.3;0.35;0.45}-{0;2520;16920;31920;52920;85920;181920},0),2)</f>
        <v>993.13</v>
      </c>
      <c r="AF11" s="97">
        <f>IFERROR(VLOOKUP(E:E,'（居民）工资表-10月'!E:AF,28,0)+VLOOKUP(E:E,'（居民）工资表-10月'!E:AG,29,0),0)</f>
        <v>890.55</v>
      </c>
      <c r="AG11" s="97">
        <f t="shared" si="9"/>
        <v>102.58</v>
      </c>
      <c r="AH11" s="107">
        <f t="shared" si="3"/>
        <v>8316.58</v>
      </c>
      <c r="AI11" s="108"/>
      <c r="AJ11" s="107">
        <f t="shared" si="4"/>
        <v>8316.58</v>
      </c>
      <c r="AK11" s="109"/>
      <c r="AL11" s="107">
        <f t="shared" si="5"/>
        <v>8419.16</v>
      </c>
      <c r="AM11" s="109"/>
      <c r="AN11" s="109"/>
      <c r="AO11" s="109"/>
      <c r="AP11" s="109"/>
      <c r="AQ11" s="109"/>
      <c r="AR11" s="116" t="str">
        <f t="shared" si="6"/>
        <v>正确</v>
      </c>
      <c r="AS11" s="116" t="str">
        <f t="shared" si="7"/>
        <v>不</v>
      </c>
      <c r="AT11" s="116" t="str">
        <f t="shared" si="8"/>
        <v>重复</v>
      </c>
      <c r="AU11" s="11"/>
      <c r="AV11" s="11"/>
    </row>
    <row r="12" s="12" customFormat="1" ht="18" customHeight="1" spans="1:48">
      <c r="A12" s="36">
        <v>9</v>
      </c>
      <c r="B12" s="37" t="s">
        <v>144</v>
      </c>
      <c r="C12" s="37" t="s">
        <v>174</v>
      </c>
      <c r="D12" s="37" t="s">
        <v>145</v>
      </c>
      <c r="E12" s="329" t="s">
        <v>175</v>
      </c>
      <c r="F12" s="38" t="s">
        <v>146</v>
      </c>
      <c r="G12" s="39">
        <v>18326897140</v>
      </c>
      <c r="H12" s="40"/>
      <c r="I12" s="40"/>
      <c r="J12" s="69"/>
      <c r="K12" s="40"/>
      <c r="L12" s="70">
        <v>7500</v>
      </c>
      <c r="M12" s="71">
        <v>338.16</v>
      </c>
      <c r="N12" s="71">
        <v>90.54</v>
      </c>
      <c r="O12" s="71">
        <v>21.14</v>
      </c>
      <c r="P12" s="71">
        <v>344</v>
      </c>
      <c r="Q12" s="89">
        <f t="shared" si="0"/>
        <v>793.84</v>
      </c>
      <c r="R12" s="70">
        <v>0</v>
      </c>
      <c r="S12" s="90">
        <f>L12+IFERROR(VLOOKUP($E:$E,'（居民）工资表-10月'!$E:$S,15,0),0)</f>
        <v>74000</v>
      </c>
      <c r="T12" s="91">
        <f>5000+IFERROR(VLOOKUP($E:$E,'（居民）工资表-10月'!$E:$T,16,0),0)</f>
        <v>50000</v>
      </c>
      <c r="U12" s="91">
        <f>Q12+IFERROR(VLOOKUP($E:$E,'（居民）工资表-10月'!$E:$U,17,0),0)</f>
        <v>8025.76</v>
      </c>
      <c r="V12" s="70"/>
      <c r="W12" s="70"/>
      <c r="X12" s="70"/>
      <c r="Y12" s="70"/>
      <c r="Z12" s="70"/>
      <c r="AA12" s="70"/>
      <c r="AB12" s="90">
        <f t="shared" si="1"/>
        <v>0</v>
      </c>
      <c r="AC12" s="90">
        <f>R12+IFERROR(VLOOKUP($E:$E,'（居民）工资表-10月'!$E:$AC,25,0),0)</f>
        <v>0</v>
      </c>
      <c r="AD12" s="95">
        <f t="shared" si="2"/>
        <v>15974.24</v>
      </c>
      <c r="AE12" s="96">
        <f>ROUND(MAX((AD12)*{0.03;0.1;0.2;0.25;0.3;0.35;0.45}-{0;2520;16920;31920;52920;85920;181920},0),2)</f>
        <v>479.23</v>
      </c>
      <c r="AF12" s="97">
        <f>IFERROR(VLOOKUP(E:E,'（居民）工资表-10月'!E:AF,28,0)+VLOOKUP(E:E,'（居民）工资表-10月'!E:AG,29,0),0)</f>
        <v>428.04</v>
      </c>
      <c r="AG12" s="97">
        <f t="shared" si="9"/>
        <v>51.19</v>
      </c>
      <c r="AH12" s="107">
        <f t="shared" si="3"/>
        <v>6654.97</v>
      </c>
      <c r="AI12" s="108"/>
      <c r="AJ12" s="107">
        <f t="shared" si="4"/>
        <v>6654.97</v>
      </c>
      <c r="AK12" s="109"/>
      <c r="AL12" s="107">
        <f t="shared" si="5"/>
        <v>6706.16</v>
      </c>
      <c r="AM12" s="109"/>
      <c r="AN12" s="109"/>
      <c r="AO12" s="109"/>
      <c r="AP12" s="109"/>
      <c r="AQ12" s="109"/>
      <c r="AR12" s="116" t="str">
        <f t="shared" si="6"/>
        <v>正确</v>
      </c>
      <c r="AS12" s="116" t="str">
        <f>IF(SUMPRODUCT(N(E$1:E$6=E12))&gt;1,"重复","不")</f>
        <v>不</v>
      </c>
      <c r="AT12" s="116" t="str">
        <f>IF(SUMPRODUCT(N(AO$1:AO$6=AO12))&gt;1,"重复","不")</f>
        <v>重复</v>
      </c>
      <c r="AU12" s="11"/>
      <c r="AV12" s="11"/>
    </row>
    <row r="13" s="12" customFormat="1" ht="18" customHeight="1" spans="1:48">
      <c r="A13" s="36">
        <v>10</v>
      </c>
      <c r="B13" s="37" t="s">
        <v>144</v>
      </c>
      <c r="C13" s="37" t="s">
        <v>176</v>
      </c>
      <c r="D13" s="37" t="s">
        <v>145</v>
      </c>
      <c r="E13" s="329" t="s">
        <v>177</v>
      </c>
      <c r="F13" s="38" t="s">
        <v>146</v>
      </c>
      <c r="G13" s="39">
        <v>17201857014</v>
      </c>
      <c r="H13" s="40"/>
      <c r="I13" s="40"/>
      <c r="J13" s="69"/>
      <c r="K13" s="40"/>
      <c r="L13" s="70">
        <v>8000</v>
      </c>
      <c r="M13" s="71">
        <v>338.16</v>
      </c>
      <c r="N13" s="71">
        <v>90.54</v>
      </c>
      <c r="O13" s="71">
        <v>21.14</v>
      </c>
      <c r="P13" s="71">
        <v>344</v>
      </c>
      <c r="Q13" s="89">
        <f t="shared" si="0"/>
        <v>793.84</v>
      </c>
      <c r="R13" s="70">
        <v>0</v>
      </c>
      <c r="S13" s="90">
        <f>L13+IFERROR(VLOOKUP($E:$E,'（居民）工资表-10月'!$E:$S,15,0),0)</f>
        <v>78000</v>
      </c>
      <c r="T13" s="91">
        <f>5000+IFERROR(VLOOKUP($E:$E,'（居民）工资表-10月'!$E:$T,16,0),0)</f>
        <v>50000</v>
      </c>
      <c r="U13" s="91">
        <f>Q13+IFERROR(VLOOKUP($E:$E,'（居民）工资表-10月'!$E:$U,17,0),0)</f>
        <v>8035.46</v>
      </c>
      <c r="V13" s="70"/>
      <c r="W13" s="70"/>
      <c r="X13" s="70"/>
      <c r="Y13" s="70"/>
      <c r="Z13" s="70"/>
      <c r="AA13" s="70"/>
      <c r="AB13" s="90">
        <f t="shared" si="1"/>
        <v>0</v>
      </c>
      <c r="AC13" s="90">
        <f>R13+IFERROR(VLOOKUP($E:$E,'（居民）工资表-10月'!$E:$AC,25,0),0)</f>
        <v>0</v>
      </c>
      <c r="AD13" s="95">
        <f t="shared" si="2"/>
        <v>19964.54</v>
      </c>
      <c r="AE13" s="96">
        <f>ROUND(MAX((AD13)*{0.03;0.1;0.2;0.25;0.3;0.35;0.45}-{0;2520;16920;31920;52920;85920;181920},0),2)</f>
        <v>598.94</v>
      </c>
      <c r="AF13" s="97">
        <f>IFERROR(VLOOKUP(E:E,'（居民）工资表-10月'!E:AF,28,0)+VLOOKUP(E:E,'（居民）工资表-10月'!E:AG,29,0),0)</f>
        <v>532.75</v>
      </c>
      <c r="AG13" s="97">
        <f t="shared" si="9"/>
        <v>66.1900000000001</v>
      </c>
      <c r="AH13" s="107">
        <f t="shared" si="3"/>
        <v>7139.97</v>
      </c>
      <c r="AI13" s="108"/>
      <c r="AJ13" s="107">
        <f t="shared" si="4"/>
        <v>7139.97</v>
      </c>
      <c r="AK13" s="109"/>
      <c r="AL13" s="107">
        <f t="shared" si="5"/>
        <v>7206.16</v>
      </c>
      <c r="AM13" s="109"/>
      <c r="AN13" s="109"/>
      <c r="AO13" s="109"/>
      <c r="AP13" s="109"/>
      <c r="AQ13" s="109"/>
      <c r="AR13" s="116" t="str">
        <f t="shared" si="6"/>
        <v>正确</v>
      </c>
      <c r="AS13" s="116" t="str">
        <f>IF(SUMPRODUCT(N(E$1:E$6=E13))&gt;1,"重复","不")</f>
        <v>不</v>
      </c>
      <c r="AT13" s="116" t="str">
        <f>IF(SUMPRODUCT(N(AO$1:AO$6=AO13))&gt;1,"重复","不")</f>
        <v>重复</v>
      </c>
      <c r="AU13" s="11"/>
      <c r="AV13" s="11"/>
    </row>
    <row r="14" s="12" customFormat="1" ht="18" customHeight="1" spans="1:48">
      <c r="A14" s="36">
        <v>11</v>
      </c>
      <c r="B14" s="37" t="s">
        <v>144</v>
      </c>
      <c r="C14" s="37" t="s">
        <v>183</v>
      </c>
      <c r="D14" s="37" t="s">
        <v>145</v>
      </c>
      <c r="E14" s="329" t="s">
        <v>184</v>
      </c>
      <c r="F14" s="38" t="s">
        <v>150</v>
      </c>
      <c r="G14" s="39"/>
      <c r="H14" s="40"/>
      <c r="I14" s="40"/>
      <c r="J14" s="69"/>
      <c r="K14" s="40"/>
      <c r="L14" s="70">
        <v>6000</v>
      </c>
      <c r="M14" s="71">
        <v>338.16</v>
      </c>
      <c r="N14" s="71">
        <v>84.54</v>
      </c>
      <c r="O14" s="71">
        <v>21.14</v>
      </c>
      <c r="P14" s="71">
        <v>103</v>
      </c>
      <c r="Q14" s="89">
        <f t="shared" si="0"/>
        <v>546.84</v>
      </c>
      <c r="R14" s="70">
        <v>0</v>
      </c>
      <c r="S14" s="90">
        <f>L14+IFERROR(VLOOKUP($E:$E,'（居民）工资表-10月'!$E:$S,15,0),0)</f>
        <v>60000</v>
      </c>
      <c r="T14" s="91">
        <f>5000+IFERROR(VLOOKUP($E:$E,'（居民）工资表-10月'!$E:$T,16,0),0)</f>
        <v>50000</v>
      </c>
      <c r="U14" s="91">
        <f>Q14+IFERROR(VLOOKUP($E:$E,'（居民）工资表-10月'!$E:$U,17,0),0)</f>
        <v>5555.76</v>
      </c>
      <c r="V14" s="70"/>
      <c r="W14" s="70"/>
      <c r="X14" s="70"/>
      <c r="Y14" s="70"/>
      <c r="Z14" s="70"/>
      <c r="AA14" s="70"/>
      <c r="AB14" s="90">
        <f t="shared" si="1"/>
        <v>0</v>
      </c>
      <c r="AC14" s="90">
        <f>R14+IFERROR(VLOOKUP($E:$E,'（居民）工资表-10月'!$E:$AC,25,0),0)</f>
        <v>0</v>
      </c>
      <c r="AD14" s="95">
        <f t="shared" si="2"/>
        <v>4444.24</v>
      </c>
      <c r="AE14" s="96">
        <f>ROUND(MAX((AD14)*{0.03;0.1;0.2;0.25;0.3;0.35;0.45}-{0;2520;16920;31920;52920;85920;181920},0),2)</f>
        <v>133.33</v>
      </c>
      <c r="AF14" s="97">
        <f>IFERROR(VLOOKUP(E:E,'（居民）工资表-10月'!E:AF,28,0)+VLOOKUP(E:E,'（居民）工资表-10月'!E:AG,29,0),0)</f>
        <v>119.73</v>
      </c>
      <c r="AG14" s="97">
        <f t="shared" si="9"/>
        <v>13.6</v>
      </c>
      <c r="AH14" s="107">
        <f t="shared" si="3"/>
        <v>5439.56</v>
      </c>
      <c r="AI14" s="108"/>
      <c r="AJ14" s="107">
        <f t="shared" si="4"/>
        <v>5439.56</v>
      </c>
      <c r="AK14" s="109"/>
      <c r="AL14" s="107">
        <f t="shared" si="5"/>
        <v>5453.16</v>
      </c>
      <c r="AM14" s="109"/>
      <c r="AN14" s="109"/>
      <c r="AO14" s="109"/>
      <c r="AP14" s="109"/>
      <c r="AQ14" s="109"/>
      <c r="AR14" s="116" t="str">
        <f t="shared" si="6"/>
        <v>正确</v>
      </c>
      <c r="AS14" s="116" t="str">
        <f>IF(SUMPRODUCT(N(E$1:E$6=E14))&gt;1,"重复","不")</f>
        <v>不</v>
      </c>
      <c r="AT14" s="116" t="str">
        <f>IF(SUMPRODUCT(N(AO$1:AO$6=AO14))&gt;1,"重复","不")</f>
        <v>重复</v>
      </c>
      <c r="AU14" s="11"/>
      <c r="AV14" s="11"/>
    </row>
    <row r="15" s="12" customFormat="1" ht="18" customHeight="1" spans="1:48">
      <c r="A15" s="36">
        <v>12</v>
      </c>
      <c r="B15" s="37" t="s">
        <v>144</v>
      </c>
      <c r="C15" s="37" t="s">
        <v>185</v>
      </c>
      <c r="D15" s="37" t="s">
        <v>145</v>
      </c>
      <c r="E15" s="329" t="s">
        <v>186</v>
      </c>
      <c r="F15" s="38" t="s">
        <v>146</v>
      </c>
      <c r="G15" s="39">
        <v>15056587375</v>
      </c>
      <c r="H15" s="40"/>
      <c r="I15" s="40"/>
      <c r="J15" s="69"/>
      <c r="K15" s="40"/>
      <c r="L15" s="70">
        <v>10000</v>
      </c>
      <c r="M15" s="71">
        <v>338.16</v>
      </c>
      <c r="N15" s="71">
        <v>93.7</v>
      </c>
      <c r="O15" s="71">
        <v>21.14</v>
      </c>
      <c r="P15" s="71">
        <v>97</v>
      </c>
      <c r="Q15" s="89">
        <f t="shared" si="0"/>
        <v>550</v>
      </c>
      <c r="R15" s="70">
        <v>0</v>
      </c>
      <c r="S15" s="90">
        <f>L15+IFERROR(VLOOKUP($E:$E,'（居民）工资表-10月'!$E:$S,15,0),0)</f>
        <v>100000</v>
      </c>
      <c r="T15" s="91">
        <f>5000+IFERROR(VLOOKUP($E:$E,'（居民）工资表-10月'!$E:$T,16,0),0)</f>
        <v>50000</v>
      </c>
      <c r="U15" s="91">
        <f>Q15+IFERROR(VLOOKUP($E:$E,'（居民）工资表-10月'!$E:$U,17,0),0)</f>
        <v>5589.16</v>
      </c>
      <c r="V15" s="70"/>
      <c r="W15" s="70"/>
      <c r="X15" s="70"/>
      <c r="Y15" s="70"/>
      <c r="Z15" s="70"/>
      <c r="AA15" s="70"/>
      <c r="AB15" s="90">
        <f t="shared" si="1"/>
        <v>0</v>
      </c>
      <c r="AC15" s="90">
        <f>R15+IFERROR(VLOOKUP($E:$E,'（居民）工资表-10月'!$E:$AC,25,0),0)</f>
        <v>0</v>
      </c>
      <c r="AD15" s="95">
        <f t="shared" si="2"/>
        <v>44410.84</v>
      </c>
      <c r="AE15" s="96">
        <f>ROUND(MAX((AD15)*{0.03;0.1;0.2;0.25;0.3;0.35;0.45}-{0;2520;16920;31920;52920;85920;181920},0),2)</f>
        <v>1921.08</v>
      </c>
      <c r="AF15" s="97">
        <f>IFERROR(VLOOKUP(E:E,'（居民）工资表-10月'!E:AF,28,0)+VLOOKUP(E:E,'（居民）工资表-10月'!E:AG,29,0),0)</f>
        <v>1476.08</v>
      </c>
      <c r="AG15" s="97">
        <f t="shared" si="9"/>
        <v>445</v>
      </c>
      <c r="AH15" s="107">
        <f t="shared" si="3"/>
        <v>9005</v>
      </c>
      <c r="AI15" s="108"/>
      <c r="AJ15" s="107">
        <f t="shared" si="4"/>
        <v>9005</v>
      </c>
      <c r="AK15" s="109"/>
      <c r="AL15" s="107">
        <f t="shared" si="5"/>
        <v>9450</v>
      </c>
      <c r="AM15" s="109"/>
      <c r="AN15" s="109"/>
      <c r="AO15" s="109"/>
      <c r="AP15" s="109"/>
      <c r="AQ15" s="109"/>
      <c r="AR15" s="116" t="str">
        <f t="shared" si="6"/>
        <v>正确</v>
      </c>
      <c r="AS15" s="116" t="str">
        <f>IF(SUMPRODUCT(N(E$1:E$6=E15))&gt;1,"重复","不")</f>
        <v>不</v>
      </c>
      <c r="AT15" s="116" t="str">
        <f>IF(SUMPRODUCT(N(AO$1:AO$6=AO15))&gt;1,"重复","不")</f>
        <v>重复</v>
      </c>
      <c r="AU15" s="11"/>
      <c r="AV15" s="11"/>
    </row>
    <row r="16" s="12" customFormat="1" ht="18" customHeight="1" spans="1:48">
      <c r="A16" s="36">
        <v>13</v>
      </c>
      <c r="B16" s="37" t="s">
        <v>144</v>
      </c>
      <c r="C16" s="37" t="s">
        <v>187</v>
      </c>
      <c r="D16" s="37" t="s">
        <v>145</v>
      </c>
      <c r="E16" s="37" t="s">
        <v>188</v>
      </c>
      <c r="F16" s="38" t="s">
        <v>146</v>
      </c>
      <c r="G16" s="39">
        <v>13711361074</v>
      </c>
      <c r="H16" s="40"/>
      <c r="I16" s="40"/>
      <c r="J16" s="69"/>
      <c r="K16" s="40"/>
      <c r="L16" s="70">
        <v>7600</v>
      </c>
      <c r="M16" s="71">
        <v>337.92</v>
      </c>
      <c r="N16" s="71">
        <v>91.48</v>
      </c>
      <c r="O16" s="71">
        <v>12.67</v>
      </c>
      <c r="P16" s="71">
        <v>110.5</v>
      </c>
      <c r="Q16" s="89">
        <f t="shared" si="0"/>
        <v>552.57</v>
      </c>
      <c r="R16" s="70">
        <v>0</v>
      </c>
      <c r="S16" s="90">
        <f>L16+IFERROR(VLOOKUP($E:$E,'（居民）工资表-10月'!$E:$S,15,0),0)</f>
        <v>58710.65</v>
      </c>
      <c r="T16" s="91">
        <f>5000+IFERROR(VLOOKUP($E:$E,'（居民）工资表-10月'!$E:$T,16,0),0)</f>
        <v>45000</v>
      </c>
      <c r="U16" s="91">
        <f>Q16+IFERROR(VLOOKUP($E:$E,'（居民）工资表-10月'!$E:$U,17,0),0)</f>
        <v>5000.94</v>
      </c>
      <c r="V16" s="70"/>
      <c r="W16" s="70"/>
      <c r="X16" s="70"/>
      <c r="Y16" s="70"/>
      <c r="Z16" s="70"/>
      <c r="AA16" s="70"/>
      <c r="AB16" s="90">
        <f t="shared" si="1"/>
        <v>0</v>
      </c>
      <c r="AC16" s="90">
        <f>R16+IFERROR(VLOOKUP($E:$E,'（居民）工资表-10月'!$E:$AC,25,0),0)</f>
        <v>0</v>
      </c>
      <c r="AD16" s="95">
        <f t="shared" si="2"/>
        <v>8709.71</v>
      </c>
      <c r="AE16" s="96">
        <f>ROUND(MAX((AD16)*{0.03;0.1;0.2;0.25;0.3;0.35;0.45}-{0;2520;16920;31920;52920;85920;181920},0),2)</f>
        <v>261.29</v>
      </c>
      <c r="AF16" s="97">
        <f>IFERROR(VLOOKUP(E:E,'（居民）工资表-10月'!E:AF,28,0)+VLOOKUP(E:E,'（居民）工资表-10月'!E:AG,29,0),0)</f>
        <v>199.87</v>
      </c>
      <c r="AG16" s="97">
        <f t="shared" si="9"/>
        <v>61.42</v>
      </c>
      <c r="AH16" s="107">
        <f t="shared" si="3"/>
        <v>6986.01</v>
      </c>
      <c r="AI16" s="108"/>
      <c r="AJ16" s="107">
        <f t="shared" si="4"/>
        <v>6986.01</v>
      </c>
      <c r="AK16" s="109"/>
      <c r="AL16" s="107">
        <f t="shared" si="5"/>
        <v>7047.43</v>
      </c>
      <c r="AM16" s="109"/>
      <c r="AN16" s="109"/>
      <c r="AO16" s="109"/>
      <c r="AP16" s="109"/>
      <c r="AQ16" s="109"/>
      <c r="AR16" s="116" t="str">
        <f t="shared" si="6"/>
        <v>正确</v>
      </c>
      <c r="AS16" s="116" t="str">
        <f>IF(SUMPRODUCT(N(E$1:E$6=E16))&gt;1,"重复","不")</f>
        <v>不</v>
      </c>
      <c r="AT16" s="116" t="str">
        <f>IF(SUMPRODUCT(N(AO$1:AO$6=AO16))&gt;1,"重复","不")</f>
        <v>重复</v>
      </c>
      <c r="AU16" s="11"/>
      <c r="AV16" s="11"/>
    </row>
    <row r="17" s="12" customFormat="1" ht="18" customHeight="1" spans="1:48">
      <c r="A17" s="36"/>
      <c r="B17" s="37"/>
      <c r="C17" s="37"/>
      <c r="D17" s="37"/>
      <c r="E17" s="37"/>
      <c r="F17" s="38"/>
      <c r="G17" s="39"/>
      <c r="H17" s="40"/>
      <c r="I17" s="40"/>
      <c r="J17" s="69"/>
      <c r="K17" s="40"/>
      <c r="L17" s="70"/>
      <c r="M17" s="71"/>
      <c r="N17" s="71"/>
      <c r="O17" s="71"/>
      <c r="P17" s="71"/>
      <c r="Q17" s="89"/>
      <c r="R17" s="70"/>
      <c r="S17" s="90"/>
      <c r="T17" s="91"/>
      <c r="U17" s="91"/>
      <c r="V17" s="70"/>
      <c r="W17" s="70"/>
      <c r="X17" s="70"/>
      <c r="Y17" s="70"/>
      <c r="Z17" s="70"/>
      <c r="AA17" s="70"/>
      <c r="AB17" s="90"/>
      <c r="AC17" s="90"/>
      <c r="AD17" s="95"/>
      <c r="AE17" s="96"/>
      <c r="AF17" s="97"/>
      <c r="AG17" s="97"/>
      <c r="AH17" s="107"/>
      <c r="AI17" s="108"/>
      <c r="AJ17" s="107"/>
      <c r="AK17" s="109"/>
      <c r="AL17" s="107"/>
      <c r="AM17" s="109"/>
      <c r="AN17" s="109"/>
      <c r="AO17" s="109"/>
      <c r="AP17" s="109"/>
      <c r="AQ17" s="109"/>
      <c r="AR17" s="116"/>
      <c r="AS17" s="116"/>
      <c r="AT17" s="116"/>
      <c r="AU17" s="11"/>
      <c r="AV17" s="11"/>
    </row>
    <row r="18" s="13" customFormat="1" ht="18" customHeight="1" spans="1:46">
      <c r="A18" s="41"/>
      <c r="B18" s="42" t="s">
        <v>189</v>
      </c>
      <c r="C18" s="42"/>
      <c r="D18" s="43"/>
      <c r="E18" s="44"/>
      <c r="F18" s="45"/>
      <c r="G18" s="46"/>
      <c r="H18" s="45"/>
      <c r="I18" s="72"/>
      <c r="J18" s="73"/>
      <c r="K18" s="72"/>
      <c r="L18" s="74">
        <f>SUM(L4:L16)</f>
        <v>122707.97</v>
      </c>
      <c r="M18" s="74">
        <f>SUM(M4:M16)</f>
        <v>4763.37</v>
      </c>
      <c r="N18" s="74">
        <f>SUM(N4:N16)</f>
        <v>1331.12</v>
      </c>
      <c r="O18" s="74">
        <f t="shared" ref="O18:AL18" si="10">SUM(O4:O16)</f>
        <v>251.38</v>
      </c>
      <c r="P18" s="74">
        <f t="shared" si="10"/>
        <v>2232.9</v>
      </c>
      <c r="Q18" s="74">
        <f t="shared" si="10"/>
        <v>8578.77</v>
      </c>
      <c r="R18" s="74">
        <f t="shared" si="10"/>
        <v>0</v>
      </c>
      <c r="S18" s="74">
        <f t="shared" si="10"/>
        <v>1210364.69</v>
      </c>
      <c r="T18" s="74">
        <f t="shared" si="10"/>
        <v>645000</v>
      </c>
      <c r="U18" s="74">
        <f t="shared" si="10"/>
        <v>86073.98</v>
      </c>
      <c r="V18" s="74">
        <f t="shared" si="10"/>
        <v>0</v>
      </c>
      <c r="W18" s="74">
        <f t="shared" si="10"/>
        <v>0</v>
      </c>
      <c r="X18" s="74">
        <f t="shared" si="10"/>
        <v>0</v>
      </c>
      <c r="Y18" s="74">
        <f t="shared" si="10"/>
        <v>0</v>
      </c>
      <c r="Z18" s="74">
        <f t="shared" si="10"/>
        <v>0</v>
      </c>
      <c r="AA18" s="74">
        <f t="shared" si="10"/>
        <v>0</v>
      </c>
      <c r="AB18" s="74">
        <f t="shared" si="10"/>
        <v>0</v>
      </c>
      <c r="AC18" s="74">
        <f t="shared" si="10"/>
        <v>0</v>
      </c>
      <c r="AD18" s="74">
        <f t="shared" si="10"/>
        <v>479290.71</v>
      </c>
      <c r="AE18" s="74">
        <f t="shared" si="10"/>
        <v>40379.68</v>
      </c>
      <c r="AF18" s="74">
        <f t="shared" si="10"/>
        <v>34031.82</v>
      </c>
      <c r="AG18" s="74">
        <f t="shared" si="10"/>
        <v>6347.86</v>
      </c>
      <c r="AH18" s="74">
        <f t="shared" si="10"/>
        <v>107781.34</v>
      </c>
      <c r="AI18" s="74">
        <f t="shared" si="10"/>
        <v>0</v>
      </c>
      <c r="AJ18" s="74">
        <f t="shared" si="10"/>
        <v>107781.34</v>
      </c>
      <c r="AK18" s="74">
        <f t="shared" si="10"/>
        <v>0</v>
      </c>
      <c r="AL18" s="74">
        <f t="shared" si="10"/>
        <v>114129.2</v>
      </c>
      <c r="AM18" s="110"/>
      <c r="AN18" s="110"/>
      <c r="AO18" s="110"/>
      <c r="AP18" s="110"/>
      <c r="AQ18" s="110"/>
      <c r="AR18" s="45"/>
      <c r="AS18" s="45"/>
      <c r="AT18" s="118"/>
    </row>
    <row r="21" spans="30:30">
      <c r="AD21" s="101"/>
    </row>
    <row r="22" ht="18.75" customHeight="1" spans="2:30">
      <c r="B22" s="47" t="s">
        <v>133</v>
      </c>
      <c r="C22" s="47" t="s">
        <v>190</v>
      </c>
      <c r="D22" s="47" t="s">
        <v>22</v>
      </c>
      <c r="E22" s="47" t="s">
        <v>23</v>
      </c>
      <c r="AD22" s="10"/>
    </row>
    <row r="23" ht="18.75" customHeight="1" spans="2:5">
      <c r="B23" s="48">
        <f>AJ18</f>
        <v>107781.34</v>
      </c>
      <c r="C23" s="48">
        <f>AG18</f>
        <v>6347.86</v>
      </c>
      <c r="D23" s="48">
        <f>AK18</f>
        <v>0</v>
      </c>
      <c r="E23" s="48">
        <f>B23+C23+D23</f>
        <v>114129.2</v>
      </c>
    </row>
    <row r="24" spans="2:5">
      <c r="B24" s="49"/>
      <c r="C24" s="49"/>
      <c r="D24" s="49"/>
      <c r="E24" s="49"/>
    </row>
    <row r="25" s="14" customFormat="1" spans="1:35">
      <c r="A25" s="51" t="s">
        <v>191</v>
      </c>
      <c r="B25" s="52" t="s">
        <v>192</v>
      </c>
      <c r="C25" s="50"/>
      <c r="D25" s="50"/>
      <c r="E25" s="50"/>
      <c r="G25" s="53"/>
      <c r="J25" s="75"/>
      <c r="M25" s="76"/>
      <c r="AI25" s="112"/>
    </row>
    <row r="26" s="14" customFormat="1" spans="1:35">
      <c r="A26" s="54"/>
      <c r="B26" s="55" t="s">
        <v>193</v>
      </c>
      <c r="C26" s="50"/>
      <c r="D26" s="50"/>
      <c r="E26" s="50"/>
      <c r="G26" s="53"/>
      <c r="J26" s="75"/>
      <c r="M26" s="76"/>
      <c r="AI26" s="112"/>
    </row>
    <row r="27" s="14" customFormat="1" spans="1:35">
      <c r="A27" s="52"/>
      <c r="B27" s="55" t="s">
        <v>194</v>
      </c>
      <c r="C27" s="56"/>
      <c r="D27" s="56"/>
      <c r="E27" s="56"/>
      <c r="F27" s="56"/>
      <c r="G27" s="56"/>
      <c r="H27" s="56"/>
      <c r="I27" s="56"/>
      <c r="J27" s="77"/>
      <c r="K27" s="56"/>
      <c r="L27" s="56"/>
      <c r="M27" s="78"/>
      <c r="N27" s="56"/>
      <c r="O27" s="56"/>
      <c r="P27" s="56"/>
      <c r="AI27" s="112"/>
    </row>
    <row r="28" s="14" customFormat="1" customHeight="1" spans="1:35">
      <c r="A28" s="55"/>
      <c r="B28" s="55" t="s">
        <v>195</v>
      </c>
      <c r="C28" s="57"/>
      <c r="D28" s="57"/>
      <c r="E28" s="57"/>
      <c r="F28" s="57"/>
      <c r="G28" s="57"/>
      <c r="H28" s="57"/>
      <c r="I28" s="79"/>
      <c r="J28" s="80"/>
      <c r="K28" s="79"/>
      <c r="L28" s="79"/>
      <c r="M28" s="81"/>
      <c r="N28" s="79"/>
      <c r="O28" s="79"/>
      <c r="P28" s="79"/>
      <c r="AI28" s="112"/>
    </row>
    <row r="29" s="14" customFormat="1" customHeight="1" spans="1:35">
      <c r="A29" s="55"/>
      <c r="B29" s="55" t="s">
        <v>196</v>
      </c>
      <c r="C29" s="57"/>
      <c r="D29" s="57"/>
      <c r="E29" s="57"/>
      <c r="F29" s="57"/>
      <c r="G29" s="57"/>
      <c r="H29" s="57"/>
      <c r="I29" s="57"/>
      <c r="J29" s="82"/>
      <c r="K29" s="57"/>
      <c r="L29" s="79"/>
      <c r="M29" s="81"/>
      <c r="N29" s="79"/>
      <c r="O29" s="79"/>
      <c r="P29" s="79"/>
      <c r="AI29" s="112"/>
    </row>
    <row r="30" s="14" customFormat="1" customHeight="1" spans="1:35">
      <c r="A30" s="55"/>
      <c r="B30" s="55" t="s">
        <v>197</v>
      </c>
      <c r="C30" s="57"/>
      <c r="D30" s="57"/>
      <c r="E30" s="57"/>
      <c r="F30" s="57"/>
      <c r="G30" s="57"/>
      <c r="H30" s="57"/>
      <c r="I30" s="79"/>
      <c r="J30" s="80"/>
      <c r="K30" s="79"/>
      <c r="L30" s="79"/>
      <c r="M30" s="81"/>
      <c r="N30" s="79"/>
      <c r="O30" s="79"/>
      <c r="P30" s="79"/>
      <c r="AI30" s="112"/>
    </row>
    <row r="32" ht="11.25" customHeight="1" spans="2:2">
      <c r="B32" s="58" t="s">
        <v>198</v>
      </c>
    </row>
    <row r="33" spans="2:2">
      <c r="B33" s="59" t="s">
        <v>199</v>
      </c>
    </row>
    <row r="34" spans="2:2">
      <c r="B34" s="59" t="s">
        <v>200</v>
      </c>
    </row>
  </sheetData>
  <autoFilter xmlns:etc="http://www.wps.cn/officeDocument/2017/etCustomData" ref="A3:AT18" etc:filterBottomFollowUsedRange="0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0">
    <cfRule type="duplicateValues" dxfId="4" priority="2" stopIfTrue="1"/>
  </conditionalFormatting>
  <conditionalFormatting sqref="B25:B29">
    <cfRule type="duplicateValues" dxfId="4" priority="3" stopIfTrue="1"/>
  </conditionalFormatting>
  <conditionalFormatting sqref="B33:B34">
    <cfRule type="duplicateValues" dxfId="4" priority="1" stopIfTrue="1"/>
  </conditionalFormatting>
  <conditionalFormatting sqref="C22:C24">
    <cfRule type="duplicateValues" dxfId="4" priority="4" stopIfTrue="1"/>
    <cfRule type="expression" dxfId="5" priority="5" stopIfTrue="1">
      <formula>AND(COUNTIF($B$18:$B$65454,C22)+COUNTIF($B$1:$B$3,C22)&gt;1,NOT(ISBLANK(C22)))</formula>
    </cfRule>
    <cfRule type="expression" dxfId="5" priority="6" stopIfTrue="1">
      <formula>AND(COUNTIF($B$29:$B$65405,C22)+COUNTIF($B$1:$B$28,C22)&gt;1,NOT(ISBLANK(C22)))</formula>
    </cfRule>
    <cfRule type="expression" dxfId="5" priority="7" stopIfTrue="1">
      <formula>AND(COUNTIF($B$18:$B$65443,C22)+COUNTIF($B$1:$B$3,C22)&gt;1,NOT(ISBLANK(C22)))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3 0 " > < c o m m e n t   s : r e f = " F 1 "   r g b C l r = " E F C 7 5 4 " / > < c o m m e n t   s : r e f = " G 1 "   r g b C l r = " E F C 7 5 4 " / > < c o m m e n t   s : r e f = " H 1 "   r g b C l r = " E F C 7 5 4 " / > < c o m m e n t   s : r e f = " K 1 "   r g b C l r = " E F C 7 5 4 " / > < c o m m e n t   s : r e f = " F 1 8 "   r g b C l r = " E F C 7 5 4 " / > < c o m m e n t   s : r e f = " G 1 8 "   r g b C l r = " E F C 7 5 4 " / > < c o m m e n t   s : r e f = " J 1 8 "   r g b C l r = " E F C 7 5 4 " / > < c o m m e n t   s : r e f = " Q 1 8 "   r g b C l r = " E F C 7 5 4 " / > < c o m m e n t   s : r e f = " K 1 9 "   r g b C l r = " E F C 7 5 4 " / > < c o m m e n t   s : r e f = " R 1 9 "   r g b C l r = " E F C 7 5 4 " / > < / c o m m e n t L i s t > < c o m m e n t L i s t   s h e e t S t i d = " 2 9 " > < c o m m e n t   s : r e f = " E 1 "   r g b C l r = " B 3 C 8 8 8 " / > < c o m m e n t   s : r e f = " F 1 "   r g b C l r = " B 3 C 8 8 8 " / > < c o m m e n t   s : r e f = " G 1 "   r g b C l r = " B 3 C 8 8 8 " / > < c o m m e n t   s : r e f = " H 1 "   r g b C l r = " B 3 C 8 8 8 " / > < c o m m e n t   s : r e f = " O 1 "   r g b C l r = " B 3 C 8 8 8 " / > < c o m m e n t   s : r e f = " P 1 "   r g b C l r = " B 3 C 8 8 8 " / > < c o m m e n t   s : r e f = " S 1 "   r g b C l r = " B 3 C 8 8 8 " / > < c o m m e n t   s : r e f = " Z 1 "   r g b C l r = " B 3 C 8 8 8 " / > < c o m m e n t   s : r e f = " A L 1 "   r g b C l r = " B 3 C 8 8 8 " / > < c o m m e n t   s : r e f = " A M 1 "   r g b C l r = " B 3 C 8 8 8 " / > < c o m m e n t   s : r e f = " A N 1 "   r g b C l r = " B 3 C 8 8 8 " / > < c o m m e n t   s : r e f = " A O 1 "   r g b C l r = " B 3 C 8 8 8 " / > < c o m m e n t   s : r e f = " T 2 "   r g b C l r = " B 3 C 8 8 8 " / > < c o m m e n t   s : r e f = " A A 2 "   r g b C l r = " B 3 C 8 8 8 " / > < / c o m m e n t L i s t > < c o m m e n t L i s t   s h e e t S t i d = " 2 3 " / > < c o m m e n t L i s t   s h e e t S t i d = " 2 4 " / > < c o m m e n t L i s t   s h e e t S t i d = " 1 " / > < c o m m e n t L i s t   s h e e t S t i d = " 2 5 " / > < c o m m e n t L i s t   s h e e t S t i d = " 1 5 " / > < c o m m e n t L i s t   s h e e t S t i d = " 1 6 " / > < c o m m e n t L i s t   s h e e t S t i d = " 1 7 " / > < c o m m e n t L i s t   s h e e t S t i d = " 1 8 " /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社保</vt:lpstr>
      <vt:lpstr>付款通知</vt:lpstr>
      <vt:lpstr>（居民）工资表-7月</vt:lpstr>
      <vt:lpstr>（居民）工资表-5月</vt:lpstr>
      <vt:lpstr>（居民）工资表-6月</vt:lpstr>
      <vt:lpstr>（居民）工资表-8月</vt:lpstr>
      <vt:lpstr>（居民）工资表-9月</vt:lpstr>
      <vt:lpstr>（居民）工资表-10月</vt:lpstr>
      <vt:lpstr>（居民）工资表-11月</vt:lpstr>
      <vt:lpstr>（居民）工资表-1月</vt:lpstr>
      <vt:lpstr>（居民）工资表-12月</vt:lpstr>
      <vt:lpstr>（居民）工资表-2月</vt:lpstr>
      <vt:lpstr>（居民）工资表-3月</vt:lpstr>
      <vt:lpstr>（居民）工资表-4月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乔鑫凝</cp:lastModifiedBy>
  <dcterms:created xsi:type="dcterms:W3CDTF">2018-08-01T08:19:00Z</dcterms:created>
  <cp:lastPrinted>2019-02-02T09:30:00Z</cp:lastPrinted>
  <dcterms:modified xsi:type="dcterms:W3CDTF">2025-03-03T08:42:04Z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</vt:lpwstr>
  </property>
  <property fmtid="{D5CDD505-2E9C-101B-9397-08002B2CF9AE}" pid="3" name="KSOProductBuildVer">
    <vt:lpwstr>2052-12.1.0.20305</vt:lpwstr>
  </property>
  <property fmtid="{D5CDD505-2E9C-101B-9397-08002B2CF9AE}" pid="4" name="ICV">
    <vt:lpwstr>BAAAEB3A37F248E48D2032AB646B39E1</vt:lpwstr>
  </property>
  <property fmtid="{D5CDD505-2E9C-101B-9397-08002B2CF9AE}" pid="5" name="KSOReadingLayout">
    <vt:bool>true</vt:bool>
  </property>
</Properties>
</file>