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jpeg" ContentType="image/jpeg"/>
  <Default Extension="JPG" ContentType="image/.jp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600" windowHeight="9225" tabRatio="609" firstSheet="1" activeTab="1"/>
  </bookViews>
  <sheets>
    <sheet name="社保" sheetId="27" state="hidden" r:id="rId1"/>
    <sheet name="付款通知" sheetId="26" r:id="rId2"/>
    <sheet name="年终奖" sheetId="28" r:id="rId3"/>
    <sheet name="（居民）工资表-7月" sheetId="20" state="hidden" r:id="rId4"/>
    <sheet name="（居民）工资表-5月" sheetId="18" state="hidden" r:id="rId5"/>
    <sheet name="（居民）工资表-6月" sheetId="19" state="hidden" r:id="rId6"/>
    <sheet name="（居民）工资表-8月" sheetId="21" state="hidden" r:id="rId7"/>
    <sheet name="（居民）工资表-9月" sheetId="22" state="hidden" r:id="rId8"/>
    <sheet name="（居民）工资表-10月" sheetId="23" state="hidden" r:id="rId9"/>
    <sheet name="（居民）工资表-11月" sheetId="24" state="hidden" r:id="rId10"/>
    <sheet name="（居民）工资表-1月" sheetId="1" state="hidden" r:id="rId11"/>
    <sheet name="（居民）工资表-12月" sheetId="25" state="hidden" r:id="rId12"/>
    <sheet name="（居民）工资表-2月" sheetId="15" state="hidden" r:id="rId13"/>
    <sheet name="（居民）工资表-3月" sheetId="16" state="hidden" r:id="rId14"/>
    <sheet name="（居民）工资表-4月" sheetId="17" state="hidden" r:id="rId15"/>
    <sheet name="Sheet1" sheetId="14" state="hidden" r:id="rId16"/>
  </sheets>
  <externalReferences>
    <externalReference r:id="rId18"/>
    <externalReference r:id="rId19"/>
    <externalReference r:id="rId20"/>
  </externalReferences>
  <definedNames>
    <definedName name="_xlnm._FilterDatabase" localSheetId="3" hidden="1">'（居民）工资表-7月'!$A$3:$AL$20</definedName>
    <definedName name="_xlnm._FilterDatabase" localSheetId="4" hidden="1">'（居民）工资表-5月'!$A$3:$AT$20</definedName>
    <definedName name="_xlnm._FilterDatabase" localSheetId="7" hidden="1">'（居民）工资表-9月'!$A$3:$AT$18</definedName>
    <definedName name="_xlnm._FilterDatabase" localSheetId="8" hidden="1">'（居民）工资表-10月'!$A$3:$AT$18</definedName>
    <definedName name="_xlnm._FilterDatabase" localSheetId="9" hidden="1">'（居民）工资表-11月'!$A$3:$AT$18</definedName>
    <definedName name="_xlnm._FilterDatabase" localSheetId="11" hidden="1">'（居民）工资表-12月'!$A$3:$AT$18</definedName>
    <definedName name="_xlnm._FilterDatabase" localSheetId="12" hidden="1">'（居民）工资表-2月'!$A$3:$AT$19</definedName>
    <definedName name="_xlnm._FilterDatabase" localSheetId="13" hidden="1">'（居民）工资表-3月'!$A$3:$AT$19</definedName>
    <definedName name="_xlnm._FilterDatabase" localSheetId="14" hidden="1">'（居民）工资表-4月'!$A$3:$AT$20</definedName>
    <definedName name="_xlnm._FilterDatabase" localSheetId="6" hidden="1">'（居民）工资表-8月'!$A$3:$AT$20</definedName>
    <definedName name="_xlnm._FilterDatabase" localSheetId="5" hidden="1">'（居民）工资表-6月'!$A$3:$AV$18</definedName>
    <definedName name="_xlnm._FilterDatabase" localSheetId="10" hidden="1">'（居民）工资表-1月'!$A$3:$AV$19</definedName>
    <definedName name="_xlnm.Print_Area" localSheetId="8">'（居民）工资表-10月'!$A$1:$AT$24</definedName>
    <definedName name="_xlnm.Print_Area" localSheetId="9">'（居民）工资表-11月'!$A$1:$AT$24</definedName>
    <definedName name="_xlnm.Print_Area" localSheetId="11">'（居民）工资表-12月'!$A$1:$AT$24</definedName>
    <definedName name="_xlnm.Print_Area" localSheetId="10">'（居民）工资表-1月'!$A$1:$AT$25</definedName>
    <definedName name="_xlnm.Print_Area" localSheetId="12">'（居民）工资表-2月'!$A$1:$AT$24</definedName>
    <definedName name="_xlnm.Print_Area" localSheetId="13">'（居民）工资表-3月'!$A$1:$AT$25</definedName>
    <definedName name="_xlnm.Print_Area" localSheetId="14">'（居民）工资表-4月'!$A$1:$AT$26</definedName>
    <definedName name="_xlnm.Print_Area" localSheetId="4">'（居民）工资表-5月'!$A$1:$AT$26</definedName>
    <definedName name="_xlnm.Print_Area" localSheetId="5">'（居民）工资表-6月'!$A$1:$AT$26</definedName>
    <definedName name="_xlnm.Print_Area" localSheetId="3">'（居民）工资表-7月'!$A$1:$AL$26</definedName>
    <definedName name="_xlnm.Print_Area" localSheetId="6">'（居民）工资表-8月'!$A$1:$AT$26</definedName>
    <definedName name="_xlnm.Print_Area" localSheetId="7">'（居民）工资表-9月'!$A$1:$AT$24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kk</author>
  </authors>
  <commentList>
    <comment ref="B1" authorId="0">
      <text>
        <r>
          <rPr>
            <sz val="9"/>
            <rFont val="宋体"/>
            <charset val="134"/>
          </rPr>
          <t>kk:
请填写客户全称</t>
        </r>
      </text>
    </comment>
    <comment ref="D1" authorId="0">
      <text>
        <r>
          <rPr>
            <sz val="9"/>
            <rFont val="宋体"/>
            <charset val="134"/>
          </rPr>
          <t>kk:
参照系统分类，以签署合同为准</t>
        </r>
      </text>
    </comment>
    <comment ref="F1" authorId="0">
      <text>
        <r>
          <rPr>
            <sz val="9"/>
            <rFont val="宋体"/>
            <charset val="134"/>
          </rPr>
          <t>kk:
以身份证为准，不要空格</t>
        </r>
      </text>
    </comment>
    <comment ref="G1" authorId="0">
      <text>
        <r>
          <rPr>
            <sz val="9"/>
            <rFont val="宋体"/>
            <charset val="134"/>
          </rPr>
          <t>kk:
18位身份证号码，不要空格</t>
        </r>
      </text>
    </comment>
    <comment ref="AS2" authorId="0">
      <text>
        <r>
          <rPr>
            <sz val="9"/>
            <rFont val="宋体"/>
            <charset val="134"/>
          </rPr>
          <t>kk:
养老保险公司汇缴+医疗保险公司汇缴+失业保险公司汇缴+生育保险公司汇缴+工伤保险公司汇缴+补充养老公司汇缴</t>
        </r>
      </text>
    </comment>
    <comment ref="AT2" authorId="0">
      <text>
        <r>
          <rPr>
            <sz val="9"/>
            <rFont val="宋体"/>
            <charset val="134"/>
          </rPr>
          <t xml:space="preserve">kk:
养老保险个人汇缴+医疗保险个人汇缴+失业保险个人汇缴+补充养老个人汇缴
</t>
        </r>
      </text>
    </comment>
    <comment ref="AW2" authorId="0">
      <text>
        <r>
          <rPr>
            <sz val="9"/>
            <rFont val="宋体"/>
            <charset val="134"/>
          </rPr>
          <t xml:space="preserve">kk:
社保公司+社保个人+公积金公司+公积金个人
</t>
        </r>
      </text>
    </comment>
  </commentList>
</comments>
</file>

<file path=xl/comments10.xml><?xml version="1.0" encoding="utf-8"?>
<comments xmlns="http://schemas.openxmlformats.org/spreadsheetml/2006/main">
  <authors>
    <author>xbany</author>
    <author>AutoBVT</author>
    <author>lenovo</author>
  </authors>
  <commentList>
    <comment ref="R2" authorId="0">
      <text>
        <r>
          <rPr>
            <sz val="9"/>
            <rFont val="宋体"/>
            <charset val="134"/>
          </rPr>
          <t xml:space="preserve">
其他扣除限以下内容：</t>
        </r>
        <r>
          <rPr>
            <sz val="9"/>
            <rFont val="Tahoma"/>
            <charset val="134"/>
          </rPr>
          <t xml:space="preserve">
</t>
        </r>
        <r>
          <rPr>
            <sz val="9"/>
            <rFont val="宋体"/>
            <charset val="134"/>
          </rPr>
          <t>年金、商业健康保险、税延养老保险、财产原值、允许扣除的税费、其他国家规定扣除</t>
        </r>
      </text>
    </comment>
    <comment ref="S2" authorId="1">
      <text>
        <r>
          <rPr>
            <sz val="9"/>
            <rFont val="宋体"/>
            <charset val="134"/>
          </rPr>
          <t xml:space="preserve">
填写本年度截止当前月份的工资、薪金所得累计金额</t>
        </r>
      </text>
    </comment>
    <comment ref="T2" authorId="1">
      <text>
        <r>
          <rPr>
            <sz val="9"/>
            <rFont val="宋体"/>
            <charset val="134"/>
          </rPr>
          <t xml:space="preserve">
5000元/月乘以纳税人当年在本单位任职受雇月份</t>
        </r>
      </text>
    </comment>
    <comment ref="U2" authorId="1">
      <text>
        <r>
          <rPr>
            <sz val="9"/>
            <rFont val="宋体"/>
            <charset val="134"/>
          </rPr>
          <t xml:space="preserve">
本年度截止当前月份的个人社保累计金额</t>
        </r>
      </text>
    </comment>
    <comment ref="V2" authorId="1">
      <text>
        <r>
          <rPr>
            <b/>
            <sz val="9"/>
            <rFont val="宋体"/>
            <charset val="134"/>
          </rPr>
          <t>AutoBVT:</t>
        </r>
        <r>
          <rPr>
            <sz val="9"/>
            <rFont val="宋体"/>
            <charset val="134"/>
          </rPr>
          <t xml:space="preserve">
分别填写截止当前月份的专项附加扣除累计金额</t>
        </r>
      </text>
    </comment>
    <comment ref="AB2" authorId="1">
      <text>
        <r>
          <rPr>
            <sz val="9"/>
            <rFont val="宋体"/>
            <charset val="134"/>
          </rPr>
          <t xml:space="preserve">
本年度截止当前月份的专项附加扣除累计金额</t>
        </r>
      </text>
    </comment>
    <comment ref="AC2" authorId="1">
      <text>
        <r>
          <rPr>
            <sz val="9"/>
            <rFont val="宋体"/>
            <charset val="134"/>
          </rPr>
          <t xml:space="preserve">
本年度截止当前月份的国家允许的其他扣除累计金额</t>
        </r>
      </text>
    </comment>
    <comment ref="AD2" authorId="1">
      <text>
        <r>
          <rPr>
            <sz val="9"/>
            <rFont val="宋体"/>
            <charset val="134"/>
          </rPr>
          <t xml:space="preserve">
本年度截止当前月份的累计应纳税所得额</t>
        </r>
      </text>
    </comment>
    <comment ref="AF2" authorId="1">
      <text>
        <r>
          <rPr>
            <sz val="9"/>
            <rFont val="宋体"/>
            <charset val="134"/>
          </rPr>
          <t xml:space="preserve">
填写本年度截止当前月份已累计扣缴总税额</t>
        </r>
      </text>
    </comment>
    <comment ref="AG2" authorId="1">
      <text>
        <r>
          <rPr>
            <b/>
            <sz val="9"/>
            <rFont val="宋体"/>
            <charset val="134"/>
          </rPr>
          <t>AutoBVT:</t>
        </r>
        <r>
          <rPr>
            <sz val="9"/>
            <rFont val="宋体"/>
            <charset val="134"/>
          </rPr>
          <t xml:space="preserve">
累计预扣预缴税额-已预扣预缴税额=本月应补（退）税额</t>
        </r>
      </text>
    </comment>
    <comment ref="AH2" authorId="1">
      <text>
        <r>
          <rPr>
            <sz val="9"/>
            <rFont val="宋体"/>
            <charset val="134"/>
          </rPr>
          <t xml:space="preserve">
本月应发工资-本月个人应扣金额-本月应扣个税=净工资</t>
        </r>
      </text>
    </comment>
    <comment ref="AI2" authorId="2">
      <text>
        <r>
          <rPr>
            <sz val="9"/>
            <rFont val="Tahoma"/>
            <charset val="134"/>
          </rPr>
          <t xml:space="preserve">
*</t>
        </r>
        <r>
          <rPr>
            <sz val="9"/>
            <rFont val="宋体"/>
            <charset val="134"/>
          </rPr>
          <t xml:space="preserve">补低差、罚款，取暖费、独生子女费、生育津贴、等等国家允许的不扣税项目
</t>
        </r>
        <r>
          <rPr>
            <sz val="9"/>
            <rFont val="Tahoma"/>
            <charset val="134"/>
          </rPr>
          <t>*</t>
        </r>
        <r>
          <rPr>
            <sz val="9"/>
            <rFont val="宋体"/>
            <charset val="134"/>
          </rPr>
          <t>补偿金或赔偿金不超过当地年平均工资</t>
        </r>
        <r>
          <rPr>
            <sz val="9"/>
            <rFont val="Tahoma"/>
            <charset val="134"/>
          </rPr>
          <t>3</t>
        </r>
        <r>
          <rPr>
            <sz val="9"/>
            <rFont val="宋体"/>
            <charset val="134"/>
          </rPr>
          <t xml:space="preserve">倍
</t>
        </r>
      </text>
    </comment>
    <comment ref="V3" authorId="0">
      <text>
        <r>
          <rPr>
            <sz val="9"/>
            <rFont val="Tahoma"/>
            <charset val="134"/>
          </rPr>
          <t xml:space="preserve">
*1000</t>
        </r>
        <r>
          <rPr>
            <sz val="9"/>
            <rFont val="宋体"/>
            <charset val="134"/>
          </rPr>
          <t>元</t>
        </r>
        <r>
          <rPr>
            <sz val="9"/>
            <rFont val="Tahoma"/>
            <charset val="134"/>
          </rPr>
          <t>/</t>
        </r>
        <r>
          <rPr>
            <sz val="9"/>
            <rFont val="宋体"/>
            <charset val="134"/>
          </rPr>
          <t>子女</t>
        </r>
        <r>
          <rPr>
            <sz val="9"/>
            <rFont val="Tahoma"/>
            <charset val="134"/>
          </rPr>
          <t>/</t>
        </r>
        <r>
          <rPr>
            <sz val="9"/>
            <rFont val="宋体"/>
            <charset val="134"/>
          </rPr>
          <t>月</t>
        </r>
      </text>
    </comment>
    <comment ref="W3" authorId="1">
      <text>
        <r>
          <rPr>
            <sz val="9"/>
            <rFont val="宋体"/>
            <charset val="134"/>
          </rPr>
          <t xml:space="preserve">
*独生子女 2000元/月
*非独生子女均摊，最高不能超过1000元/月</t>
        </r>
      </text>
    </comment>
    <comment ref="X3" authorId="0">
      <text>
        <r>
          <rPr>
            <sz val="9"/>
            <rFont val="Tahoma"/>
            <charset val="134"/>
          </rPr>
          <t xml:space="preserve">
*1000</t>
        </r>
        <r>
          <rPr>
            <sz val="9"/>
            <rFont val="宋体"/>
            <charset val="134"/>
          </rPr>
          <t>元</t>
        </r>
        <r>
          <rPr>
            <sz val="9"/>
            <rFont val="Tahoma"/>
            <charset val="134"/>
          </rPr>
          <t>/</t>
        </r>
        <r>
          <rPr>
            <sz val="9"/>
            <rFont val="宋体"/>
            <charset val="134"/>
          </rPr>
          <t>月，</t>
        </r>
        <r>
          <rPr>
            <sz val="9"/>
            <rFont val="Tahoma"/>
            <charset val="134"/>
          </rPr>
          <t>240</t>
        </r>
        <r>
          <rPr>
            <sz val="9"/>
            <rFont val="宋体"/>
            <charset val="134"/>
          </rPr>
          <t>月为限，限首套</t>
        </r>
      </text>
    </comment>
    <comment ref="Y3" authorId="1">
      <text>
        <r>
          <rPr>
            <sz val="9"/>
            <rFont val="宋体"/>
            <charset val="134"/>
          </rPr>
          <t xml:space="preserve">
*1500元/月，直辖市、省会、计划单列城市
*1100元/月，市人口 &gt;100万
*800元/月，市人口 &lt;100万</t>
        </r>
      </text>
    </comment>
    <comment ref="Z3" authorId="0">
      <text>
        <r>
          <rPr>
            <sz val="9"/>
            <rFont val="Tahoma"/>
            <charset val="134"/>
          </rPr>
          <t xml:space="preserve">
*</t>
        </r>
        <r>
          <rPr>
            <sz val="9"/>
            <rFont val="宋体"/>
            <charset val="134"/>
          </rPr>
          <t>学历继续教育</t>
        </r>
        <r>
          <rPr>
            <sz val="9"/>
            <rFont val="Tahoma"/>
            <charset val="134"/>
          </rPr>
          <t xml:space="preserve"> 400</t>
        </r>
        <r>
          <rPr>
            <sz val="9"/>
            <rFont val="宋体"/>
            <charset val="134"/>
          </rPr>
          <t>元</t>
        </r>
        <r>
          <rPr>
            <sz val="9"/>
            <rFont val="Tahoma"/>
            <charset val="134"/>
          </rPr>
          <t>/</t>
        </r>
        <r>
          <rPr>
            <sz val="9"/>
            <rFont val="宋体"/>
            <charset val="134"/>
          </rPr>
          <t>月，</t>
        </r>
        <r>
          <rPr>
            <sz val="9"/>
            <rFont val="Tahoma"/>
            <charset val="134"/>
          </rPr>
          <t>48</t>
        </r>
        <r>
          <rPr>
            <sz val="9"/>
            <rFont val="宋体"/>
            <charset val="134"/>
          </rPr>
          <t xml:space="preserve">个月
</t>
        </r>
        <r>
          <rPr>
            <sz val="9"/>
            <rFont val="Tahoma"/>
            <charset val="134"/>
          </rPr>
          <t>*</t>
        </r>
        <r>
          <rPr>
            <sz val="9"/>
            <rFont val="宋体"/>
            <charset val="134"/>
          </rPr>
          <t>职业资格继续教育</t>
        </r>
        <r>
          <rPr>
            <sz val="9"/>
            <rFont val="Tahoma"/>
            <charset val="134"/>
          </rPr>
          <t xml:space="preserve"> 3600</t>
        </r>
        <r>
          <rPr>
            <sz val="9"/>
            <rFont val="宋体"/>
            <charset val="134"/>
          </rPr>
          <t>元</t>
        </r>
        <r>
          <rPr>
            <sz val="9"/>
            <rFont val="Tahoma"/>
            <charset val="134"/>
          </rPr>
          <t>/</t>
        </r>
        <r>
          <rPr>
            <sz val="9"/>
            <rFont val="宋体"/>
            <charset val="134"/>
          </rPr>
          <t>年，取得证书年度</t>
        </r>
      </text>
    </comment>
    <comment ref="AA3" authorId="1">
      <text>
        <r>
          <rPr>
            <sz val="9"/>
            <rFont val="宋体"/>
            <charset val="134"/>
          </rPr>
          <t xml:space="preserve">
*自费超过1.5万，8万/年
*由纳税人在年度汇算清缴时办理，无需填写</t>
        </r>
      </text>
    </comment>
  </commentList>
</comments>
</file>

<file path=xl/comments11.xml><?xml version="1.0" encoding="utf-8"?>
<comments xmlns="http://schemas.openxmlformats.org/spreadsheetml/2006/main">
  <authors>
    <author>xbany</author>
    <author>AutoBVT</author>
    <author>lenovo</author>
  </authors>
  <commentList>
    <comment ref="R2" authorId="0">
      <text>
        <r>
          <rPr>
            <sz val="9"/>
            <rFont val="宋体"/>
            <charset val="134"/>
          </rPr>
          <t xml:space="preserve">
其他扣除限以下内容：</t>
        </r>
        <r>
          <rPr>
            <sz val="9"/>
            <rFont val="Tahoma"/>
            <charset val="134"/>
          </rPr>
          <t xml:space="preserve">
</t>
        </r>
        <r>
          <rPr>
            <sz val="9"/>
            <rFont val="宋体"/>
            <charset val="134"/>
          </rPr>
          <t>年金、商业健康保险、税延养老保险、财产原值、允许扣除的税费、其他国家规定扣除</t>
        </r>
      </text>
    </comment>
    <comment ref="S2" authorId="1">
      <text>
        <r>
          <rPr>
            <sz val="9"/>
            <rFont val="宋体"/>
            <charset val="134"/>
          </rPr>
          <t xml:space="preserve">
填写本年度截止当前月份的工资、薪金所得累计金额</t>
        </r>
      </text>
    </comment>
    <comment ref="T2" authorId="1">
      <text>
        <r>
          <rPr>
            <sz val="9"/>
            <rFont val="宋体"/>
            <charset val="134"/>
          </rPr>
          <t xml:space="preserve">
5000元/月乘以纳税人当年在本单位任职受雇月份</t>
        </r>
      </text>
    </comment>
    <comment ref="U2" authorId="1">
      <text>
        <r>
          <rPr>
            <sz val="9"/>
            <rFont val="宋体"/>
            <charset val="134"/>
          </rPr>
          <t xml:space="preserve">
本年度截止当前月份的个人社保累计金额</t>
        </r>
      </text>
    </comment>
    <comment ref="V2" authorId="1">
      <text>
        <r>
          <rPr>
            <b/>
            <sz val="9"/>
            <rFont val="宋体"/>
            <charset val="134"/>
          </rPr>
          <t>AutoBVT:</t>
        </r>
        <r>
          <rPr>
            <sz val="9"/>
            <rFont val="宋体"/>
            <charset val="134"/>
          </rPr>
          <t xml:space="preserve">
分别填写截止当前月份的专项附加扣除累计金额</t>
        </r>
      </text>
    </comment>
    <comment ref="AB2" authorId="1">
      <text>
        <r>
          <rPr>
            <sz val="9"/>
            <rFont val="宋体"/>
            <charset val="134"/>
          </rPr>
          <t xml:space="preserve">
本年度截止当前月份的专项附加扣除累计金额</t>
        </r>
      </text>
    </comment>
    <comment ref="AC2" authorId="1">
      <text>
        <r>
          <rPr>
            <sz val="9"/>
            <rFont val="宋体"/>
            <charset val="134"/>
          </rPr>
          <t xml:space="preserve">
本年度截止当前月份的国家允许的其他扣除累计金额</t>
        </r>
      </text>
    </comment>
    <comment ref="AD2" authorId="1">
      <text>
        <r>
          <rPr>
            <sz val="9"/>
            <rFont val="宋体"/>
            <charset val="134"/>
          </rPr>
          <t xml:space="preserve">
本年度截止当前月份的累计应纳税所得额</t>
        </r>
      </text>
    </comment>
    <comment ref="AF2" authorId="1">
      <text>
        <r>
          <rPr>
            <sz val="9"/>
            <rFont val="宋体"/>
            <charset val="134"/>
          </rPr>
          <t xml:space="preserve">
填写本年度截止当前月份已累计扣缴总税额</t>
        </r>
      </text>
    </comment>
    <comment ref="AG2" authorId="1">
      <text>
        <r>
          <rPr>
            <b/>
            <sz val="9"/>
            <rFont val="宋体"/>
            <charset val="134"/>
          </rPr>
          <t>AutoBVT:</t>
        </r>
        <r>
          <rPr>
            <sz val="9"/>
            <rFont val="宋体"/>
            <charset val="134"/>
          </rPr>
          <t xml:space="preserve">
累计预扣预缴税额-已预扣预缴税额=本月应补（退）税额</t>
        </r>
      </text>
    </comment>
    <comment ref="AH2" authorId="1">
      <text>
        <r>
          <rPr>
            <sz val="9"/>
            <rFont val="宋体"/>
            <charset val="134"/>
          </rPr>
          <t xml:space="preserve">
本月应发工资-本月个人应扣金额-本月应扣个税=净工资</t>
        </r>
      </text>
    </comment>
    <comment ref="AI2" authorId="2">
      <text>
        <r>
          <rPr>
            <sz val="9"/>
            <rFont val="Tahoma"/>
            <charset val="134"/>
          </rPr>
          <t xml:space="preserve">
*</t>
        </r>
        <r>
          <rPr>
            <sz val="9"/>
            <rFont val="宋体"/>
            <charset val="134"/>
          </rPr>
          <t xml:space="preserve">补低差、罚款，取暖费、独生子女费、生育津贴、等等国家允许的不扣税项目
</t>
        </r>
        <r>
          <rPr>
            <sz val="9"/>
            <rFont val="Tahoma"/>
            <charset val="134"/>
          </rPr>
          <t>*</t>
        </r>
        <r>
          <rPr>
            <sz val="9"/>
            <rFont val="宋体"/>
            <charset val="134"/>
          </rPr>
          <t>补偿金或赔偿金不超过当地年平均工资</t>
        </r>
        <r>
          <rPr>
            <sz val="9"/>
            <rFont val="Tahoma"/>
            <charset val="134"/>
          </rPr>
          <t>3</t>
        </r>
        <r>
          <rPr>
            <sz val="9"/>
            <rFont val="宋体"/>
            <charset val="134"/>
          </rPr>
          <t xml:space="preserve">倍
</t>
        </r>
      </text>
    </comment>
    <comment ref="V3" authorId="0">
      <text>
        <r>
          <rPr>
            <sz val="9"/>
            <rFont val="Tahoma"/>
            <charset val="134"/>
          </rPr>
          <t xml:space="preserve">
*1000</t>
        </r>
        <r>
          <rPr>
            <sz val="9"/>
            <rFont val="宋体"/>
            <charset val="134"/>
          </rPr>
          <t>元</t>
        </r>
        <r>
          <rPr>
            <sz val="9"/>
            <rFont val="Tahoma"/>
            <charset val="134"/>
          </rPr>
          <t>/</t>
        </r>
        <r>
          <rPr>
            <sz val="9"/>
            <rFont val="宋体"/>
            <charset val="134"/>
          </rPr>
          <t>子女</t>
        </r>
        <r>
          <rPr>
            <sz val="9"/>
            <rFont val="Tahoma"/>
            <charset val="134"/>
          </rPr>
          <t>/</t>
        </r>
        <r>
          <rPr>
            <sz val="9"/>
            <rFont val="宋体"/>
            <charset val="134"/>
          </rPr>
          <t>月</t>
        </r>
      </text>
    </comment>
    <comment ref="W3" authorId="1">
      <text>
        <r>
          <rPr>
            <sz val="9"/>
            <rFont val="宋体"/>
            <charset val="134"/>
          </rPr>
          <t xml:space="preserve">
*独生子女 2000元/月
*非独生子女均摊，最高不能超过1000元/月</t>
        </r>
      </text>
    </comment>
    <comment ref="X3" authorId="0">
      <text>
        <r>
          <rPr>
            <sz val="9"/>
            <rFont val="Tahoma"/>
            <charset val="134"/>
          </rPr>
          <t xml:space="preserve">
*1000</t>
        </r>
        <r>
          <rPr>
            <sz val="9"/>
            <rFont val="宋体"/>
            <charset val="134"/>
          </rPr>
          <t>元</t>
        </r>
        <r>
          <rPr>
            <sz val="9"/>
            <rFont val="Tahoma"/>
            <charset val="134"/>
          </rPr>
          <t>/</t>
        </r>
        <r>
          <rPr>
            <sz val="9"/>
            <rFont val="宋体"/>
            <charset val="134"/>
          </rPr>
          <t>月，</t>
        </r>
        <r>
          <rPr>
            <sz val="9"/>
            <rFont val="Tahoma"/>
            <charset val="134"/>
          </rPr>
          <t>240</t>
        </r>
        <r>
          <rPr>
            <sz val="9"/>
            <rFont val="宋体"/>
            <charset val="134"/>
          </rPr>
          <t>月为限，限首套</t>
        </r>
      </text>
    </comment>
    <comment ref="Y3" authorId="1">
      <text>
        <r>
          <rPr>
            <sz val="9"/>
            <rFont val="宋体"/>
            <charset val="134"/>
          </rPr>
          <t xml:space="preserve">
*1500元/月，直辖市、省会、计划单列城市
*1100元/月，市人口 &gt;100万
*800元/月，市人口 &lt;100万</t>
        </r>
      </text>
    </comment>
    <comment ref="Z3" authorId="0">
      <text>
        <r>
          <rPr>
            <sz val="9"/>
            <rFont val="Tahoma"/>
            <charset val="134"/>
          </rPr>
          <t xml:space="preserve">
*</t>
        </r>
        <r>
          <rPr>
            <sz val="9"/>
            <rFont val="宋体"/>
            <charset val="134"/>
          </rPr>
          <t>学历继续教育</t>
        </r>
        <r>
          <rPr>
            <sz val="9"/>
            <rFont val="Tahoma"/>
            <charset val="134"/>
          </rPr>
          <t xml:space="preserve"> 400</t>
        </r>
        <r>
          <rPr>
            <sz val="9"/>
            <rFont val="宋体"/>
            <charset val="134"/>
          </rPr>
          <t>元</t>
        </r>
        <r>
          <rPr>
            <sz val="9"/>
            <rFont val="Tahoma"/>
            <charset val="134"/>
          </rPr>
          <t>/</t>
        </r>
        <r>
          <rPr>
            <sz val="9"/>
            <rFont val="宋体"/>
            <charset val="134"/>
          </rPr>
          <t>月，</t>
        </r>
        <r>
          <rPr>
            <sz val="9"/>
            <rFont val="Tahoma"/>
            <charset val="134"/>
          </rPr>
          <t>48</t>
        </r>
        <r>
          <rPr>
            <sz val="9"/>
            <rFont val="宋体"/>
            <charset val="134"/>
          </rPr>
          <t xml:space="preserve">个月
</t>
        </r>
        <r>
          <rPr>
            <sz val="9"/>
            <rFont val="Tahoma"/>
            <charset val="134"/>
          </rPr>
          <t>*</t>
        </r>
        <r>
          <rPr>
            <sz val="9"/>
            <rFont val="宋体"/>
            <charset val="134"/>
          </rPr>
          <t>职业资格继续教育</t>
        </r>
        <r>
          <rPr>
            <sz val="9"/>
            <rFont val="Tahoma"/>
            <charset val="134"/>
          </rPr>
          <t xml:space="preserve"> 3600</t>
        </r>
        <r>
          <rPr>
            <sz val="9"/>
            <rFont val="宋体"/>
            <charset val="134"/>
          </rPr>
          <t>元</t>
        </r>
        <r>
          <rPr>
            <sz val="9"/>
            <rFont val="Tahoma"/>
            <charset val="134"/>
          </rPr>
          <t>/</t>
        </r>
        <r>
          <rPr>
            <sz val="9"/>
            <rFont val="宋体"/>
            <charset val="134"/>
          </rPr>
          <t>年，取得证书年度</t>
        </r>
      </text>
    </comment>
    <comment ref="AA3" authorId="1">
      <text>
        <r>
          <rPr>
            <sz val="9"/>
            <rFont val="宋体"/>
            <charset val="134"/>
          </rPr>
          <t xml:space="preserve">
*自费超过1.5万，8万/年
*由纳税人在年度汇算清缴时办理，无需填写</t>
        </r>
      </text>
    </comment>
  </commentList>
</comments>
</file>

<file path=xl/comments12.xml><?xml version="1.0" encoding="utf-8"?>
<comments xmlns="http://schemas.openxmlformats.org/spreadsheetml/2006/main">
  <authors>
    <author>xbany</author>
    <author>AutoBVT</author>
    <author>lenovo</author>
  </authors>
  <commentList>
    <comment ref="R2" authorId="0">
      <text>
        <r>
          <rPr>
            <sz val="9"/>
            <rFont val="宋体"/>
            <charset val="134"/>
          </rPr>
          <t xml:space="preserve">
其他扣除限以下内容：</t>
        </r>
        <r>
          <rPr>
            <sz val="9"/>
            <rFont val="Tahoma"/>
            <charset val="134"/>
          </rPr>
          <t xml:space="preserve">
</t>
        </r>
        <r>
          <rPr>
            <sz val="9"/>
            <rFont val="宋体"/>
            <charset val="134"/>
          </rPr>
          <t>年金、商业健康保险、税延养老保险、财产原值、允许扣除的税费、其他国家规定扣除</t>
        </r>
      </text>
    </comment>
    <comment ref="S2" authorId="1">
      <text>
        <r>
          <rPr>
            <sz val="9"/>
            <rFont val="宋体"/>
            <charset val="134"/>
          </rPr>
          <t xml:space="preserve">
填写本年度截止当前月份的工资、薪金所得累计金额</t>
        </r>
      </text>
    </comment>
    <comment ref="T2" authorId="1">
      <text>
        <r>
          <rPr>
            <sz val="9"/>
            <rFont val="宋体"/>
            <charset val="134"/>
          </rPr>
          <t xml:space="preserve">
5000元/月乘以纳税人当年在本单位任职受雇月份</t>
        </r>
      </text>
    </comment>
    <comment ref="U2" authorId="1">
      <text>
        <r>
          <rPr>
            <sz val="9"/>
            <rFont val="宋体"/>
            <charset val="134"/>
          </rPr>
          <t xml:space="preserve">
本年度截止当前月份的个人社保累计金额</t>
        </r>
      </text>
    </comment>
    <comment ref="V2" authorId="1">
      <text>
        <r>
          <rPr>
            <b/>
            <sz val="9"/>
            <rFont val="宋体"/>
            <charset val="134"/>
          </rPr>
          <t>AutoBVT:</t>
        </r>
        <r>
          <rPr>
            <sz val="9"/>
            <rFont val="宋体"/>
            <charset val="134"/>
          </rPr>
          <t xml:space="preserve">
分别填写截止当前月份的专项附加扣除累计金额</t>
        </r>
      </text>
    </comment>
    <comment ref="AB2" authorId="1">
      <text>
        <r>
          <rPr>
            <sz val="9"/>
            <rFont val="宋体"/>
            <charset val="134"/>
          </rPr>
          <t xml:space="preserve">
本年度截止当前月份的专项附加扣除累计金额</t>
        </r>
      </text>
    </comment>
    <comment ref="AC2" authorId="1">
      <text>
        <r>
          <rPr>
            <sz val="9"/>
            <rFont val="宋体"/>
            <charset val="134"/>
          </rPr>
          <t xml:space="preserve">
本年度截止当前月份的国家允许的其他扣除累计金额</t>
        </r>
      </text>
    </comment>
    <comment ref="AD2" authorId="1">
      <text>
        <r>
          <rPr>
            <sz val="9"/>
            <rFont val="宋体"/>
            <charset val="134"/>
          </rPr>
          <t xml:space="preserve">
本年度截止当前月份的累计应纳税所得额</t>
        </r>
      </text>
    </comment>
    <comment ref="AF2" authorId="1">
      <text>
        <r>
          <rPr>
            <sz val="9"/>
            <rFont val="宋体"/>
            <charset val="134"/>
          </rPr>
          <t xml:space="preserve">
填写本年度截止当前月份已累计扣缴总税额</t>
        </r>
      </text>
    </comment>
    <comment ref="AG2" authorId="1">
      <text>
        <r>
          <rPr>
            <b/>
            <sz val="9"/>
            <rFont val="宋体"/>
            <charset val="134"/>
          </rPr>
          <t>AutoBVT:</t>
        </r>
        <r>
          <rPr>
            <sz val="9"/>
            <rFont val="宋体"/>
            <charset val="134"/>
          </rPr>
          <t xml:space="preserve">
累计预扣预缴税额-已预扣预缴税额=本月应补（退）税额</t>
        </r>
      </text>
    </comment>
    <comment ref="AH2" authorId="1">
      <text>
        <r>
          <rPr>
            <sz val="9"/>
            <rFont val="宋体"/>
            <charset val="134"/>
          </rPr>
          <t xml:space="preserve">
本月应发工资-本月个人应扣金额-本月应扣个税=净工资</t>
        </r>
      </text>
    </comment>
    <comment ref="AI2" authorId="2">
      <text>
        <r>
          <rPr>
            <sz val="9"/>
            <rFont val="Tahoma"/>
            <charset val="134"/>
          </rPr>
          <t xml:space="preserve">
*</t>
        </r>
        <r>
          <rPr>
            <sz val="9"/>
            <rFont val="宋体"/>
            <charset val="134"/>
          </rPr>
          <t xml:space="preserve">补低差、罚款，取暖费、独生子女费、生育津贴、等等国家允许的不扣税项目
</t>
        </r>
        <r>
          <rPr>
            <sz val="9"/>
            <rFont val="Tahoma"/>
            <charset val="134"/>
          </rPr>
          <t>*</t>
        </r>
        <r>
          <rPr>
            <sz val="9"/>
            <rFont val="宋体"/>
            <charset val="134"/>
          </rPr>
          <t>补偿金或赔偿金不超过当地年平均工资</t>
        </r>
        <r>
          <rPr>
            <sz val="9"/>
            <rFont val="Tahoma"/>
            <charset val="134"/>
          </rPr>
          <t>3</t>
        </r>
        <r>
          <rPr>
            <sz val="9"/>
            <rFont val="宋体"/>
            <charset val="134"/>
          </rPr>
          <t xml:space="preserve">倍
</t>
        </r>
      </text>
    </comment>
    <comment ref="V3" authorId="0">
      <text>
        <r>
          <rPr>
            <sz val="9"/>
            <rFont val="Tahoma"/>
            <charset val="134"/>
          </rPr>
          <t xml:space="preserve">
*1000</t>
        </r>
        <r>
          <rPr>
            <sz val="9"/>
            <rFont val="宋体"/>
            <charset val="134"/>
          </rPr>
          <t>元</t>
        </r>
        <r>
          <rPr>
            <sz val="9"/>
            <rFont val="Tahoma"/>
            <charset val="134"/>
          </rPr>
          <t>/</t>
        </r>
        <r>
          <rPr>
            <sz val="9"/>
            <rFont val="宋体"/>
            <charset val="134"/>
          </rPr>
          <t>子女</t>
        </r>
        <r>
          <rPr>
            <sz val="9"/>
            <rFont val="Tahoma"/>
            <charset val="134"/>
          </rPr>
          <t>/</t>
        </r>
        <r>
          <rPr>
            <sz val="9"/>
            <rFont val="宋体"/>
            <charset val="134"/>
          </rPr>
          <t>月</t>
        </r>
      </text>
    </comment>
    <comment ref="W3" authorId="1">
      <text>
        <r>
          <rPr>
            <sz val="9"/>
            <rFont val="宋体"/>
            <charset val="134"/>
          </rPr>
          <t xml:space="preserve">
*独生子女 2000元/月
*非独生子女均摊，最高不能超过1000元/月</t>
        </r>
      </text>
    </comment>
    <comment ref="X3" authorId="0">
      <text>
        <r>
          <rPr>
            <sz val="9"/>
            <rFont val="Tahoma"/>
            <charset val="134"/>
          </rPr>
          <t xml:space="preserve">
*1000</t>
        </r>
        <r>
          <rPr>
            <sz val="9"/>
            <rFont val="宋体"/>
            <charset val="134"/>
          </rPr>
          <t>元</t>
        </r>
        <r>
          <rPr>
            <sz val="9"/>
            <rFont val="Tahoma"/>
            <charset val="134"/>
          </rPr>
          <t>/</t>
        </r>
        <r>
          <rPr>
            <sz val="9"/>
            <rFont val="宋体"/>
            <charset val="134"/>
          </rPr>
          <t>月，</t>
        </r>
        <r>
          <rPr>
            <sz val="9"/>
            <rFont val="Tahoma"/>
            <charset val="134"/>
          </rPr>
          <t>240</t>
        </r>
        <r>
          <rPr>
            <sz val="9"/>
            <rFont val="宋体"/>
            <charset val="134"/>
          </rPr>
          <t>月为限，限首套</t>
        </r>
      </text>
    </comment>
    <comment ref="Y3" authorId="1">
      <text>
        <r>
          <rPr>
            <sz val="9"/>
            <rFont val="宋体"/>
            <charset val="134"/>
          </rPr>
          <t xml:space="preserve">
*1500元/月，直辖市、省会、计划单列城市
*1100元/月，市人口 &gt;100万
*800元/月，市人口 &lt;100万</t>
        </r>
      </text>
    </comment>
    <comment ref="Z3" authorId="0">
      <text>
        <r>
          <rPr>
            <sz val="9"/>
            <rFont val="Tahoma"/>
            <charset val="134"/>
          </rPr>
          <t xml:space="preserve">
*</t>
        </r>
        <r>
          <rPr>
            <sz val="9"/>
            <rFont val="宋体"/>
            <charset val="134"/>
          </rPr>
          <t>学历继续教育</t>
        </r>
        <r>
          <rPr>
            <sz val="9"/>
            <rFont val="Tahoma"/>
            <charset val="134"/>
          </rPr>
          <t xml:space="preserve"> 400</t>
        </r>
        <r>
          <rPr>
            <sz val="9"/>
            <rFont val="宋体"/>
            <charset val="134"/>
          </rPr>
          <t>元</t>
        </r>
        <r>
          <rPr>
            <sz val="9"/>
            <rFont val="Tahoma"/>
            <charset val="134"/>
          </rPr>
          <t>/</t>
        </r>
        <r>
          <rPr>
            <sz val="9"/>
            <rFont val="宋体"/>
            <charset val="134"/>
          </rPr>
          <t>月，</t>
        </r>
        <r>
          <rPr>
            <sz val="9"/>
            <rFont val="Tahoma"/>
            <charset val="134"/>
          </rPr>
          <t>48</t>
        </r>
        <r>
          <rPr>
            <sz val="9"/>
            <rFont val="宋体"/>
            <charset val="134"/>
          </rPr>
          <t xml:space="preserve">个月
</t>
        </r>
        <r>
          <rPr>
            <sz val="9"/>
            <rFont val="Tahoma"/>
            <charset val="134"/>
          </rPr>
          <t>*</t>
        </r>
        <r>
          <rPr>
            <sz val="9"/>
            <rFont val="宋体"/>
            <charset val="134"/>
          </rPr>
          <t>职业资格继续教育</t>
        </r>
        <r>
          <rPr>
            <sz val="9"/>
            <rFont val="Tahoma"/>
            <charset val="134"/>
          </rPr>
          <t xml:space="preserve"> 3600</t>
        </r>
        <r>
          <rPr>
            <sz val="9"/>
            <rFont val="宋体"/>
            <charset val="134"/>
          </rPr>
          <t>元</t>
        </r>
        <r>
          <rPr>
            <sz val="9"/>
            <rFont val="Tahoma"/>
            <charset val="134"/>
          </rPr>
          <t>/</t>
        </r>
        <r>
          <rPr>
            <sz val="9"/>
            <rFont val="宋体"/>
            <charset val="134"/>
          </rPr>
          <t>年，取得证书年度</t>
        </r>
      </text>
    </comment>
    <comment ref="AA3" authorId="1">
      <text>
        <r>
          <rPr>
            <sz val="9"/>
            <rFont val="宋体"/>
            <charset val="134"/>
          </rPr>
          <t xml:space="preserve">
*自费超过1.5万，8万/年
*由纳税人在年度汇算清缴时办理，无需填写</t>
        </r>
      </text>
    </comment>
  </commentList>
</comments>
</file>

<file path=xl/comments13.xml><?xml version="1.0" encoding="utf-8"?>
<comments xmlns="http://schemas.openxmlformats.org/spreadsheetml/2006/main">
  <authors>
    <author>xbany</author>
    <author>AutoBVT</author>
    <author>lenovo</author>
  </authors>
  <commentList>
    <comment ref="R2" authorId="0">
      <text>
        <r>
          <rPr>
            <sz val="9"/>
            <rFont val="宋体"/>
            <charset val="134"/>
          </rPr>
          <t xml:space="preserve">
其他扣除限以下内容：</t>
        </r>
        <r>
          <rPr>
            <sz val="9"/>
            <rFont val="Tahoma"/>
            <charset val="134"/>
          </rPr>
          <t xml:space="preserve">
</t>
        </r>
        <r>
          <rPr>
            <sz val="9"/>
            <rFont val="宋体"/>
            <charset val="134"/>
          </rPr>
          <t>年金、商业健康保险、税延养老保险、财产原值、允许扣除的税费、其他国家规定扣除</t>
        </r>
      </text>
    </comment>
    <comment ref="S2" authorId="1">
      <text>
        <r>
          <rPr>
            <sz val="9"/>
            <rFont val="宋体"/>
            <charset val="134"/>
          </rPr>
          <t xml:space="preserve">
填写本年度截止当前月份的工资、薪金所得累计金额</t>
        </r>
      </text>
    </comment>
    <comment ref="T2" authorId="1">
      <text>
        <r>
          <rPr>
            <sz val="9"/>
            <rFont val="宋体"/>
            <charset val="134"/>
          </rPr>
          <t xml:space="preserve">
5000元/月乘以纳税人当年在本单位任职受雇月份</t>
        </r>
      </text>
    </comment>
    <comment ref="U2" authorId="1">
      <text>
        <r>
          <rPr>
            <sz val="9"/>
            <rFont val="宋体"/>
            <charset val="134"/>
          </rPr>
          <t xml:space="preserve">
本年度截止当前月份的个人社保累计金额</t>
        </r>
      </text>
    </comment>
    <comment ref="V2" authorId="1">
      <text>
        <r>
          <rPr>
            <b/>
            <sz val="9"/>
            <rFont val="宋体"/>
            <charset val="134"/>
          </rPr>
          <t>AutoBVT:</t>
        </r>
        <r>
          <rPr>
            <sz val="9"/>
            <rFont val="宋体"/>
            <charset val="134"/>
          </rPr>
          <t xml:space="preserve">
分别填写截止当前月份的专项附加扣除累计金额</t>
        </r>
      </text>
    </comment>
    <comment ref="AB2" authorId="1">
      <text>
        <r>
          <rPr>
            <sz val="9"/>
            <rFont val="宋体"/>
            <charset val="134"/>
          </rPr>
          <t xml:space="preserve">
本年度截止当前月份的专项附加扣除累计金额</t>
        </r>
      </text>
    </comment>
    <comment ref="AC2" authorId="1">
      <text>
        <r>
          <rPr>
            <sz val="9"/>
            <rFont val="宋体"/>
            <charset val="134"/>
          </rPr>
          <t xml:space="preserve">
本年度截止当前月份的国家允许的其他扣除累计金额</t>
        </r>
      </text>
    </comment>
    <comment ref="AD2" authorId="1">
      <text>
        <r>
          <rPr>
            <sz val="9"/>
            <rFont val="宋体"/>
            <charset val="134"/>
          </rPr>
          <t xml:space="preserve">
本年度截止当前月份的累计应纳税所得额</t>
        </r>
      </text>
    </comment>
    <comment ref="AF2" authorId="1">
      <text>
        <r>
          <rPr>
            <sz val="9"/>
            <rFont val="宋体"/>
            <charset val="134"/>
          </rPr>
          <t xml:space="preserve">
填写本年度截止当前月份已累计扣缴总税额</t>
        </r>
      </text>
    </comment>
    <comment ref="AG2" authorId="1">
      <text>
        <r>
          <rPr>
            <b/>
            <sz val="9"/>
            <rFont val="宋体"/>
            <charset val="134"/>
          </rPr>
          <t>AutoBVT:</t>
        </r>
        <r>
          <rPr>
            <sz val="9"/>
            <rFont val="宋体"/>
            <charset val="134"/>
          </rPr>
          <t xml:space="preserve">
累计预扣预缴税额-已预扣预缴税额=本月应补（退）税额</t>
        </r>
      </text>
    </comment>
    <comment ref="AH2" authorId="1">
      <text>
        <r>
          <rPr>
            <sz val="9"/>
            <rFont val="宋体"/>
            <charset val="134"/>
          </rPr>
          <t xml:space="preserve">
本月应发工资-本月个人应扣金额-本月应扣个税=净工资</t>
        </r>
      </text>
    </comment>
    <comment ref="AI2" authorId="2">
      <text>
        <r>
          <rPr>
            <sz val="9"/>
            <rFont val="Tahoma"/>
            <charset val="134"/>
          </rPr>
          <t xml:space="preserve">
*</t>
        </r>
        <r>
          <rPr>
            <sz val="9"/>
            <rFont val="宋体"/>
            <charset val="134"/>
          </rPr>
          <t xml:space="preserve">补低差、罚款，取暖费、独生子女费、生育津贴、等等国家允许的不扣税项目
</t>
        </r>
        <r>
          <rPr>
            <sz val="9"/>
            <rFont val="Tahoma"/>
            <charset val="134"/>
          </rPr>
          <t>*</t>
        </r>
        <r>
          <rPr>
            <sz val="9"/>
            <rFont val="宋体"/>
            <charset val="134"/>
          </rPr>
          <t>补偿金或赔偿金不超过当地年平均工资</t>
        </r>
        <r>
          <rPr>
            <sz val="9"/>
            <rFont val="Tahoma"/>
            <charset val="134"/>
          </rPr>
          <t>3</t>
        </r>
        <r>
          <rPr>
            <sz val="9"/>
            <rFont val="宋体"/>
            <charset val="134"/>
          </rPr>
          <t xml:space="preserve">倍
</t>
        </r>
      </text>
    </comment>
    <comment ref="V3" authorId="0">
      <text>
        <r>
          <rPr>
            <sz val="9"/>
            <rFont val="Tahoma"/>
            <charset val="134"/>
          </rPr>
          <t xml:space="preserve">
*1000</t>
        </r>
        <r>
          <rPr>
            <sz val="9"/>
            <rFont val="宋体"/>
            <charset val="134"/>
          </rPr>
          <t>元</t>
        </r>
        <r>
          <rPr>
            <sz val="9"/>
            <rFont val="Tahoma"/>
            <charset val="134"/>
          </rPr>
          <t>/</t>
        </r>
        <r>
          <rPr>
            <sz val="9"/>
            <rFont val="宋体"/>
            <charset val="134"/>
          </rPr>
          <t>子女</t>
        </r>
        <r>
          <rPr>
            <sz val="9"/>
            <rFont val="Tahoma"/>
            <charset val="134"/>
          </rPr>
          <t>/</t>
        </r>
        <r>
          <rPr>
            <sz val="9"/>
            <rFont val="宋体"/>
            <charset val="134"/>
          </rPr>
          <t>月</t>
        </r>
      </text>
    </comment>
    <comment ref="W3" authorId="1">
      <text>
        <r>
          <rPr>
            <sz val="9"/>
            <rFont val="宋体"/>
            <charset val="134"/>
          </rPr>
          <t xml:space="preserve">
*独生子女 2000元/月
*非独生子女均摊，最高不能超过1000元/月</t>
        </r>
      </text>
    </comment>
    <comment ref="X3" authorId="0">
      <text>
        <r>
          <rPr>
            <sz val="9"/>
            <rFont val="Tahoma"/>
            <charset val="134"/>
          </rPr>
          <t xml:space="preserve">
*1000</t>
        </r>
        <r>
          <rPr>
            <sz val="9"/>
            <rFont val="宋体"/>
            <charset val="134"/>
          </rPr>
          <t>元</t>
        </r>
        <r>
          <rPr>
            <sz val="9"/>
            <rFont val="Tahoma"/>
            <charset val="134"/>
          </rPr>
          <t>/</t>
        </r>
        <r>
          <rPr>
            <sz val="9"/>
            <rFont val="宋体"/>
            <charset val="134"/>
          </rPr>
          <t>月，</t>
        </r>
        <r>
          <rPr>
            <sz val="9"/>
            <rFont val="Tahoma"/>
            <charset val="134"/>
          </rPr>
          <t>240</t>
        </r>
        <r>
          <rPr>
            <sz val="9"/>
            <rFont val="宋体"/>
            <charset val="134"/>
          </rPr>
          <t>月为限，限首套</t>
        </r>
      </text>
    </comment>
    <comment ref="Y3" authorId="1">
      <text>
        <r>
          <rPr>
            <sz val="9"/>
            <rFont val="宋体"/>
            <charset val="134"/>
          </rPr>
          <t xml:space="preserve">
*1500元/月，直辖市、省会、计划单列城市
*1100元/月，市人口 &gt;100万
*800元/月，市人口 &lt;100万</t>
        </r>
      </text>
    </comment>
    <comment ref="Z3" authorId="0">
      <text>
        <r>
          <rPr>
            <sz val="9"/>
            <rFont val="Tahoma"/>
            <charset val="134"/>
          </rPr>
          <t xml:space="preserve">
*</t>
        </r>
        <r>
          <rPr>
            <sz val="9"/>
            <rFont val="宋体"/>
            <charset val="134"/>
          </rPr>
          <t>学历继续教育</t>
        </r>
        <r>
          <rPr>
            <sz val="9"/>
            <rFont val="Tahoma"/>
            <charset val="134"/>
          </rPr>
          <t xml:space="preserve"> 400</t>
        </r>
        <r>
          <rPr>
            <sz val="9"/>
            <rFont val="宋体"/>
            <charset val="134"/>
          </rPr>
          <t>元</t>
        </r>
        <r>
          <rPr>
            <sz val="9"/>
            <rFont val="Tahoma"/>
            <charset val="134"/>
          </rPr>
          <t>/</t>
        </r>
        <r>
          <rPr>
            <sz val="9"/>
            <rFont val="宋体"/>
            <charset val="134"/>
          </rPr>
          <t>月，</t>
        </r>
        <r>
          <rPr>
            <sz val="9"/>
            <rFont val="Tahoma"/>
            <charset val="134"/>
          </rPr>
          <t>48</t>
        </r>
        <r>
          <rPr>
            <sz val="9"/>
            <rFont val="宋体"/>
            <charset val="134"/>
          </rPr>
          <t xml:space="preserve">个月
</t>
        </r>
        <r>
          <rPr>
            <sz val="9"/>
            <rFont val="Tahoma"/>
            <charset val="134"/>
          </rPr>
          <t>*</t>
        </r>
        <r>
          <rPr>
            <sz val="9"/>
            <rFont val="宋体"/>
            <charset val="134"/>
          </rPr>
          <t>职业资格继续教育</t>
        </r>
        <r>
          <rPr>
            <sz val="9"/>
            <rFont val="Tahoma"/>
            <charset val="134"/>
          </rPr>
          <t xml:space="preserve"> 3600</t>
        </r>
        <r>
          <rPr>
            <sz val="9"/>
            <rFont val="宋体"/>
            <charset val="134"/>
          </rPr>
          <t>元</t>
        </r>
        <r>
          <rPr>
            <sz val="9"/>
            <rFont val="Tahoma"/>
            <charset val="134"/>
          </rPr>
          <t>/</t>
        </r>
        <r>
          <rPr>
            <sz val="9"/>
            <rFont val="宋体"/>
            <charset val="134"/>
          </rPr>
          <t>年，取得证书年度</t>
        </r>
      </text>
    </comment>
    <comment ref="AA3" authorId="1">
      <text>
        <r>
          <rPr>
            <sz val="9"/>
            <rFont val="宋体"/>
            <charset val="134"/>
          </rPr>
          <t xml:space="preserve">
*自费超过1.5万，8万/年
*由纳税人在年度汇算清缴时办理，无需填写</t>
        </r>
      </text>
    </comment>
  </commentList>
</comments>
</file>

<file path=xl/comments14.xml><?xml version="1.0" encoding="utf-8"?>
<comments xmlns="http://schemas.openxmlformats.org/spreadsheetml/2006/main">
  <authors>
    <author>xbany</author>
    <author>AutoBVT</author>
    <author>lenovo</author>
  </authors>
  <commentList>
    <comment ref="R2" authorId="0">
      <text>
        <r>
          <rPr>
            <sz val="9"/>
            <rFont val="宋体"/>
            <charset val="134"/>
          </rPr>
          <t xml:space="preserve">
其他扣除限以下内容：</t>
        </r>
        <r>
          <rPr>
            <sz val="9"/>
            <rFont val="Tahoma"/>
            <charset val="134"/>
          </rPr>
          <t xml:space="preserve">
</t>
        </r>
        <r>
          <rPr>
            <sz val="9"/>
            <rFont val="宋体"/>
            <charset val="134"/>
          </rPr>
          <t>年金、商业健康保险、税延养老保险、财产原值、允许扣除的税费、其他国家规定扣除</t>
        </r>
      </text>
    </comment>
    <comment ref="S2" authorId="1">
      <text>
        <r>
          <rPr>
            <sz val="9"/>
            <rFont val="宋体"/>
            <charset val="134"/>
          </rPr>
          <t xml:space="preserve">
填写本年度截止当前月份的工资、薪金所得累计金额</t>
        </r>
      </text>
    </comment>
    <comment ref="T2" authorId="1">
      <text>
        <r>
          <rPr>
            <sz val="9"/>
            <rFont val="宋体"/>
            <charset val="134"/>
          </rPr>
          <t xml:space="preserve">
5000元/月乘以纳税人当年在本单位任职受雇月份</t>
        </r>
      </text>
    </comment>
    <comment ref="U2" authorId="1">
      <text>
        <r>
          <rPr>
            <sz val="9"/>
            <rFont val="宋体"/>
            <charset val="134"/>
          </rPr>
          <t xml:space="preserve">
本年度截止当前月份的个人社保累计金额</t>
        </r>
      </text>
    </comment>
    <comment ref="V2" authorId="1">
      <text>
        <r>
          <rPr>
            <b/>
            <sz val="9"/>
            <rFont val="宋体"/>
            <charset val="134"/>
          </rPr>
          <t>AutoBVT:</t>
        </r>
        <r>
          <rPr>
            <sz val="9"/>
            <rFont val="宋体"/>
            <charset val="134"/>
          </rPr>
          <t xml:space="preserve">
分别填写截止当前月份的专项附加扣除累计金额</t>
        </r>
      </text>
    </comment>
    <comment ref="AB2" authorId="1">
      <text>
        <r>
          <rPr>
            <sz val="9"/>
            <rFont val="宋体"/>
            <charset val="134"/>
          </rPr>
          <t xml:space="preserve">
本年度截止当前月份的专项附加扣除累计金额</t>
        </r>
      </text>
    </comment>
    <comment ref="AC2" authorId="1">
      <text>
        <r>
          <rPr>
            <sz val="9"/>
            <rFont val="宋体"/>
            <charset val="134"/>
          </rPr>
          <t xml:space="preserve">
本年度截止当前月份的国家允许的其他扣除累计金额</t>
        </r>
      </text>
    </comment>
    <comment ref="AD2" authorId="1">
      <text>
        <r>
          <rPr>
            <sz val="9"/>
            <rFont val="宋体"/>
            <charset val="134"/>
          </rPr>
          <t xml:space="preserve">
本年度截止当前月份的累计应纳税所得额</t>
        </r>
      </text>
    </comment>
    <comment ref="AF2" authorId="1">
      <text>
        <r>
          <rPr>
            <sz val="9"/>
            <rFont val="宋体"/>
            <charset val="134"/>
          </rPr>
          <t xml:space="preserve">
填写本年度截止当前月份已累计扣缴总税额</t>
        </r>
      </text>
    </comment>
    <comment ref="AG2" authorId="1">
      <text>
        <r>
          <rPr>
            <b/>
            <sz val="9"/>
            <rFont val="宋体"/>
            <charset val="134"/>
          </rPr>
          <t>AutoBVT:</t>
        </r>
        <r>
          <rPr>
            <sz val="9"/>
            <rFont val="宋体"/>
            <charset val="134"/>
          </rPr>
          <t xml:space="preserve">
累计预扣预缴税额-已预扣预缴税额=本月应补（退）税额</t>
        </r>
      </text>
    </comment>
    <comment ref="AH2" authorId="1">
      <text>
        <r>
          <rPr>
            <sz val="9"/>
            <rFont val="宋体"/>
            <charset val="134"/>
          </rPr>
          <t xml:space="preserve">
本月应发工资-本月个人应扣金额-本月应扣个税=净工资</t>
        </r>
      </text>
    </comment>
    <comment ref="AI2" authorId="2">
      <text>
        <r>
          <rPr>
            <sz val="9"/>
            <rFont val="Tahoma"/>
            <charset val="134"/>
          </rPr>
          <t xml:space="preserve">
*</t>
        </r>
        <r>
          <rPr>
            <sz val="9"/>
            <rFont val="宋体"/>
            <charset val="134"/>
          </rPr>
          <t xml:space="preserve">补低差、罚款，取暖费、独生子女费、生育津贴、等等国家允许的不扣税项目
</t>
        </r>
        <r>
          <rPr>
            <sz val="9"/>
            <rFont val="Tahoma"/>
            <charset val="134"/>
          </rPr>
          <t>*</t>
        </r>
        <r>
          <rPr>
            <sz val="9"/>
            <rFont val="宋体"/>
            <charset val="134"/>
          </rPr>
          <t>补偿金或赔偿金不超过当地年平均工资</t>
        </r>
        <r>
          <rPr>
            <sz val="9"/>
            <rFont val="Tahoma"/>
            <charset val="134"/>
          </rPr>
          <t>3</t>
        </r>
        <r>
          <rPr>
            <sz val="9"/>
            <rFont val="宋体"/>
            <charset val="134"/>
          </rPr>
          <t xml:space="preserve">倍
</t>
        </r>
      </text>
    </comment>
    <comment ref="V3" authorId="0">
      <text>
        <r>
          <rPr>
            <sz val="9"/>
            <rFont val="Tahoma"/>
            <charset val="134"/>
          </rPr>
          <t xml:space="preserve">
*1000</t>
        </r>
        <r>
          <rPr>
            <sz val="9"/>
            <rFont val="宋体"/>
            <charset val="134"/>
          </rPr>
          <t>元</t>
        </r>
        <r>
          <rPr>
            <sz val="9"/>
            <rFont val="Tahoma"/>
            <charset val="134"/>
          </rPr>
          <t>/</t>
        </r>
        <r>
          <rPr>
            <sz val="9"/>
            <rFont val="宋体"/>
            <charset val="134"/>
          </rPr>
          <t>子女</t>
        </r>
        <r>
          <rPr>
            <sz val="9"/>
            <rFont val="Tahoma"/>
            <charset val="134"/>
          </rPr>
          <t>/</t>
        </r>
        <r>
          <rPr>
            <sz val="9"/>
            <rFont val="宋体"/>
            <charset val="134"/>
          </rPr>
          <t>月</t>
        </r>
      </text>
    </comment>
    <comment ref="W3" authorId="1">
      <text>
        <r>
          <rPr>
            <sz val="9"/>
            <rFont val="宋体"/>
            <charset val="134"/>
          </rPr>
          <t xml:space="preserve">
*独生子女 2000元/月
*非独生子女均摊，最高不能超过1000元/月</t>
        </r>
      </text>
    </comment>
    <comment ref="X3" authorId="0">
      <text>
        <r>
          <rPr>
            <sz val="9"/>
            <rFont val="Tahoma"/>
            <charset val="134"/>
          </rPr>
          <t xml:space="preserve">
*1000</t>
        </r>
        <r>
          <rPr>
            <sz val="9"/>
            <rFont val="宋体"/>
            <charset val="134"/>
          </rPr>
          <t>元</t>
        </r>
        <r>
          <rPr>
            <sz val="9"/>
            <rFont val="Tahoma"/>
            <charset val="134"/>
          </rPr>
          <t>/</t>
        </r>
        <r>
          <rPr>
            <sz val="9"/>
            <rFont val="宋体"/>
            <charset val="134"/>
          </rPr>
          <t>月，</t>
        </r>
        <r>
          <rPr>
            <sz val="9"/>
            <rFont val="Tahoma"/>
            <charset val="134"/>
          </rPr>
          <t>240</t>
        </r>
        <r>
          <rPr>
            <sz val="9"/>
            <rFont val="宋体"/>
            <charset val="134"/>
          </rPr>
          <t>月为限，限首套</t>
        </r>
      </text>
    </comment>
    <comment ref="Y3" authorId="1">
      <text>
        <r>
          <rPr>
            <sz val="9"/>
            <rFont val="宋体"/>
            <charset val="134"/>
          </rPr>
          <t xml:space="preserve">
*1500元/月，直辖市、省会、计划单列城市
*1100元/月，市人口 &gt;100万
*800元/月，市人口 &lt;100万</t>
        </r>
      </text>
    </comment>
    <comment ref="Z3" authorId="0">
      <text>
        <r>
          <rPr>
            <sz val="9"/>
            <rFont val="Tahoma"/>
            <charset val="134"/>
          </rPr>
          <t xml:space="preserve">
*</t>
        </r>
        <r>
          <rPr>
            <sz val="9"/>
            <rFont val="宋体"/>
            <charset val="134"/>
          </rPr>
          <t>学历继续教育</t>
        </r>
        <r>
          <rPr>
            <sz val="9"/>
            <rFont val="Tahoma"/>
            <charset val="134"/>
          </rPr>
          <t xml:space="preserve"> 400</t>
        </r>
        <r>
          <rPr>
            <sz val="9"/>
            <rFont val="宋体"/>
            <charset val="134"/>
          </rPr>
          <t>元</t>
        </r>
        <r>
          <rPr>
            <sz val="9"/>
            <rFont val="Tahoma"/>
            <charset val="134"/>
          </rPr>
          <t>/</t>
        </r>
        <r>
          <rPr>
            <sz val="9"/>
            <rFont val="宋体"/>
            <charset val="134"/>
          </rPr>
          <t>月，</t>
        </r>
        <r>
          <rPr>
            <sz val="9"/>
            <rFont val="Tahoma"/>
            <charset val="134"/>
          </rPr>
          <t>48</t>
        </r>
        <r>
          <rPr>
            <sz val="9"/>
            <rFont val="宋体"/>
            <charset val="134"/>
          </rPr>
          <t xml:space="preserve">个月
</t>
        </r>
        <r>
          <rPr>
            <sz val="9"/>
            <rFont val="Tahoma"/>
            <charset val="134"/>
          </rPr>
          <t>*</t>
        </r>
        <r>
          <rPr>
            <sz val="9"/>
            <rFont val="宋体"/>
            <charset val="134"/>
          </rPr>
          <t>职业资格继续教育</t>
        </r>
        <r>
          <rPr>
            <sz val="9"/>
            <rFont val="Tahoma"/>
            <charset val="134"/>
          </rPr>
          <t xml:space="preserve"> 3600</t>
        </r>
        <r>
          <rPr>
            <sz val="9"/>
            <rFont val="宋体"/>
            <charset val="134"/>
          </rPr>
          <t>元</t>
        </r>
        <r>
          <rPr>
            <sz val="9"/>
            <rFont val="Tahoma"/>
            <charset val="134"/>
          </rPr>
          <t>/</t>
        </r>
        <r>
          <rPr>
            <sz val="9"/>
            <rFont val="宋体"/>
            <charset val="134"/>
          </rPr>
          <t>年，取得证书年度</t>
        </r>
      </text>
    </comment>
    <comment ref="AA3" authorId="1">
      <text>
        <r>
          <rPr>
            <sz val="9"/>
            <rFont val="宋体"/>
            <charset val="134"/>
          </rPr>
          <t xml:space="preserve">
*自费超过1.5万，8万/年
*由纳税人在年度汇算清缴时办理，无需填写</t>
        </r>
      </text>
    </comment>
  </commentList>
</comments>
</file>

<file path=xl/comments2.xml><?xml version="1.0" encoding="utf-8"?>
<comments xmlns="http://schemas.openxmlformats.org/spreadsheetml/2006/main">
  <authors>
    <author>作者</author>
  </authors>
  <commentList>
    <comment ref="F17" authorId="0">
      <text>
        <r>
          <rPr>
            <sz val="9"/>
            <rFont val="宋体"/>
            <charset val="134"/>
          </rPr>
          <t>作者:
含补缴人数</t>
        </r>
      </text>
    </comment>
  </commentList>
</comments>
</file>

<file path=xl/comments3.xml><?xml version="1.0" encoding="utf-8"?>
<comments xmlns="http://schemas.openxmlformats.org/spreadsheetml/2006/main">
  <authors>
    <author>xbany</author>
    <author>AutoBVT</author>
    <author>lenovo</author>
  </authors>
  <commentList>
    <comment ref="R2" authorId="0">
      <text>
        <r>
          <rPr>
            <sz val="9"/>
            <rFont val="宋体"/>
            <charset val="134"/>
          </rPr>
          <t xml:space="preserve">
其他扣除限以下内容：</t>
        </r>
        <r>
          <rPr>
            <sz val="9"/>
            <rFont val="Tahoma"/>
            <charset val="134"/>
          </rPr>
          <t xml:space="preserve">
</t>
        </r>
        <r>
          <rPr>
            <sz val="9"/>
            <rFont val="宋体"/>
            <charset val="134"/>
          </rPr>
          <t>年金、商业健康保险、税延养老保险、财产原值、允许扣除的税费、其他国家规定扣除</t>
        </r>
      </text>
    </comment>
    <comment ref="S2" authorId="1">
      <text>
        <r>
          <rPr>
            <sz val="9"/>
            <rFont val="宋体"/>
            <charset val="134"/>
          </rPr>
          <t xml:space="preserve">
填写本年度截止当前月份的工资、薪金所得累计金额</t>
        </r>
      </text>
    </comment>
    <comment ref="T2" authorId="1">
      <text>
        <r>
          <rPr>
            <sz val="9"/>
            <rFont val="宋体"/>
            <charset val="134"/>
          </rPr>
          <t xml:space="preserve">
5000元/月乘以纳税人当年在本单位任职受雇月份</t>
        </r>
      </text>
    </comment>
    <comment ref="U2" authorId="1">
      <text>
        <r>
          <rPr>
            <sz val="9"/>
            <rFont val="宋体"/>
            <charset val="134"/>
          </rPr>
          <t xml:space="preserve">
本年度截止当前月份的个人社保累计金额</t>
        </r>
      </text>
    </comment>
    <comment ref="V2" authorId="1">
      <text>
        <r>
          <rPr>
            <b/>
            <sz val="9"/>
            <rFont val="宋体"/>
            <charset val="134"/>
          </rPr>
          <t>AutoBVT:</t>
        </r>
        <r>
          <rPr>
            <sz val="9"/>
            <rFont val="宋体"/>
            <charset val="134"/>
          </rPr>
          <t xml:space="preserve">
分别填写截止当前月份的专项附加扣除累计金额</t>
        </r>
      </text>
    </comment>
    <comment ref="AB2" authorId="1">
      <text>
        <r>
          <rPr>
            <sz val="9"/>
            <rFont val="宋体"/>
            <charset val="134"/>
          </rPr>
          <t xml:space="preserve">
本年度截止当前月份的专项附加扣除累计金额</t>
        </r>
      </text>
    </comment>
    <comment ref="AC2" authorId="1">
      <text>
        <r>
          <rPr>
            <sz val="9"/>
            <rFont val="宋体"/>
            <charset val="134"/>
          </rPr>
          <t xml:space="preserve">
本年度截止当前月份的国家允许的其他扣除累计金额</t>
        </r>
      </text>
    </comment>
    <comment ref="AD2" authorId="1">
      <text>
        <r>
          <rPr>
            <sz val="9"/>
            <rFont val="宋体"/>
            <charset val="134"/>
          </rPr>
          <t xml:space="preserve">
本年度截止当前月份的累计应纳税所得额</t>
        </r>
      </text>
    </comment>
    <comment ref="AF2" authorId="1">
      <text>
        <r>
          <rPr>
            <sz val="9"/>
            <rFont val="宋体"/>
            <charset val="134"/>
          </rPr>
          <t xml:space="preserve">
填写本年度截止当前月份已累计扣缴总税额</t>
        </r>
      </text>
    </comment>
    <comment ref="AG2" authorId="1">
      <text>
        <r>
          <rPr>
            <b/>
            <sz val="9"/>
            <rFont val="宋体"/>
            <charset val="134"/>
          </rPr>
          <t>AutoBVT:</t>
        </r>
        <r>
          <rPr>
            <sz val="9"/>
            <rFont val="宋体"/>
            <charset val="134"/>
          </rPr>
          <t xml:space="preserve">
累计预扣预缴税额-已预扣预缴税额=本月应补（退）税额</t>
        </r>
      </text>
    </comment>
    <comment ref="AH2" authorId="1">
      <text>
        <r>
          <rPr>
            <sz val="9"/>
            <rFont val="宋体"/>
            <charset val="134"/>
          </rPr>
          <t xml:space="preserve">
本月应发工资-本月个人应扣金额-本月应扣个税=净工资</t>
        </r>
      </text>
    </comment>
    <comment ref="AI2" authorId="2">
      <text>
        <r>
          <rPr>
            <sz val="9"/>
            <rFont val="Tahoma"/>
            <charset val="134"/>
          </rPr>
          <t xml:space="preserve">
*</t>
        </r>
        <r>
          <rPr>
            <sz val="9"/>
            <rFont val="宋体"/>
            <charset val="134"/>
          </rPr>
          <t xml:space="preserve">补低差、罚款，取暖费、独生子女费、生育津贴、等等国家允许的不扣税项目
</t>
        </r>
        <r>
          <rPr>
            <sz val="9"/>
            <rFont val="Tahoma"/>
            <charset val="134"/>
          </rPr>
          <t>*</t>
        </r>
        <r>
          <rPr>
            <sz val="9"/>
            <rFont val="宋体"/>
            <charset val="134"/>
          </rPr>
          <t>补偿金或赔偿金不超过当地年平均工资</t>
        </r>
        <r>
          <rPr>
            <sz val="9"/>
            <rFont val="Tahoma"/>
            <charset val="134"/>
          </rPr>
          <t>3</t>
        </r>
        <r>
          <rPr>
            <sz val="9"/>
            <rFont val="宋体"/>
            <charset val="134"/>
          </rPr>
          <t xml:space="preserve">倍
</t>
        </r>
      </text>
    </comment>
    <comment ref="V3" authorId="0">
      <text>
        <r>
          <rPr>
            <sz val="9"/>
            <rFont val="Tahoma"/>
            <charset val="134"/>
          </rPr>
          <t xml:space="preserve">
*1000</t>
        </r>
        <r>
          <rPr>
            <sz val="9"/>
            <rFont val="宋体"/>
            <charset val="134"/>
          </rPr>
          <t>元</t>
        </r>
        <r>
          <rPr>
            <sz val="9"/>
            <rFont val="Tahoma"/>
            <charset val="134"/>
          </rPr>
          <t>/</t>
        </r>
        <r>
          <rPr>
            <sz val="9"/>
            <rFont val="宋体"/>
            <charset val="134"/>
          </rPr>
          <t>子女</t>
        </r>
        <r>
          <rPr>
            <sz val="9"/>
            <rFont val="Tahoma"/>
            <charset val="134"/>
          </rPr>
          <t>/</t>
        </r>
        <r>
          <rPr>
            <sz val="9"/>
            <rFont val="宋体"/>
            <charset val="134"/>
          </rPr>
          <t>月</t>
        </r>
      </text>
    </comment>
    <comment ref="W3" authorId="1">
      <text>
        <r>
          <rPr>
            <sz val="9"/>
            <rFont val="宋体"/>
            <charset val="134"/>
          </rPr>
          <t xml:space="preserve">
*独生子女 2000元/月
*非独生子女均摊，最高不能超过1000元/月</t>
        </r>
      </text>
    </comment>
    <comment ref="X3" authorId="0">
      <text>
        <r>
          <rPr>
            <sz val="9"/>
            <rFont val="Tahoma"/>
            <charset val="134"/>
          </rPr>
          <t xml:space="preserve">
*1000</t>
        </r>
        <r>
          <rPr>
            <sz val="9"/>
            <rFont val="宋体"/>
            <charset val="134"/>
          </rPr>
          <t>元</t>
        </r>
        <r>
          <rPr>
            <sz val="9"/>
            <rFont val="Tahoma"/>
            <charset val="134"/>
          </rPr>
          <t>/</t>
        </r>
        <r>
          <rPr>
            <sz val="9"/>
            <rFont val="宋体"/>
            <charset val="134"/>
          </rPr>
          <t>月，</t>
        </r>
        <r>
          <rPr>
            <sz val="9"/>
            <rFont val="Tahoma"/>
            <charset val="134"/>
          </rPr>
          <t>240</t>
        </r>
        <r>
          <rPr>
            <sz val="9"/>
            <rFont val="宋体"/>
            <charset val="134"/>
          </rPr>
          <t>月为限，限首套</t>
        </r>
      </text>
    </comment>
    <comment ref="Y3" authorId="1">
      <text>
        <r>
          <rPr>
            <sz val="9"/>
            <rFont val="宋体"/>
            <charset val="134"/>
          </rPr>
          <t xml:space="preserve">
*1500元/月，直辖市、省会、计划单列城市
*1100元/月，市人口 &gt;100万
*800元/月，市人口 &lt;100万</t>
        </r>
      </text>
    </comment>
    <comment ref="Z3" authorId="0">
      <text>
        <r>
          <rPr>
            <sz val="9"/>
            <rFont val="Tahoma"/>
            <charset val="134"/>
          </rPr>
          <t xml:space="preserve">
*</t>
        </r>
        <r>
          <rPr>
            <sz val="9"/>
            <rFont val="宋体"/>
            <charset val="134"/>
          </rPr>
          <t>学历继续教育</t>
        </r>
        <r>
          <rPr>
            <sz val="9"/>
            <rFont val="Tahoma"/>
            <charset val="134"/>
          </rPr>
          <t xml:space="preserve"> 400</t>
        </r>
        <r>
          <rPr>
            <sz val="9"/>
            <rFont val="宋体"/>
            <charset val="134"/>
          </rPr>
          <t>元</t>
        </r>
        <r>
          <rPr>
            <sz val="9"/>
            <rFont val="Tahoma"/>
            <charset val="134"/>
          </rPr>
          <t>/</t>
        </r>
        <r>
          <rPr>
            <sz val="9"/>
            <rFont val="宋体"/>
            <charset val="134"/>
          </rPr>
          <t>月，</t>
        </r>
        <r>
          <rPr>
            <sz val="9"/>
            <rFont val="Tahoma"/>
            <charset val="134"/>
          </rPr>
          <t>48</t>
        </r>
        <r>
          <rPr>
            <sz val="9"/>
            <rFont val="宋体"/>
            <charset val="134"/>
          </rPr>
          <t xml:space="preserve">个月
</t>
        </r>
        <r>
          <rPr>
            <sz val="9"/>
            <rFont val="Tahoma"/>
            <charset val="134"/>
          </rPr>
          <t>*</t>
        </r>
        <r>
          <rPr>
            <sz val="9"/>
            <rFont val="宋体"/>
            <charset val="134"/>
          </rPr>
          <t>职业资格继续教育</t>
        </r>
        <r>
          <rPr>
            <sz val="9"/>
            <rFont val="Tahoma"/>
            <charset val="134"/>
          </rPr>
          <t xml:space="preserve"> 3600</t>
        </r>
        <r>
          <rPr>
            <sz val="9"/>
            <rFont val="宋体"/>
            <charset val="134"/>
          </rPr>
          <t>元</t>
        </r>
        <r>
          <rPr>
            <sz val="9"/>
            <rFont val="Tahoma"/>
            <charset val="134"/>
          </rPr>
          <t>/</t>
        </r>
        <r>
          <rPr>
            <sz val="9"/>
            <rFont val="宋体"/>
            <charset val="134"/>
          </rPr>
          <t>年，取得证书年度</t>
        </r>
      </text>
    </comment>
    <comment ref="AA3" authorId="1">
      <text>
        <r>
          <rPr>
            <sz val="9"/>
            <rFont val="宋体"/>
            <charset val="134"/>
          </rPr>
          <t xml:space="preserve">
*自费超过1.5万，8万/年
*由纳税人在年度汇算清缴时办理，无需填写</t>
        </r>
      </text>
    </comment>
  </commentList>
</comments>
</file>

<file path=xl/comments4.xml><?xml version="1.0" encoding="utf-8"?>
<comments xmlns="http://schemas.openxmlformats.org/spreadsheetml/2006/main">
  <authors>
    <author>xbany</author>
    <author>AutoBVT</author>
    <author>lenovo</author>
  </authors>
  <commentList>
    <comment ref="R2" authorId="0">
      <text>
        <r>
          <rPr>
            <sz val="9"/>
            <rFont val="宋体"/>
            <charset val="134"/>
          </rPr>
          <t xml:space="preserve">
其他扣除限以下内容：</t>
        </r>
        <r>
          <rPr>
            <sz val="9"/>
            <rFont val="Tahoma"/>
            <charset val="134"/>
          </rPr>
          <t xml:space="preserve">
</t>
        </r>
        <r>
          <rPr>
            <sz val="9"/>
            <rFont val="宋体"/>
            <charset val="134"/>
          </rPr>
          <t>年金、商业健康保险、税延养老保险、财产原值、允许扣除的税费、其他国家规定扣除</t>
        </r>
      </text>
    </comment>
    <comment ref="S2" authorId="1">
      <text>
        <r>
          <rPr>
            <sz val="9"/>
            <rFont val="宋体"/>
            <charset val="134"/>
          </rPr>
          <t xml:space="preserve">
填写本年度截止当前月份的工资、薪金所得累计金额</t>
        </r>
      </text>
    </comment>
    <comment ref="T2" authorId="1">
      <text>
        <r>
          <rPr>
            <sz val="9"/>
            <rFont val="宋体"/>
            <charset val="134"/>
          </rPr>
          <t xml:space="preserve">
5000元/月乘以纳税人当年在本单位任职受雇月份</t>
        </r>
      </text>
    </comment>
    <comment ref="U2" authorId="1">
      <text>
        <r>
          <rPr>
            <sz val="9"/>
            <rFont val="宋体"/>
            <charset val="134"/>
          </rPr>
          <t xml:space="preserve">
本年度截止当前月份的个人社保累计金额</t>
        </r>
      </text>
    </comment>
    <comment ref="V2" authorId="1">
      <text>
        <r>
          <rPr>
            <b/>
            <sz val="9"/>
            <rFont val="宋体"/>
            <charset val="134"/>
          </rPr>
          <t>AutoBVT:</t>
        </r>
        <r>
          <rPr>
            <sz val="9"/>
            <rFont val="宋体"/>
            <charset val="134"/>
          </rPr>
          <t xml:space="preserve">
分别填写截止当前月份的专项附加扣除累计金额</t>
        </r>
      </text>
    </comment>
    <comment ref="AB2" authorId="1">
      <text>
        <r>
          <rPr>
            <sz val="9"/>
            <rFont val="宋体"/>
            <charset val="134"/>
          </rPr>
          <t xml:space="preserve">
本年度截止当前月份的专项附加扣除累计金额</t>
        </r>
      </text>
    </comment>
    <comment ref="AC2" authorId="1">
      <text>
        <r>
          <rPr>
            <sz val="9"/>
            <rFont val="宋体"/>
            <charset val="134"/>
          </rPr>
          <t xml:space="preserve">
本年度截止当前月份的国家允许的其他扣除累计金额</t>
        </r>
      </text>
    </comment>
    <comment ref="AD2" authorId="1">
      <text>
        <r>
          <rPr>
            <sz val="9"/>
            <rFont val="宋体"/>
            <charset val="134"/>
          </rPr>
          <t xml:space="preserve">
本年度截止当前月份的累计应纳税所得额</t>
        </r>
      </text>
    </comment>
    <comment ref="AF2" authorId="1">
      <text>
        <r>
          <rPr>
            <sz val="9"/>
            <rFont val="宋体"/>
            <charset val="134"/>
          </rPr>
          <t xml:space="preserve">
填写本年度截止当前月份已累计扣缴总税额</t>
        </r>
      </text>
    </comment>
    <comment ref="AG2" authorId="1">
      <text>
        <r>
          <rPr>
            <b/>
            <sz val="9"/>
            <rFont val="宋体"/>
            <charset val="134"/>
          </rPr>
          <t>AutoBVT:</t>
        </r>
        <r>
          <rPr>
            <sz val="9"/>
            <rFont val="宋体"/>
            <charset val="134"/>
          </rPr>
          <t xml:space="preserve">
累计预扣预缴税额-已预扣预缴税额=本月应补（退）税额</t>
        </r>
      </text>
    </comment>
    <comment ref="AH2" authorId="1">
      <text>
        <r>
          <rPr>
            <sz val="9"/>
            <rFont val="宋体"/>
            <charset val="134"/>
          </rPr>
          <t xml:space="preserve">
本月应发工资-本月个人应扣金额-本月应扣个税=净工资</t>
        </r>
      </text>
    </comment>
    <comment ref="AI2" authorId="2">
      <text>
        <r>
          <rPr>
            <sz val="9"/>
            <rFont val="Tahoma"/>
            <charset val="134"/>
          </rPr>
          <t xml:space="preserve">
*</t>
        </r>
        <r>
          <rPr>
            <sz val="9"/>
            <rFont val="宋体"/>
            <charset val="134"/>
          </rPr>
          <t xml:space="preserve">补低差、罚款，取暖费、独生子女费、生育津贴、等等国家允许的不扣税项目
</t>
        </r>
        <r>
          <rPr>
            <sz val="9"/>
            <rFont val="Tahoma"/>
            <charset val="134"/>
          </rPr>
          <t>*</t>
        </r>
        <r>
          <rPr>
            <sz val="9"/>
            <rFont val="宋体"/>
            <charset val="134"/>
          </rPr>
          <t>补偿金或赔偿金不超过当地年平均工资</t>
        </r>
        <r>
          <rPr>
            <sz val="9"/>
            <rFont val="Tahoma"/>
            <charset val="134"/>
          </rPr>
          <t>3</t>
        </r>
        <r>
          <rPr>
            <sz val="9"/>
            <rFont val="宋体"/>
            <charset val="134"/>
          </rPr>
          <t xml:space="preserve">倍
</t>
        </r>
      </text>
    </comment>
    <comment ref="V3" authorId="0">
      <text>
        <r>
          <rPr>
            <sz val="9"/>
            <rFont val="Tahoma"/>
            <charset val="134"/>
          </rPr>
          <t xml:space="preserve">
*1000</t>
        </r>
        <r>
          <rPr>
            <sz val="9"/>
            <rFont val="宋体"/>
            <charset val="134"/>
          </rPr>
          <t>元</t>
        </r>
        <r>
          <rPr>
            <sz val="9"/>
            <rFont val="Tahoma"/>
            <charset val="134"/>
          </rPr>
          <t>/</t>
        </r>
        <r>
          <rPr>
            <sz val="9"/>
            <rFont val="宋体"/>
            <charset val="134"/>
          </rPr>
          <t>子女</t>
        </r>
        <r>
          <rPr>
            <sz val="9"/>
            <rFont val="Tahoma"/>
            <charset val="134"/>
          </rPr>
          <t>/</t>
        </r>
        <r>
          <rPr>
            <sz val="9"/>
            <rFont val="宋体"/>
            <charset val="134"/>
          </rPr>
          <t>月</t>
        </r>
      </text>
    </comment>
    <comment ref="W3" authorId="1">
      <text>
        <r>
          <rPr>
            <sz val="9"/>
            <rFont val="宋体"/>
            <charset val="134"/>
          </rPr>
          <t xml:space="preserve">
*独生子女 2000元/月
*非独生子女均摊，最高不能超过1000元/月</t>
        </r>
      </text>
    </comment>
    <comment ref="X3" authorId="0">
      <text>
        <r>
          <rPr>
            <sz val="9"/>
            <rFont val="Tahoma"/>
            <charset val="134"/>
          </rPr>
          <t xml:space="preserve">
*1000</t>
        </r>
        <r>
          <rPr>
            <sz val="9"/>
            <rFont val="宋体"/>
            <charset val="134"/>
          </rPr>
          <t>元</t>
        </r>
        <r>
          <rPr>
            <sz val="9"/>
            <rFont val="Tahoma"/>
            <charset val="134"/>
          </rPr>
          <t>/</t>
        </r>
        <r>
          <rPr>
            <sz val="9"/>
            <rFont val="宋体"/>
            <charset val="134"/>
          </rPr>
          <t>月，</t>
        </r>
        <r>
          <rPr>
            <sz val="9"/>
            <rFont val="Tahoma"/>
            <charset val="134"/>
          </rPr>
          <t>240</t>
        </r>
        <r>
          <rPr>
            <sz val="9"/>
            <rFont val="宋体"/>
            <charset val="134"/>
          </rPr>
          <t>月为限，限首套</t>
        </r>
      </text>
    </comment>
    <comment ref="Y3" authorId="1">
      <text>
        <r>
          <rPr>
            <sz val="9"/>
            <rFont val="宋体"/>
            <charset val="134"/>
          </rPr>
          <t xml:space="preserve">
*1500元/月，直辖市、省会、计划单列城市
*1100元/月，市人口 &gt;100万
*800元/月，市人口 &lt;100万</t>
        </r>
      </text>
    </comment>
    <comment ref="Z3" authorId="0">
      <text>
        <r>
          <rPr>
            <sz val="9"/>
            <rFont val="Tahoma"/>
            <charset val="134"/>
          </rPr>
          <t xml:space="preserve">
*</t>
        </r>
        <r>
          <rPr>
            <sz val="9"/>
            <rFont val="宋体"/>
            <charset val="134"/>
          </rPr>
          <t>学历继续教育</t>
        </r>
        <r>
          <rPr>
            <sz val="9"/>
            <rFont val="Tahoma"/>
            <charset val="134"/>
          </rPr>
          <t xml:space="preserve"> 400</t>
        </r>
        <r>
          <rPr>
            <sz val="9"/>
            <rFont val="宋体"/>
            <charset val="134"/>
          </rPr>
          <t>元</t>
        </r>
        <r>
          <rPr>
            <sz val="9"/>
            <rFont val="Tahoma"/>
            <charset val="134"/>
          </rPr>
          <t>/</t>
        </r>
        <r>
          <rPr>
            <sz val="9"/>
            <rFont val="宋体"/>
            <charset val="134"/>
          </rPr>
          <t>月，</t>
        </r>
        <r>
          <rPr>
            <sz val="9"/>
            <rFont val="Tahoma"/>
            <charset val="134"/>
          </rPr>
          <t>48</t>
        </r>
        <r>
          <rPr>
            <sz val="9"/>
            <rFont val="宋体"/>
            <charset val="134"/>
          </rPr>
          <t xml:space="preserve">个月
</t>
        </r>
        <r>
          <rPr>
            <sz val="9"/>
            <rFont val="Tahoma"/>
            <charset val="134"/>
          </rPr>
          <t>*</t>
        </r>
        <r>
          <rPr>
            <sz val="9"/>
            <rFont val="宋体"/>
            <charset val="134"/>
          </rPr>
          <t>职业资格继续教育</t>
        </r>
        <r>
          <rPr>
            <sz val="9"/>
            <rFont val="Tahoma"/>
            <charset val="134"/>
          </rPr>
          <t xml:space="preserve"> 3600</t>
        </r>
        <r>
          <rPr>
            <sz val="9"/>
            <rFont val="宋体"/>
            <charset val="134"/>
          </rPr>
          <t>元</t>
        </r>
        <r>
          <rPr>
            <sz val="9"/>
            <rFont val="Tahoma"/>
            <charset val="134"/>
          </rPr>
          <t>/</t>
        </r>
        <r>
          <rPr>
            <sz val="9"/>
            <rFont val="宋体"/>
            <charset val="134"/>
          </rPr>
          <t>年，取得证书年度</t>
        </r>
      </text>
    </comment>
    <comment ref="AA3" authorId="1">
      <text>
        <r>
          <rPr>
            <sz val="9"/>
            <rFont val="宋体"/>
            <charset val="134"/>
          </rPr>
          <t xml:space="preserve">
*自费超过1.5万，8万/年
*由纳税人在年度汇算清缴时办理，无需填写</t>
        </r>
      </text>
    </comment>
  </commentList>
</comments>
</file>

<file path=xl/comments5.xml><?xml version="1.0" encoding="utf-8"?>
<comments xmlns="http://schemas.openxmlformats.org/spreadsheetml/2006/main">
  <authors>
    <author>xbany</author>
    <author>AutoBVT</author>
    <author>lenovo</author>
  </authors>
  <commentList>
    <comment ref="R2" authorId="0">
      <text>
        <r>
          <rPr>
            <sz val="9"/>
            <rFont val="宋体"/>
            <charset val="134"/>
          </rPr>
          <t xml:space="preserve">
其他扣除限以下内容：</t>
        </r>
        <r>
          <rPr>
            <sz val="9"/>
            <rFont val="Tahoma"/>
            <charset val="134"/>
          </rPr>
          <t xml:space="preserve">
</t>
        </r>
        <r>
          <rPr>
            <sz val="9"/>
            <rFont val="宋体"/>
            <charset val="134"/>
          </rPr>
          <t>年金、商业健康保险、税延养老保险、财产原值、允许扣除的税费、其他国家规定扣除</t>
        </r>
      </text>
    </comment>
    <comment ref="S2" authorId="1">
      <text>
        <r>
          <rPr>
            <sz val="9"/>
            <rFont val="宋体"/>
            <charset val="134"/>
          </rPr>
          <t xml:space="preserve">
填写本年度截止当前月份的工资、薪金所得累计金额</t>
        </r>
      </text>
    </comment>
    <comment ref="T2" authorId="1">
      <text>
        <r>
          <rPr>
            <sz val="9"/>
            <rFont val="宋体"/>
            <charset val="134"/>
          </rPr>
          <t xml:space="preserve">
5000元/月乘以纳税人当年在本单位任职受雇月份</t>
        </r>
      </text>
    </comment>
    <comment ref="U2" authorId="1">
      <text>
        <r>
          <rPr>
            <sz val="9"/>
            <rFont val="宋体"/>
            <charset val="134"/>
          </rPr>
          <t xml:space="preserve">
本年度截止当前月份的个人社保累计金额</t>
        </r>
      </text>
    </comment>
    <comment ref="V2" authorId="1">
      <text>
        <r>
          <rPr>
            <b/>
            <sz val="9"/>
            <rFont val="宋体"/>
            <charset val="134"/>
          </rPr>
          <t>AutoBVT:</t>
        </r>
        <r>
          <rPr>
            <sz val="9"/>
            <rFont val="宋体"/>
            <charset val="134"/>
          </rPr>
          <t xml:space="preserve">
分别填写截止当前月份的专项附加扣除累计金额</t>
        </r>
      </text>
    </comment>
    <comment ref="AB2" authorId="1">
      <text>
        <r>
          <rPr>
            <sz val="9"/>
            <rFont val="宋体"/>
            <charset val="134"/>
          </rPr>
          <t xml:space="preserve">
本年度截止当前月份的专项附加扣除累计金额</t>
        </r>
      </text>
    </comment>
    <comment ref="AC2" authorId="1">
      <text>
        <r>
          <rPr>
            <sz val="9"/>
            <rFont val="宋体"/>
            <charset val="134"/>
          </rPr>
          <t xml:space="preserve">
本年度截止当前月份的国家允许的其他扣除累计金额</t>
        </r>
      </text>
    </comment>
    <comment ref="AD2" authorId="1">
      <text>
        <r>
          <rPr>
            <sz val="9"/>
            <rFont val="宋体"/>
            <charset val="134"/>
          </rPr>
          <t xml:space="preserve">
本年度截止当前月份的累计应纳税所得额</t>
        </r>
      </text>
    </comment>
    <comment ref="AF2" authorId="1">
      <text>
        <r>
          <rPr>
            <sz val="9"/>
            <rFont val="宋体"/>
            <charset val="134"/>
          </rPr>
          <t xml:space="preserve">
填写本年度截止当前月份已累计扣缴总税额</t>
        </r>
      </text>
    </comment>
    <comment ref="AG2" authorId="1">
      <text>
        <r>
          <rPr>
            <b/>
            <sz val="9"/>
            <rFont val="宋体"/>
            <charset val="134"/>
          </rPr>
          <t>AutoBVT:</t>
        </r>
        <r>
          <rPr>
            <sz val="9"/>
            <rFont val="宋体"/>
            <charset val="134"/>
          </rPr>
          <t xml:space="preserve">
累计预扣预缴税额-已预扣预缴税额=本月应补（退）税额</t>
        </r>
      </text>
    </comment>
    <comment ref="AH2" authorId="1">
      <text>
        <r>
          <rPr>
            <sz val="9"/>
            <rFont val="宋体"/>
            <charset val="134"/>
          </rPr>
          <t xml:space="preserve">
本月应发工资-本月个人应扣金额-本月应扣个税=净工资</t>
        </r>
      </text>
    </comment>
    <comment ref="AI2" authorId="2">
      <text>
        <r>
          <rPr>
            <sz val="9"/>
            <rFont val="Tahoma"/>
            <charset val="134"/>
          </rPr>
          <t xml:space="preserve">
*</t>
        </r>
        <r>
          <rPr>
            <sz val="9"/>
            <rFont val="宋体"/>
            <charset val="134"/>
          </rPr>
          <t xml:space="preserve">补低差、罚款，取暖费、独生子女费、生育津贴、等等国家允许的不扣税项目
</t>
        </r>
        <r>
          <rPr>
            <sz val="9"/>
            <rFont val="Tahoma"/>
            <charset val="134"/>
          </rPr>
          <t>*</t>
        </r>
        <r>
          <rPr>
            <sz val="9"/>
            <rFont val="宋体"/>
            <charset val="134"/>
          </rPr>
          <t>补偿金或赔偿金不超过当地年平均工资</t>
        </r>
        <r>
          <rPr>
            <sz val="9"/>
            <rFont val="Tahoma"/>
            <charset val="134"/>
          </rPr>
          <t>3</t>
        </r>
        <r>
          <rPr>
            <sz val="9"/>
            <rFont val="宋体"/>
            <charset val="134"/>
          </rPr>
          <t xml:space="preserve">倍
</t>
        </r>
      </text>
    </comment>
    <comment ref="V3" authorId="0">
      <text>
        <r>
          <rPr>
            <sz val="9"/>
            <rFont val="Tahoma"/>
            <charset val="134"/>
          </rPr>
          <t xml:space="preserve">
*1000</t>
        </r>
        <r>
          <rPr>
            <sz val="9"/>
            <rFont val="宋体"/>
            <charset val="134"/>
          </rPr>
          <t>元</t>
        </r>
        <r>
          <rPr>
            <sz val="9"/>
            <rFont val="Tahoma"/>
            <charset val="134"/>
          </rPr>
          <t>/</t>
        </r>
        <r>
          <rPr>
            <sz val="9"/>
            <rFont val="宋体"/>
            <charset val="134"/>
          </rPr>
          <t>子女</t>
        </r>
        <r>
          <rPr>
            <sz val="9"/>
            <rFont val="Tahoma"/>
            <charset val="134"/>
          </rPr>
          <t>/</t>
        </r>
        <r>
          <rPr>
            <sz val="9"/>
            <rFont val="宋体"/>
            <charset val="134"/>
          </rPr>
          <t>月</t>
        </r>
      </text>
    </comment>
    <comment ref="W3" authorId="1">
      <text>
        <r>
          <rPr>
            <sz val="9"/>
            <rFont val="宋体"/>
            <charset val="134"/>
          </rPr>
          <t xml:space="preserve">
*独生子女 2000元/月
*非独生子女均摊，最高不能超过1000元/月</t>
        </r>
      </text>
    </comment>
    <comment ref="X3" authorId="0">
      <text>
        <r>
          <rPr>
            <sz val="9"/>
            <rFont val="Tahoma"/>
            <charset val="134"/>
          </rPr>
          <t xml:space="preserve">
*1000</t>
        </r>
        <r>
          <rPr>
            <sz val="9"/>
            <rFont val="宋体"/>
            <charset val="134"/>
          </rPr>
          <t>元</t>
        </r>
        <r>
          <rPr>
            <sz val="9"/>
            <rFont val="Tahoma"/>
            <charset val="134"/>
          </rPr>
          <t>/</t>
        </r>
        <r>
          <rPr>
            <sz val="9"/>
            <rFont val="宋体"/>
            <charset val="134"/>
          </rPr>
          <t>月，</t>
        </r>
        <r>
          <rPr>
            <sz val="9"/>
            <rFont val="Tahoma"/>
            <charset val="134"/>
          </rPr>
          <t>240</t>
        </r>
        <r>
          <rPr>
            <sz val="9"/>
            <rFont val="宋体"/>
            <charset val="134"/>
          </rPr>
          <t>月为限，限首套</t>
        </r>
      </text>
    </comment>
    <comment ref="Y3" authorId="1">
      <text>
        <r>
          <rPr>
            <sz val="9"/>
            <rFont val="宋体"/>
            <charset val="134"/>
          </rPr>
          <t xml:space="preserve">
*1500元/月，直辖市、省会、计划单列城市
*1100元/月，市人口 &gt;100万
*800元/月，市人口 &lt;100万</t>
        </r>
      </text>
    </comment>
    <comment ref="Z3" authorId="0">
      <text>
        <r>
          <rPr>
            <sz val="9"/>
            <rFont val="Tahoma"/>
            <charset val="134"/>
          </rPr>
          <t xml:space="preserve">
*</t>
        </r>
        <r>
          <rPr>
            <sz val="9"/>
            <rFont val="宋体"/>
            <charset val="134"/>
          </rPr>
          <t>学历继续教育</t>
        </r>
        <r>
          <rPr>
            <sz val="9"/>
            <rFont val="Tahoma"/>
            <charset val="134"/>
          </rPr>
          <t xml:space="preserve"> 400</t>
        </r>
        <r>
          <rPr>
            <sz val="9"/>
            <rFont val="宋体"/>
            <charset val="134"/>
          </rPr>
          <t>元</t>
        </r>
        <r>
          <rPr>
            <sz val="9"/>
            <rFont val="Tahoma"/>
            <charset val="134"/>
          </rPr>
          <t>/</t>
        </r>
        <r>
          <rPr>
            <sz val="9"/>
            <rFont val="宋体"/>
            <charset val="134"/>
          </rPr>
          <t>月，</t>
        </r>
        <r>
          <rPr>
            <sz val="9"/>
            <rFont val="Tahoma"/>
            <charset val="134"/>
          </rPr>
          <t>48</t>
        </r>
        <r>
          <rPr>
            <sz val="9"/>
            <rFont val="宋体"/>
            <charset val="134"/>
          </rPr>
          <t xml:space="preserve">个月
</t>
        </r>
        <r>
          <rPr>
            <sz val="9"/>
            <rFont val="Tahoma"/>
            <charset val="134"/>
          </rPr>
          <t>*</t>
        </r>
        <r>
          <rPr>
            <sz val="9"/>
            <rFont val="宋体"/>
            <charset val="134"/>
          </rPr>
          <t>职业资格继续教育</t>
        </r>
        <r>
          <rPr>
            <sz val="9"/>
            <rFont val="Tahoma"/>
            <charset val="134"/>
          </rPr>
          <t xml:space="preserve"> 3600</t>
        </r>
        <r>
          <rPr>
            <sz val="9"/>
            <rFont val="宋体"/>
            <charset val="134"/>
          </rPr>
          <t>元</t>
        </r>
        <r>
          <rPr>
            <sz val="9"/>
            <rFont val="Tahoma"/>
            <charset val="134"/>
          </rPr>
          <t>/</t>
        </r>
        <r>
          <rPr>
            <sz val="9"/>
            <rFont val="宋体"/>
            <charset val="134"/>
          </rPr>
          <t>年，取得证书年度</t>
        </r>
      </text>
    </comment>
    <comment ref="AA3" authorId="1">
      <text>
        <r>
          <rPr>
            <sz val="9"/>
            <rFont val="宋体"/>
            <charset val="134"/>
          </rPr>
          <t xml:space="preserve">
*自费超过1.5万，8万/年
*由纳税人在年度汇算清缴时办理，无需填写</t>
        </r>
      </text>
    </comment>
  </commentList>
</comments>
</file>

<file path=xl/comments6.xml><?xml version="1.0" encoding="utf-8"?>
<comments xmlns="http://schemas.openxmlformats.org/spreadsheetml/2006/main">
  <authors>
    <author>xbany</author>
    <author>AutoBVT</author>
    <author>lenovo</author>
  </authors>
  <commentList>
    <comment ref="R2" authorId="0">
      <text>
        <r>
          <rPr>
            <sz val="9"/>
            <rFont val="宋体"/>
            <charset val="134"/>
          </rPr>
          <t xml:space="preserve">
其他扣除限以下内容：</t>
        </r>
        <r>
          <rPr>
            <sz val="9"/>
            <rFont val="Tahoma"/>
            <charset val="134"/>
          </rPr>
          <t xml:space="preserve">
</t>
        </r>
        <r>
          <rPr>
            <sz val="9"/>
            <rFont val="宋体"/>
            <charset val="134"/>
          </rPr>
          <t>年金、商业健康保险、税延养老保险、财产原值、允许扣除的税费、其他国家规定扣除</t>
        </r>
      </text>
    </comment>
    <comment ref="S2" authorId="1">
      <text>
        <r>
          <rPr>
            <sz val="9"/>
            <rFont val="宋体"/>
            <charset val="134"/>
          </rPr>
          <t xml:space="preserve">
填写本年度截止当前月份的工资、薪金所得累计金额</t>
        </r>
      </text>
    </comment>
    <comment ref="T2" authorId="1">
      <text>
        <r>
          <rPr>
            <sz val="9"/>
            <rFont val="宋体"/>
            <charset val="134"/>
          </rPr>
          <t xml:space="preserve">
5000元/月乘以纳税人当年在本单位任职受雇月份</t>
        </r>
      </text>
    </comment>
    <comment ref="U2" authorId="1">
      <text>
        <r>
          <rPr>
            <sz val="9"/>
            <rFont val="宋体"/>
            <charset val="134"/>
          </rPr>
          <t xml:space="preserve">
本年度截止当前月份的个人社保累计金额</t>
        </r>
      </text>
    </comment>
    <comment ref="V2" authorId="1">
      <text>
        <r>
          <rPr>
            <b/>
            <sz val="9"/>
            <rFont val="宋体"/>
            <charset val="134"/>
          </rPr>
          <t>AutoBVT:</t>
        </r>
        <r>
          <rPr>
            <sz val="9"/>
            <rFont val="宋体"/>
            <charset val="134"/>
          </rPr>
          <t xml:space="preserve">
分别填写截止当前月份的专项附加扣除累计金额</t>
        </r>
      </text>
    </comment>
    <comment ref="AB2" authorId="1">
      <text>
        <r>
          <rPr>
            <sz val="9"/>
            <rFont val="宋体"/>
            <charset val="134"/>
          </rPr>
          <t xml:space="preserve">
本年度截止当前月份的专项附加扣除累计金额</t>
        </r>
      </text>
    </comment>
    <comment ref="AC2" authorId="1">
      <text>
        <r>
          <rPr>
            <sz val="9"/>
            <rFont val="宋体"/>
            <charset val="134"/>
          </rPr>
          <t xml:space="preserve">
本年度截止当前月份的国家允许的其他扣除累计金额</t>
        </r>
      </text>
    </comment>
    <comment ref="AD2" authorId="1">
      <text>
        <r>
          <rPr>
            <sz val="9"/>
            <rFont val="宋体"/>
            <charset val="134"/>
          </rPr>
          <t xml:space="preserve">
本年度截止当前月份的累计应纳税所得额</t>
        </r>
      </text>
    </comment>
    <comment ref="AF2" authorId="1">
      <text>
        <r>
          <rPr>
            <sz val="9"/>
            <rFont val="宋体"/>
            <charset val="134"/>
          </rPr>
          <t xml:space="preserve">
填写本年度截止当前月份已累计扣缴总税额</t>
        </r>
      </text>
    </comment>
    <comment ref="AG2" authorId="1">
      <text>
        <r>
          <rPr>
            <b/>
            <sz val="9"/>
            <rFont val="宋体"/>
            <charset val="134"/>
          </rPr>
          <t>AutoBVT:</t>
        </r>
        <r>
          <rPr>
            <sz val="9"/>
            <rFont val="宋体"/>
            <charset val="134"/>
          </rPr>
          <t xml:space="preserve">
累计预扣预缴税额-已预扣预缴税额=本月应补（退）税额</t>
        </r>
      </text>
    </comment>
    <comment ref="AH2" authorId="1">
      <text>
        <r>
          <rPr>
            <sz val="9"/>
            <rFont val="宋体"/>
            <charset val="134"/>
          </rPr>
          <t xml:space="preserve">
本月应发工资-本月个人应扣金额-本月应扣个税=净工资</t>
        </r>
      </text>
    </comment>
    <comment ref="AI2" authorId="2">
      <text>
        <r>
          <rPr>
            <sz val="9"/>
            <rFont val="Tahoma"/>
            <charset val="134"/>
          </rPr>
          <t xml:space="preserve">
*</t>
        </r>
        <r>
          <rPr>
            <sz val="9"/>
            <rFont val="宋体"/>
            <charset val="134"/>
          </rPr>
          <t xml:space="preserve">补低差、罚款，取暖费、独生子女费、生育津贴、等等国家允许的不扣税项目
</t>
        </r>
        <r>
          <rPr>
            <sz val="9"/>
            <rFont val="Tahoma"/>
            <charset val="134"/>
          </rPr>
          <t>*</t>
        </r>
        <r>
          <rPr>
            <sz val="9"/>
            <rFont val="宋体"/>
            <charset val="134"/>
          </rPr>
          <t>补偿金或赔偿金不超过当地年平均工资</t>
        </r>
        <r>
          <rPr>
            <sz val="9"/>
            <rFont val="Tahoma"/>
            <charset val="134"/>
          </rPr>
          <t>3</t>
        </r>
        <r>
          <rPr>
            <sz val="9"/>
            <rFont val="宋体"/>
            <charset val="134"/>
          </rPr>
          <t xml:space="preserve">倍
</t>
        </r>
      </text>
    </comment>
    <comment ref="V3" authorId="0">
      <text>
        <r>
          <rPr>
            <sz val="9"/>
            <rFont val="Tahoma"/>
            <charset val="134"/>
          </rPr>
          <t xml:space="preserve">
*1000</t>
        </r>
        <r>
          <rPr>
            <sz val="9"/>
            <rFont val="宋体"/>
            <charset val="134"/>
          </rPr>
          <t>元</t>
        </r>
        <r>
          <rPr>
            <sz val="9"/>
            <rFont val="Tahoma"/>
            <charset val="134"/>
          </rPr>
          <t>/</t>
        </r>
        <r>
          <rPr>
            <sz val="9"/>
            <rFont val="宋体"/>
            <charset val="134"/>
          </rPr>
          <t>子女</t>
        </r>
        <r>
          <rPr>
            <sz val="9"/>
            <rFont val="Tahoma"/>
            <charset val="134"/>
          </rPr>
          <t>/</t>
        </r>
        <r>
          <rPr>
            <sz val="9"/>
            <rFont val="宋体"/>
            <charset val="134"/>
          </rPr>
          <t>月</t>
        </r>
      </text>
    </comment>
    <comment ref="W3" authorId="1">
      <text>
        <r>
          <rPr>
            <sz val="9"/>
            <rFont val="宋体"/>
            <charset val="134"/>
          </rPr>
          <t xml:space="preserve">
*独生子女 2000元/月
*非独生子女均摊，最高不能超过1000元/月</t>
        </r>
      </text>
    </comment>
    <comment ref="X3" authorId="0">
      <text>
        <r>
          <rPr>
            <sz val="9"/>
            <rFont val="Tahoma"/>
            <charset val="134"/>
          </rPr>
          <t xml:space="preserve">
*1000</t>
        </r>
        <r>
          <rPr>
            <sz val="9"/>
            <rFont val="宋体"/>
            <charset val="134"/>
          </rPr>
          <t>元</t>
        </r>
        <r>
          <rPr>
            <sz val="9"/>
            <rFont val="Tahoma"/>
            <charset val="134"/>
          </rPr>
          <t>/</t>
        </r>
        <r>
          <rPr>
            <sz val="9"/>
            <rFont val="宋体"/>
            <charset val="134"/>
          </rPr>
          <t>月，</t>
        </r>
        <r>
          <rPr>
            <sz val="9"/>
            <rFont val="Tahoma"/>
            <charset val="134"/>
          </rPr>
          <t>240</t>
        </r>
        <r>
          <rPr>
            <sz val="9"/>
            <rFont val="宋体"/>
            <charset val="134"/>
          </rPr>
          <t>月为限，限首套</t>
        </r>
      </text>
    </comment>
    <comment ref="Y3" authorId="1">
      <text>
        <r>
          <rPr>
            <sz val="9"/>
            <rFont val="宋体"/>
            <charset val="134"/>
          </rPr>
          <t xml:space="preserve">
*1500元/月，直辖市、省会、计划单列城市
*1100元/月，市人口 &gt;100万
*800元/月，市人口 &lt;100万</t>
        </r>
      </text>
    </comment>
    <comment ref="Z3" authorId="0">
      <text>
        <r>
          <rPr>
            <sz val="9"/>
            <rFont val="Tahoma"/>
            <charset val="134"/>
          </rPr>
          <t xml:space="preserve">
*</t>
        </r>
        <r>
          <rPr>
            <sz val="9"/>
            <rFont val="宋体"/>
            <charset val="134"/>
          </rPr>
          <t>学历继续教育</t>
        </r>
        <r>
          <rPr>
            <sz val="9"/>
            <rFont val="Tahoma"/>
            <charset val="134"/>
          </rPr>
          <t xml:space="preserve"> 400</t>
        </r>
        <r>
          <rPr>
            <sz val="9"/>
            <rFont val="宋体"/>
            <charset val="134"/>
          </rPr>
          <t>元</t>
        </r>
        <r>
          <rPr>
            <sz val="9"/>
            <rFont val="Tahoma"/>
            <charset val="134"/>
          </rPr>
          <t>/</t>
        </r>
        <r>
          <rPr>
            <sz val="9"/>
            <rFont val="宋体"/>
            <charset val="134"/>
          </rPr>
          <t>月，</t>
        </r>
        <r>
          <rPr>
            <sz val="9"/>
            <rFont val="Tahoma"/>
            <charset val="134"/>
          </rPr>
          <t>48</t>
        </r>
        <r>
          <rPr>
            <sz val="9"/>
            <rFont val="宋体"/>
            <charset val="134"/>
          </rPr>
          <t xml:space="preserve">个月
</t>
        </r>
        <r>
          <rPr>
            <sz val="9"/>
            <rFont val="Tahoma"/>
            <charset val="134"/>
          </rPr>
          <t>*</t>
        </r>
        <r>
          <rPr>
            <sz val="9"/>
            <rFont val="宋体"/>
            <charset val="134"/>
          </rPr>
          <t>职业资格继续教育</t>
        </r>
        <r>
          <rPr>
            <sz val="9"/>
            <rFont val="Tahoma"/>
            <charset val="134"/>
          </rPr>
          <t xml:space="preserve"> 3600</t>
        </r>
        <r>
          <rPr>
            <sz val="9"/>
            <rFont val="宋体"/>
            <charset val="134"/>
          </rPr>
          <t>元</t>
        </r>
        <r>
          <rPr>
            <sz val="9"/>
            <rFont val="Tahoma"/>
            <charset val="134"/>
          </rPr>
          <t>/</t>
        </r>
        <r>
          <rPr>
            <sz val="9"/>
            <rFont val="宋体"/>
            <charset val="134"/>
          </rPr>
          <t>年，取得证书年度</t>
        </r>
      </text>
    </comment>
    <comment ref="AA3" authorId="1">
      <text>
        <r>
          <rPr>
            <sz val="9"/>
            <rFont val="宋体"/>
            <charset val="134"/>
          </rPr>
          <t xml:space="preserve">
*自费超过1.5万，8万/年
*由纳税人在年度汇算清缴时办理，无需填写</t>
        </r>
      </text>
    </comment>
  </commentList>
</comments>
</file>

<file path=xl/comments7.xml><?xml version="1.0" encoding="utf-8"?>
<comments xmlns="http://schemas.openxmlformats.org/spreadsheetml/2006/main">
  <authors>
    <author>xbany</author>
    <author>AutoBVT</author>
    <author>lenovo</author>
  </authors>
  <commentList>
    <comment ref="R2" authorId="0">
      <text>
        <r>
          <rPr>
            <sz val="9"/>
            <rFont val="宋体"/>
            <charset val="134"/>
          </rPr>
          <t xml:space="preserve">
其他扣除限以下内容：</t>
        </r>
        <r>
          <rPr>
            <sz val="9"/>
            <rFont val="Tahoma"/>
            <charset val="134"/>
          </rPr>
          <t xml:space="preserve">
</t>
        </r>
        <r>
          <rPr>
            <sz val="9"/>
            <rFont val="宋体"/>
            <charset val="134"/>
          </rPr>
          <t>年金、商业健康保险、税延养老保险、财产原值、允许扣除的税费、其他国家规定扣除</t>
        </r>
      </text>
    </comment>
    <comment ref="S2" authorId="1">
      <text>
        <r>
          <rPr>
            <sz val="9"/>
            <rFont val="宋体"/>
            <charset val="134"/>
          </rPr>
          <t xml:space="preserve">
填写本年度截止当前月份的工资、薪金所得累计金额</t>
        </r>
      </text>
    </comment>
    <comment ref="T2" authorId="1">
      <text>
        <r>
          <rPr>
            <sz val="9"/>
            <rFont val="宋体"/>
            <charset val="134"/>
          </rPr>
          <t xml:space="preserve">
5000元/月乘以纳税人当年在本单位任职受雇月份</t>
        </r>
      </text>
    </comment>
    <comment ref="U2" authorId="1">
      <text>
        <r>
          <rPr>
            <sz val="9"/>
            <rFont val="宋体"/>
            <charset val="134"/>
          </rPr>
          <t xml:space="preserve">
本年度截止当前月份的个人社保累计金额</t>
        </r>
      </text>
    </comment>
    <comment ref="V2" authorId="1">
      <text>
        <r>
          <rPr>
            <b/>
            <sz val="9"/>
            <rFont val="宋体"/>
            <charset val="134"/>
          </rPr>
          <t>AutoBVT:</t>
        </r>
        <r>
          <rPr>
            <sz val="9"/>
            <rFont val="宋体"/>
            <charset val="134"/>
          </rPr>
          <t xml:space="preserve">
分别填写截止当前月份的专项附加扣除累计金额</t>
        </r>
      </text>
    </comment>
    <comment ref="AB2" authorId="1">
      <text>
        <r>
          <rPr>
            <sz val="9"/>
            <rFont val="宋体"/>
            <charset val="134"/>
          </rPr>
          <t xml:space="preserve">
本年度截止当前月份的专项附加扣除累计金额</t>
        </r>
      </text>
    </comment>
    <comment ref="AC2" authorId="1">
      <text>
        <r>
          <rPr>
            <sz val="9"/>
            <rFont val="宋体"/>
            <charset val="134"/>
          </rPr>
          <t xml:space="preserve">
本年度截止当前月份的国家允许的其他扣除累计金额</t>
        </r>
      </text>
    </comment>
    <comment ref="AD2" authorId="1">
      <text>
        <r>
          <rPr>
            <sz val="9"/>
            <rFont val="宋体"/>
            <charset val="134"/>
          </rPr>
          <t xml:space="preserve">
本年度截止当前月份的累计应纳税所得额</t>
        </r>
      </text>
    </comment>
    <comment ref="AF2" authorId="1">
      <text>
        <r>
          <rPr>
            <sz val="9"/>
            <rFont val="宋体"/>
            <charset val="134"/>
          </rPr>
          <t xml:space="preserve">
填写本年度截止当前月份已累计扣缴总税额</t>
        </r>
      </text>
    </comment>
    <comment ref="AG2" authorId="1">
      <text>
        <r>
          <rPr>
            <b/>
            <sz val="9"/>
            <rFont val="宋体"/>
            <charset val="134"/>
          </rPr>
          <t>AutoBVT:</t>
        </r>
        <r>
          <rPr>
            <sz val="9"/>
            <rFont val="宋体"/>
            <charset val="134"/>
          </rPr>
          <t xml:space="preserve">
累计预扣预缴税额-已预扣预缴税额=本月应补（退）税额</t>
        </r>
      </text>
    </comment>
    <comment ref="AH2" authorId="1">
      <text>
        <r>
          <rPr>
            <sz val="9"/>
            <rFont val="宋体"/>
            <charset val="134"/>
          </rPr>
          <t xml:space="preserve">
本月应发工资-本月个人应扣金额-本月应扣个税=净工资</t>
        </r>
      </text>
    </comment>
    <comment ref="AI2" authorId="2">
      <text>
        <r>
          <rPr>
            <sz val="9"/>
            <rFont val="Tahoma"/>
            <charset val="134"/>
          </rPr>
          <t xml:space="preserve">
*</t>
        </r>
        <r>
          <rPr>
            <sz val="9"/>
            <rFont val="宋体"/>
            <charset val="134"/>
          </rPr>
          <t xml:space="preserve">补低差、罚款，取暖费、独生子女费、生育津贴、等等国家允许的不扣税项目
</t>
        </r>
        <r>
          <rPr>
            <sz val="9"/>
            <rFont val="Tahoma"/>
            <charset val="134"/>
          </rPr>
          <t>*</t>
        </r>
        <r>
          <rPr>
            <sz val="9"/>
            <rFont val="宋体"/>
            <charset val="134"/>
          </rPr>
          <t>补偿金或赔偿金不超过当地年平均工资</t>
        </r>
        <r>
          <rPr>
            <sz val="9"/>
            <rFont val="Tahoma"/>
            <charset val="134"/>
          </rPr>
          <t>3</t>
        </r>
        <r>
          <rPr>
            <sz val="9"/>
            <rFont val="宋体"/>
            <charset val="134"/>
          </rPr>
          <t xml:space="preserve">倍
</t>
        </r>
      </text>
    </comment>
    <comment ref="V3" authorId="0">
      <text>
        <r>
          <rPr>
            <sz val="9"/>
            <rFont val="Tahoma"/>
            <charset val="134"/>
          </rPr>
          <t xml:space="preserve">
*1000</t>
        </r>
        <r>
          <rPr>
            <sz val="9"/>
            <rFont val="宋体"/>
            <charset val="134"/>
          </rPr>
          <t>元</t>
        </r>
        <r>
          <rPr>
            <sz val="9"/>
            <rFont val="Tahoma"/>
            <charset val="134"/>
          </rPr>
          <t>/</t>
        </r>
        <r>
          <rPr>
            <sz val="9"/>
            <rFont val="宋体"/>
            <charset val="134"/>
          </rPr>
          <t>子女</t>
        </r>
        <r>
          <rPr>
            <sz val="9"/>
            <rFont val="Tahoma"/>
            <charset val="134"/>
          </rPr>
          <t>/</t>
        </r>
        <r>
          <rPr>
            <sz val="9"/>
            <rFont val="宋体"/>
            <charset val="134"/>
          </rPr>
          <t>月</t>
        </r>
      </text>
    </comment>
    <comment ref="W3" authorId="1">
      <text>
        <r>
          <rPr>
            <sz val="9"/>
            <rFont val="宋体"/>
            <charset val="134"/>
          </rPr>
          <t xml:space="preserve">
*独生子女 2000元/月
*非独生子女均摊，最高不能超过1000元/月</t>
        </r>
      </text>
    </comment>
    <comment ref="X3" authorId="0">
      <text>
        <r>
          <rPr>
            <sz val="9"/>
            <rFont val="Tahoma"/>
            <charset val="134"/>
          </rPr>
          <t xml:space="preserve">
*1000</t>
        </r>
        <r>
          <rPr>
            <sz val="9"/>
            <rFont val="宋体"/>
            <charset val="134"/>
          </rPr>
          <t>元</t>
        </r>
        <r>
          <rPr>
            <sz val="9"/>
            <rFont val="Tahoma"/>
            <charset val="134"/>
          </rPr>
          <t>/</t>
        </r>
        <r>
          <rPr>
            <sz val="9"/>
            <rFont val="宋体"/>
            <charset val="134"/>
          </rPr>
          <t>月，</t>
        </r>
        <r>
          <rPr>
            <sz val="9"/>
            <rFont val="Tahoma"/>
            <charset val="134"/>
          </rPr>
          <t>240</t>
        </r>
        <r>
          <rPr>
            <sz val="9"/>
            <rFont val="宋体"/>
            <charset val="134"/>
          </rPr>
          <t>月为限，限首套</t>
        </r>
      </text>
    </comment>
    <comment ref="Y3" authorId="1">
      <text>
        <r>
          <rPr>
            <sz val="9"/>
            <rFont val="宋体"/>
            <charset val="134"/>
          </rPr>
          <t xml:space="preserve">
*1500元/月，直辖市、省会、计划单列城市
*1100元/月，市人口 &gt;100万
*800元/月，市人口 &lt;100万</t>
        </r>
      </text>
    </comment>
    <comment ref="Z3" authorId="0">
      <text>
        <r>
          <rPr>
            <sz val="9"/>
            <rFont val="Tahoma"/>
            <charset val="134"/>
          </rPr>
          <t xml:space="preserve">
*</t>
        </r>
        <r>
          <rPr>
            <sz val="9"/>
            <rFont val="宋体"/>
            <charset val="134"/>
          </rPr>
          <t>学历继续教育</t>
        </r>
        <r>
          <rPr>
            <sz val="9"/>
            <rFont val="Tahoma"/>
            <charset val="134"/>
          </rPr>
          <t xml:space="preserve"> 400</t>
        </r>
        <r>
          <rPr>
            <sz val="9"/>
            <rFont val="宋体"/>
            <charset val="134"/>
          </rPr>
          <t>元</t>
        </r>
        <r>
          <rPr>
            <sz val="9"/>
            <rFont val="Tahoma"/>
            <charset val="134"/>
          </rPr>
          <t>/</t>
        </r>
        <r>
          <rPr>
            <sz val="9"/>
            <rFont val="宋体"/>
            <charset val="134"/>
          </rPr>
          <t>月，</t>
        </r>
        <r>
          <rPr>
            <sz val="9"/>
            <rFont val="Tahoma"/>
            <charset val="134"/>
          </rPr>
          <t>48</t>
        </r>
        <r>
          <rPr>
            <sz val="9"/>
            <rFont val="宋体"/>
            <charset val="134"/>
          </rPr>
          <t xml:space="preserve">个月
</t>
        </r>
        <r>
          <rPr>
            <sz val="9"/>
            <rFont val="Tahoma"/>
            <charset val="134"/>
          </rPr>
          <t>*</t>
        </r>
        <r>
          <rPr>
            <sz val="9"/>
            <rFont val="宋体"/>
            <charset val="134"/>
          </rPr>
          <t>职业资格继续教育</t>
        </r>
        <r>
          <rPr>
            <sz val="9"/>
            <rFont val="Tahoma"/>
            <charset val="134"/>
          </rPr>
          <t xml:space="preserve"> 3600</t>
        </r>
        <r>
          <rPr>
            <sz val="9"/>
            <rFont val="宋体"/>
            <charset val="134"/>
          </rPr>
          <t>元</t>
        </r>
        <r>
          <rPr>
            <sz val="9"/>
            <rFont val="Tahoma"/>
            <charset val="134"/>
          </rPr>
          <t>/</t>
        </r>
        <r>
          <rPr>
            <sz val="9"/>
            <rFont val="宋体"/>
            <charset val="134"/>
          </rPr>
          <t>年，取得证书年度</t>
        </r>
      </text>
    </comment>
    <comment ref="AA3" authorId="1">
      <text>
        <r>
          <rPr>
            <sz val="9"/>
            <rFont val="宋体"/>
            <charset val="134"/>
          </rPr>
          <t xml:space="preserve">
*自费超过1.5万，8万/年
*由纳税人在年度汇算清缴时办理，无需填写</t>
        </r>
      </text>
    </comment>
  </commentList>
</comments>
</file>

<file path=xl/comments8.xml><?xml version="1.0" encoding="utf-8"?>
<comments xmlns="http://schemas.openxmlformats.org/spreadsheetml/2006/main">
  <authors>
    <author>xbany</author>
    <author>AutoBVT</author>
    <author>lenovo</author>
  </authors>
  <commentList>
    <comment ref="R2" authorId="0">
      <text>
        <r>
          <rPr>
            <sz val="9"/>
            <rFont val="宋体"/>
            <charset val="134"/>
          </rPr>
          <t xml:space="preserve">
其他扣除限以下内容：</t>
        </r>
        <r>
          <rPr>
            <sz val="9"/>
            <rFont val="Tahoma"/>
            <charset val="134"/>
          </rPr>
          <t xml:space="preserve">
</t>
        </r>
        <r>
          <rPr>
            <sz val="9"/>
            <rFont val="宋体"/>
            <charset val="134"/>
          </rPr>
          <t>年金、商业健康保险、税延养老保险、财产原值、允许扣除的税费、其他国家规定扣除</t>
        </r>
      </text>
    </comment>
    <comment ref="S2" authorId="1">
      <text>
        <r>
          <rPr>
            <sz val="9"/>
            <rFont val="宋体"/>
            <charset val="134"/>
          </rPr>
          <t xml:space="preserve">
填写本年度截止当前月份的工资、薪金所得累计金额</t>
        </r>
      </text>
    </comment>
    <comment ref="T2" authorId="1">
      <text>
        <r>
          <rPr>
            <sz val="9"/>
            <rFont val="宋体"/>
            <charset val="134"/>
          </rPr>
          <t xml:space="preserve">
5000元/月乘以纳税人当年在本单位任职受雇月份</t>
        </r>
      </text>
    </comment>
    <comment ref="U2" authorId="1">
      <text>
        <r>
          <rPr>
            <sz val="9"/>
            <rFont val="宋体"/>
            <charset val="134"/>
          </rPr>
          <t xml:space="preserve">
本年度截止当前月份的个人社保累计金额</t>
        </r>
      </text>
    </comment>
    <comment ref="V2" authorId="1">
      <text>
        <r>
          <rPr>
            <b/>
            <sz val="9"/>
            <rFont val="宋体"/>
            <charset val="134"/>
          </rPr>
          <t>AutoBVT:</t>
        </r>
        <r>
          <rPr>
            <sz val="9"/>
            <rFont val="宋体"/>
            <charset val="134"/>
          </rPr>
          <t xml:space="preserve">
分别填写截止当前月份的专项附加扣除累计金额</t>
        </r>
      </text>
    </comment>
    <comment ref="AB2" authorId="1">
      <text>
        <r>
          <rPr>
            <sz val="9"/>
            <rFont val="宋体"/>
            <charset val="134"/>
          </rPr>
          <t xml:space="preserve">
本年度截止当前月份的专项附加扣除累计金额</t>
        </r>
      </text>
    </comment>
    <comment ref="AC2" authorId="1">
      <text>
        <r>
          <rPr>
            <sz val="9"/>
            <rFont val="宋体"/>
            <charset val="134"/>
          </rPr>
          <t xml:space="preserve">
本年度截止当前月份的国家允许的其他扣除累计金额</t>
        </r>
      </text>
    </comment>
    <comment ref="AD2" authorId="1">
      <text>
        <r>
          <rPr>
            <sz val="9"/>
            <rFont val="宋体"/>
            <charset val="134"/>
          </rPr>
          <t xml:space="preserve">
本年度截止当前月份的累计应纳税所得额</t>
        </r>
      </text>
    </comment>
    <comment ref="AF2" authorId="1">
      <text>
        <r>
          <rPr>
            <sz val="9"/>
            <rFont val="宋体"/>
            <charset val="134"/>
          </rPr>
          <t xml:space="preserve">
填写本年度截止当前月份已累计扣缴总税额</t>
        </r>
      </text>
    </comment>
    <comment ref="AG2" authorId="1">
      <text>
        <r>
          <rPr>
            <b/>
            <sz val="9"/>
            <rFont val="宋体"/>
            <charset val="134"/>
          </rPr>
          <t>AutoBVT:</t>
        </r>
        <r>
          <rPr>
            <sz val="9"/>
            <rFont val="宋体"/>
            <charset val="134"/>
          </rPr>
          <t xml:space="preserve">
累计预扣预缴税额-已预扣预缴税额=本月应补（退）税额</t>
        </r>
      </text>
    </comment>
    <comment ref="AH2" authorId="1">
      <text>
        <r>
          <rPr>
            <sz val="9"/>
            <rFont val="宋体"/>
            <charset val="134"/>
          </rPr>
          <t xml:space="preserve">
本月应发工资-本月个人应扣金额-本月应扣个税=净工资</t>
        </r>
      </text>
    </comment>
    <comment ref="AI2" authorId="2">
      <text>
        <r>
          <rPr>
            <sz val="9"/>
            <rFont val="Tahoma"/>
            <charset val="134"/>
          </rPr>
          <t xml:space="preserve">
*</t>
        </r>
        <r>
          <rPr>
            <sz val="9"/>
            <rFont val="宋体"/>
            <charset val="134"/>
          </rPr>
          <t xml:space="preserve">补低差、罚款，取暖费、独生子女费、生育津贴、等等国家允许的不扣税项目
</t>
        </r>
        <r>
          <rPr>
            <sz val="9"/>
            <rFont val="Tahoma"/>
            <charset val="134"/>
          </rPr>
          <t>*</t>
        </r>
        <r>
          <rPr>
            <sz val="9"/>
            <rFont val="宋体"/>
            <charset val="134"/>
          </rPr>
          <t>补偿金或赔偿金不超过当地年平均工资</t>
        </r>
        <r>
          <rPr>
            <sz val="9"/>
            <rFont val="Tahoma"/>
            <charset val="134"/>
          </rPr>
          <t>3</t>
        </r>
        <r>
          <rPr>
            <sz val="9"/>
            <rFont val="宋体"/>
            <charset val="134"/>
          </rPr>
          <t xml:space="preserve">倍
</t>
        </r>
      </text>
    </comment>
    <comment ref="V3" authorId="0">
      <text>
        <r>
          <rPr>
            <sz val="9"/>
            <rFont val="Tahoma"/>
            <charset val="134"/>
          </rPr>
          <t xml:space="preserve">
*1000</t>
        </r>
        <r>
          <rPr>
            <sz val="9"/>
            <rFont val="宋体"/>
            <charset val="134"/>
          </rPr>
          <t>元</t>
        </r>
        <r>
          <rPr>
            <sz val="9"/>
            <rFont val="Tahoma"/>
            <charset val="134"/>
          </rPr>
          <t>/</t>
        </r>
        <r>
          <rPr>
            <sz val="9"/>
            <rFont val="宋体"/>
            <charset val="134"/>
          </rPr>
          <t>子女</t>
        </r>
        <r>
          <rPr>
            <sz val="9"/>
            <rFont val="Tahoma"/>
            <charset val="134"/>
          </rPr>
          <t>/</t>
        </r>
        <r>
          <rPr>
            <sz val="9"/>
            <rFont val="宋体"/>
            <charset val="134"/>
          </rPr>
          <t>月</t>
        </r>
      </text>
    </comment>
    <comment ref="W3" authorId="1">
      <text>
        <r>
          <rPr>
            <sz val="9"/>
            <rFont val="宋体"/>
            <charset val="134"/>
          </rPr>
          <t xml:space="preserve">
*独生子女 2000元/月
*非独生子女均摊，最高不能超过1000元/月</t>
        </r>
      </text>
    </comment>
    <comment ref="X3" authorId="0">
      <text>
        <r>
          <rPr>
            <sz val="9"/>
            <rFont val="Tahoma"/>
            <charset val="134"/>
          </rPr>
          <t xml:space="preserve">
*1000</t>
        </r>
        <r>
          <rPr>
            <sz val="9"/>
            <rFont val="宋体"/>
            <charset val="134"/>
          </rPr>
          <t>元</t>
        </r>
        <r>
          <rPr>
            <sz val="9"/>
            <rFont val="Tahoma"/>
            <charset val="134"/>
          </rPr>
          <t>/</t>
        </r>
        <r>
          <rPr>
            <sz val="9"/>
            <rFont val="宋体"/>
            <charset val="134"/>
          </rPr>
          <t>月，</t>
        </r>
        <r>
          <rPr>
            <sz val="9"/>
            <rFont val="Tahoma"/>
            <charset val="134"/>
          </rPr>
          <t>240</t>
        </r>
        <r>
          <rPr>
            <sz val="9"/>
            <rFont val="宋体"/>
            <charset val="134"/>
          </rPr>
          <t>月为限，限首套</t>
        </r>
      </text>
    </comment>
    <comment ref="Y3" authorId="1">
      <text>
        <r>
          <rPr>
            <sz val="9"/>
            <rFont val="宋体"/>
            <charset val="134"/>
          </rPr>
          <t xml:space="preserve">
*1500元/月，直辖市、省会、计划单列城市
*1100元/月，市人口 &gt;100万
*800元/月，市人口 &lt;100万</t>
        </r>
      </text>
    </comment>
    <comment ref="Z3" authorId="0">
      <text>
        <r>
          <rPr>
            <sz val="9"/>
            <rFont val="Tahoma"/>
            <charset val="134"/>
          </rPr>
          <t xml:space="preserve">
*</t>
        </r>
        <r>
          <rPr>
            <sz val="9"/>
            <rFont val="宋体"/>
            <charset val="134"/>
          </rPr>
          <t>学历继续教育</t>
        </r>
        <r>
          <rPr>
            <sz val="9"/>
            <rFont val="Tahoma"/>
            <charset val="134"/>
          </rPr>
          <t xml:space="preserve"> 400</t>
        </r>
        <r>
          <rPr>
            <sz val="9"/>
            <rFont val="宋体"/>
            <charset val="134"/>
          </rPr>
          <t>元</t>
        </r>
        <r>
          <rPr>
            <sz val="9"/>
            <rFont val="Tahoma"/>
            <charset val="134"/>
          </rPr>
          <t>/</t>
        </r>
        <r>
          <rPr>
            <sz val="9"/>
            <rFont val="宋体"/>
            <charset val="134"/>
          </rPr>
          <t>月，</t>
        </r>
        <r>
          <rPr>
            <sz val="9"/>
            <rFont val="Tahoma"/>
            <charset val="134"/>
          </rPr>
          <t>48</t>
        </r>
        <r>
          <rPr>
            <sz val="9"/>
            <rFont val="宋体"/>
            <charset val="134"/>
          </rPr>
          <t xml:space="preserve">个月
</t>
        </r>
        <r>
          <rPr>
            <sz val="9"/>
            <rFont val="Tahoma"/>
            <charset val="134"/>
          </rPr>
          <t>*</t>
        </r>
        <r>
          <rPr>
            <sz val="9"/>
            <rFont val="宋体"/>
            <charset val="134"/>
          </rPr>
          <t>职业资格继续教育</t>
        </r>
        <r>
          <rPr>
            <sz val="9"/>
            <rFont val="Tahoma"/>
            <charset val="134"/>
          </rPr>
          <t xml:space="preserve"> 3600</t>
        </r>
        <r>
          <rPr>
            <sz val="9"/>
            <rFont val="宋体"/>
            <charset val="134"/>
          </rPr>
          <t>元</t>
        </r>
        <r>
          <rPr>
            <sz val="9"/>
            <rFont val="Tahoma"/>
            <charset val="134"/>
          </rPr>
          <t>/</t>
        </r>
        <r>
          <rPr>
            <sz val="9"/>
            <rFont val="宋体"/>
            <charset val="134"/>
          </rPr>
          <t>年，取得证书年度</t>
        </r>
      </text>
    </comment>
    <comment ref="AA3" authorId="1">
      <text>
        <r>
          <rPr>
            <sz val="9"/>
            <rFont val="宋体"/>
            <charset val="134"/>
          </rPr>
          <t xml:space="preserve">
*自费超过1.5万，8万/年
*由纳税人在年度汇算清缴时办理，无需填写</t>
        </r>
      </text>
    </comment>
  </commentList>
</comments>
</file>

<file path=xl/comments9.xml><?xml version="1.0" encoding="utf-8"?>
<comments xmlns="http://schemas.openxmlformats.org/spreadsheetml/2006/main">
  <authors>
    <author>xbany</author>
    <author>AutoBVT</author>
    <author>lenovo</author>
  </authors>
  <commentList>
    <comment ref="R2" authorId="0">
      <text>
        <r>
          <rPr>
            <sz val="9"/>
            <rFont val="宋体"/>
            <charset val="134"/>
          </rPr>
          <t xml:space="preserve">
其他扣除限以下内容：</t>
        </r>
        <r>
          <rPr>
            <sz val="9"/>
            <rFont val="Tahoma"/>
            <charset val="134"/>
          </rPr>
          <t xml:space="preserve">
</t>
        </r>
        <r>
          <rPr>
            <sz val="9"/>
            <rFont val="宋体"/>
            <charset val="134"/>
          </rPr>
          <t>年金、商业健康保险、税延养老保险、财产原值、允许扣除的税费、其他国家规定扣除</t>
        </r>
      </text>
    </comment>
    <comment ref="S2" authorId="1">
      <text>
        <r>
          <rPr>
            <sz val="9"/>
            <rFont val="宋体"/>
            <charset val="134"/>
          </rPr>
          <t xml:space="preserve">
填写本年度截止当前月份的工资、薪金所得累计金额</t>
        </r>
      </text>
    </comment>
    <comment ref="T2" authorId="1">
      <text>
        <r>
          <rPr>
            <sz val="9"/>
            <rFont val="宋体"/>
            <charset val="134"/>
          </rPr>
          <t xml:space="preserve">
5000元/月乘以纳税人当年在本单位任职受雇月份</t>
        </r>
      </text>
    </comment>
    <comment ref="U2" authorId="1">
      <text>
        <r>
          <rPr>
            <sz val="9"/>
            <rFont val="宋体"/>
            <charset val="134"/>
          </rPr>
          <t xml:space="preserve">
本年度截止当前月份的个人社保累计金额</t>
        </r>
      </text>
    </comment>
    <comment ref="V2" authorId="1">
      <text>
        <r>
          <rPr>
            <b/>
            <sz val="9"/>
            <rFont val="宋体"/>
            <charset val="134"/>
          </rPr>
          <t>AutoBVT:</t>
        </r>
        <r>
          <rPr>
            <sz val="9"/>
            <rFont val="宋体"/>
            <charset val="134"/>
          </rPr>
          <t xml:space="preserve">
分别填写截止当前月份的专项附加扣除累计金额</t>
        </r>
      </text>
    </comment>
    <comment ref="AB2" authorId="1">
      <text>
        <r>
          <rPr>
            <sz val="9"/>
            <rFont val="宋体"/>
            <charset val="134"/>
          </rPr>
          <t xml:space="preserve">
本年度截止当前月份的专项附加扣除累计金额</t>
        </r>
      </text>
    </comment>
    <comment ref="AC2" authorId="1">
      <text>
        <r>
          <rPr>
            <sz val="9"/>
            <rFont val="宋体"/>
            <charset val="134"/>
          </rPr>
          <t xml:space="preserve">
本年度截止当前月份的国家允许的其他扣除累计金额</t>
        </r>
      </text>
    </comment>
    <comment ref="AD2" authorId="1">
      <text>
        <r>
          <rPr>
            <sz val="9"/>
            <rFont val="宋体"/>
            <charset val="134"/>
          </rPr>
          <t xml:space="preserve">
本年度截止当前月份的累计应纳税所得额</t>
        </r>
      </text>
    </comment>
    <comment ref="AF2" authorId="1">
      <text>
        <r>
          <rPr>
            <sz val="9"/>
            <rFont val="宋体"/>
            <charset val="134"/>
          </rPr>
          <t xml:space="preserve">
填写本年度截止当前月份已累计扣缴总税额</t>
        </r>
      </text>
    </comment>
    <comment ref="AG2" authorId="1">
      <text>
        <r>
          <rPr>
            <b/>
            <sz val="9"/>
            <rFont val="宋体"/>
            <charset val="134"/>
          </rPr>
          <t>AutoBVT:</t>
        </r>
        <r>
          <rPr>
            <sz val="9"/>
            <rFont val="宋体"/>
            <charset val="134"/>
          </rPr>
          <t xml:space="preserve">
累计预扣预缴税额-已预扣预缴税额=本月应补（退）税额</t>
        </r>
      </text>
    </comment>
    <comment ref="AH2" authorId="1">
      <text>
        <r>
          <rPr>
            <sz val="9"/>
            <rFont val="宋体"/>
            <charset val="134"/>
          </rPr>
          <t xml:space="preserve">
本月应发工资-本月个人应扣金额-本月应扣个税=净工资</t>
        </r>
      </text>
    </comment>
    <comment ref="AI2" authorId="2">
      <text>
        <r>
          <rPr>
            <sz val="9"/>
            <rFont val="Tahoma"/>
            <charset val="134"/>
          </rPr>
          <t xml:space="preserve">
*</t>
        </r>
        <r>
          <rPr>
            <sz val="9"/>
            <rFont val="宋体"/>
            <charset val="134"/>
          </rPr>
          <t xml:space="preserve">补低差、罚款，取暖费、独生子女费、生育津贴、等等国家允许的不扣税项目
</t>
        </r>
        <r>
          <rPr>
            <sz val="9"/>
            <rFont val="Tahoma"/>
            <charset val="134"/>
          </rPr>
          <t>*</t>
        </r>
        <r>
          <rPr>
            <sz val="9"/>
            <rFont val="宋体"/>
            <charset val="134"/>
          </rPr>
          <t>补偿金或赔偿金不超过当地年平均工资</t>
        </r>
        <r>
          <rPr>
            <sz val="9"/>
            <rFont val="Tahoma"/>
            <charset val="134"/>
          </rPr>
          <t>3</t>
        </r>
        <r>
          <rPr>
            <sz val="9"/>
            <rFont val="宋体"/>
            <charset val="134"/>
          </rPr>
          <t xml:space="preserve">倍
</t>
        </r>
      </text>
    </comment>
    <comment ref="V3" authorId="0">
      <text>
        <r>
          <rPr>
            <sz val="9"/>
            <rFont val="Tahoma"/>
            <charset val="134"/>
          </rPr>
          <t xml:space="preserve">
*1000</t>
        </r>
        <r>
          <rPr>
            <sz val="9"/>
            <rFont val="宋体"/>
            <charset val="134"/>
          </rPr>
          <t>元</t>
        </r>
        <r>
          <rPr>
            <sz val="9"/>
            <rFont val="Tahoma"/>
            <charset val="134"/>
          </rPr>
          <t>/</t>
        </r>
        <r>
          <rPr>
            <sz val="9"/>
            <rFont val="宋体"/>
            <charset val="134"/>
          </rPr>
          <t>子女</t>
        </r>
        <r>
          <rPr>
            <sz val="9"/>
            <rFont val="Tahoma"/>
            <charset val="134"/>
          </rPr>
          <t>/</t>
        </r>
        <r>
          <rPr>
            <sz val="9"/>
            <rFont val="宋体"/>
            <charset val="134"/>
          </rPr>
          <t>月</t>
        </r>
      </text>
    </comment>
    <comment ref="W3" authorId="1">
      <text>
        <r>
          <rPr>
            <sz val="9"/>
            <rFont val="宋体"/>
            <charset val="134"/>
          </rPr>
          <t xml:space="preserve">
*独生子女 2000元/月
*非独生子女均摊，最高不能超过1000元/月</t>
        </r>
      </text>
    </comment>
    <comment ref="X3" authorId="0">
      <text>
        <r>
          <rPr>
            <sz val="9"/>
            <rFont val="Tahoma"/>
            <charset val="134"/>
          </rPr>
          <t xml:space="preserve">
*1000</t>
        </r>
        <r>
          <rPr>
            <sz val="9"/>
            <rFont val="宋体"/>
            <charset val="134"/>
          </rPr>
          <t>元</t>
        </r>
        <r>
          <rPr>
            <sz val="9"/>
            <rFont val="Tahoma"/>
            <charset val="134"/>
          </rPr>
          <t>/</t>
        </r>
        <r>
          <rPr>
            <sz val="9"/>
            <rFont val="宋体"/>
            <charset val="134"/>
          </rPr>
          <t>月，</t>
        </r>
        <r>
          <rPr>
            <sz val="9"/>
            <rFont val="Tahoma"/>
            <charset val="134"/>
          </rPr>
          <t>240</t>
        </r>
        <r>
          <rPr>
            <sz val="9"/>
            <rFont val="宋体"/>
            <charset val="134"/>
          </rPr>
          <t>月为限，限首套</t>
        </r>
      </text>
    </comment>
    <comment ref="Y3" authorId="1">
      <text>
        <r>
          <rPr>
            <sz val="9"/>
            <rFont val="宋体"/>
            <charset val="134"/>
          </rPr>
          <t xml:space="preserve">
*1500元/月，直辖市、省会、计划单列城市
*1100元/月，市人口 &gt;100万
*800元/月，市人口 &lt;100万</t>
        </r>
      </text>
    </comment>
    <comment ref="Z3" authorId="0">
      <text>
        <r>
          <rPr>
            <sz val="9"/>
            <rFont val="Tahoma"/>
            <charset val="134"/>
          </rPr>
          <t xml:space="preserve">
*</t>
        </r>
        <r>
          <rPr>
            <sz val="9"/>
            <rFont val="宋体"/>
            <charset val="134"/>
          </rPr>
          <t>学历继续教育</t>
        </r>
        <r>
          <rPr>
            <sz val="9"/>
            <rFont val="Tahoma"/>
            <charset val="134"/>
          </rPr>
          <t xml:space="preserve"> 400</t>
        </r>
        <r>
          <rPr>
            <sz val="9"/>
            <rFont val="宋体"/>
            <charset val="134"/>
          </rPr>
          <t>元</t>
        </r>
        <r>
          <rPr>
            <sz val="9"/>
            <rFont val="Tahoma"/>
            <charset val="134"/>
          </rPr>
          <t>/</t>
        </r>
        <r>
          <rPr>
            <sz val="9"/>
            <rFont val="宋体"/>
            <charset val="134"/>
          </rPr>
          <t>月，</t>
        </r>
        <r>
          <rPr>
            <sz val="9"/>
            <rFont val="Tahoma"/>
            <charset val="134"/>
          </rPr>
          <t>48</t>
        </r>
        <r>
          <rPr>
            <sz val="9"/>
            <rFont val="宋体"/>
            <charset val="134"/>
          </rPr>
          <t xml:space="preserve">个月
</t>
        </r>
        <r>
          <rPr>
            <sz val="9"/>
            <rFont val="Tahoma"/>
            <charset val="134"/>
          </rPr>
          <t>*</t>
        </r>
        <r>
          <rPr>
            <sz val="9"/>
            <rFont val="宋体"/>
            <charset val="134"/>
          </rPr>
          <t>职业资格继续教育</t>
        </r>
        <r>
          <rPr>
            <sz val="9"/>
            <rFont val="Tahoma"/>
            <charset val="134"/>
          </rPr>
          <t xml:space="preserve"> 3600</t>
        </r>
        <r>
          <rPr>
            <sz val="9"/>
            <rFont val="宋体"/>
            <charset val="134"/>
          </rPr>
          <t>元</t>
        </r>
        <r>
          <rPr>
            <sz val="9"/>
            <rFont val="Tahoma"/>
            <charset val="134"/>
          </rPr>
          <t>/</t>
        </r>
        <r>
          <rPr>
            <sz val="9"/>
            <rFont val="宋体"/>
            <charset val="134"/>
          </rPr>
          <t>年，取得证书年度</t>
        </r>
      </text>
    </comment>
    <comment ref="AA3" authorId="1">
      <text>
        <r>
          <rPr>
            <sz val="9"/>
            <rFont val="宋体"/>
            <charset val="134"/>
          </rPr>
          <t xml:space="preserve">
*自费超过1.5万，8万/年
*由纳税人在年度汇算清缴时办理，无需填写</t>
        </r>
      </text>
    </comment>
  </commentList>
</comments>
</file>

<file path=xl/sharedStrings.xml><?xml version="1.0" encoding="utf-8"?>
<sst xmlns="http://schemas.openxmlformats.org/spreadsheetml/2006/main" count="2124" uniqueCount="254">
  <si>
    <t>序号</t>
  </si>
  <si>
    <t>客户名称</t>
  </si>
  <si>
    <t>缴费城市</t>
  </si>
  <si>
    <t>产品类型</t>
  </si>
  <si>
    <t>成本中心</t>
  </si>
  <si>
    <t>员工姓名</t>
  </si>
  <si>
    <t>身份证号码</t>
  </si>
  <si>
    <t>社保缴纳起始月</t>
  </si>
  <si>
    <t>公积金缴纳起始月</t>
  </si>
  <si>
    <t>社保缴纳所属月</t>
  </si>
  <si>
    <t>公积金缴纳所属月</t>
  </si>
  <si>
    <t>养老保险</t>
  </si>
  <si>
    <t>医疗保险</t>
  </si>
  <si>
    <t>失业保险</t>
  </si>
  <si>
    <t>生育保险</t>
  </si>
  <si>
    <t>工伤保险</t>
  </si>
  <si>
    <t>住房公积金</t>
  </si>
  <si>
    <t>补充医疗保险</t>
  </si>
  <si>
    <t>大病</t>
  </si>
  <si>
    <t>缴纳小计</t>
  </si>
  <si>
    <t>社保合计</t>
  </si>
  <si>
    <t>公积金合计</t>
  </si>
  <si>
    <t>服务费</t>
  </si>
  <si>
    <t>总计</t>
  </si>
  <si>
    <t>备注</t>
  </si>
  <si>
    <t>缴纳基数</t>
  </si>
  <si>
    <t>公司比例</t>
  </si>
  <si>
    <t>公司金额</t>
  </si>
  <si>
    <t>个人比例</t>
  </si>
  <si>
    <t>个人金额</t>
  </si>
  <si>
    <t>比例</t>
  </si>
  <si>
    <t>金额</t>
  </si>
  <si>
    <t>公司</t>
  </si>
  <si>
    <t>个人</t>
  </si>
  <si>
    <t>社保公司</t>
  </si>
  <si>
    <t>社保个人</t>
  </si>
  <si>
    <t>公积金公司</t>
  </si>
  <si>
    <t>公积金个人</t>
  </si>
  <si>
    <t>小计</t>
  </si>
  <si>
    <t>北京创联致信科技有限公司</t>
  </si>
  <si>
    <t>太原</t>
  </si>
  <si>
    <t>代理</t>
  </si>
  <si>
    <t>山西鼎诺</t>
  </si>
  <si>
    <t>赵强</t>
  </si>
  <si>
    <t>142732199004126819</t>
  </si>
  <si>
    <t>202010</t>
  </si>
  <si>
    <t>202004</t>
  </si>
  <si>
    <t xml:space="preserve"> </t>
  </si>
  <si>
    <t>202005</t>
  </si>
  <si>
    <t>202006</t>
  </si>
  <si>
    <t>广州</t>
  </si>
  <si>
    <t>易才</t>
  </si>
  <si>
    <t>冯月燕</t>
  </si>
  <si>
    <t>440602197506030928</t>
  </si>
  <si>
    <t>无</t>
  </si>
  <si>
    <t>补收</t>
  </si>
  <si>
    <t>202001</t>
  </si>
  <si>
    <t>补收1-3工伤基数差</t>
  </si>
  <si>
    <t>202002</t>
  </si>
  <si>
    <t>202003</t>
  </si>
  <si>
    <t>四平</t>
  </si>
  <si>
    <t>赵亮</t>
  </si>
  <si>
    <t>220303198203102617</t>
  </si>
  <si>
    <t>202104</t>
  </si>
  <si>
    <t>1580</t>
  </si>
  <si>
    <t>202007</t>
  </si>
  <si>
    <t>分项合计</t>
  </si>
  <si>
    <t>付款通知书</t>
  </si>
  <si>
    <t>尊敬的客户：北京创联致信科技有限公司</t>
  </si>
  <si>
    <t>根据贵公司与我公司所签订的服务协议，请贵公司在2025年2月8日之前按照下列表格内容支付相关款项.</t>
  </si>
  <si>
    <t>本 期 应 付 款 汇 总 结 算 明 细</t>
  </si>
  <si>
    <t>汇款信息：</t>
  </si>
  <si>
    <t>本期应付款合计（小写）：</t>
  </si>
  <si>
    <t/>
  </si>
  <si>
    <t>账户全称：</t>
  </si>
  <si>
    <t>北京易才博普奥管理顾问有限公司</t>
  </si>
  <si>
    <t>本期应付款合计（大写）：</t>
  </si>
  <si>
    <t>开户银行：</t>
  </si>
  <si>
    <t>广发银行北京国寿金融中心支行</t>
  </si>
  <si>
    <t>本期款项合计：</t>
  </si>
  <si>
    <t>尾数调整：</t>
  </si>
  <si>
    <t>银行账号：</t>
  </si>
  <si>
    <t>137501516010000088</t>
  </si>
  <si>
    <t>预收款(+)：</t>
  </si>
  <si>
    <r>
      <rPr>
        <sz val="10"/>
        <color indexed="8"/>
        <rFont val="宋体"/>
        <charset val="134"/>
      </rPr>
      <t>工资保证金</t>
    </r>
    <r>
      <rPr>
        <sz val="10"/>
        <color indexed="8"/>
        <rFont val="宋体"/>
        <charset val="134"/>
      </rPr>
      <t>(+)</t>
    </r>
    <r>
      <rPr>
        <sz val="10"/>
        <color indexed="8"/>
        <rFont val="宋体"/>
        <charset val="134"/>
      </rPr>
      <t>：</t>
    </r>
  </si>
  <si>
    <t>本期减免服务费(+)：</t>
  </si>
  <si>
    <r>
      <rPr>
        <sz val="10"/>
        <color indexed="8"/>
        <rFont val="宋体"/>
        <charset val="134"/>
      </rPr>
      <t>上期预收款</t>
    </r>
    <r>
      <rPr>
        <sz val="10"/>
        <color indexed="8"/>
        <rFont val="宋体"/>
        <charset val="134"/>
      </rPr>
      <t>(-)</t>
    </r>
    <r>
      <rPr>
        <sz val="10"/>
        <color indexed="8"/>
        <rFont val="宋体"/>
        <charset val="134"/>
      </rPr>
      <t>：</t>
    </r>
  </si>
  <si>
    <r>
      <rPr>
        <sz val="10"/>
        <color indexed="8"/>
        <rFont val="宋体"/>
        <charset val="134"/>
      </rPr>
      <t>自划金额</t>
    </r>
    <r>
      <rPr>
        <sz val="10"/>
        <color indexed="8"/>
        <rFont val="宋体"/>
        <charset val="134"/>
      </rPr>
      <t>(-)</t>
    </r>
    <r>
      <rPr>
        <sz val="10"/>
        <color indexed="8"/>
        <rFont val="宋体"/>
        <charset val="134"/>
      </rPr>
      <t>：</t>
    </r>
  </si>
  <si>
    <t>gggggggggggggggggggggggggggggghhhhhhhhhhhhhhhhhhhhhhhhhhhhhhhhhhhhhhhhhhhhhhhhhhhhhh</t>
  </si>
  <si>
    <t>费用列项</t>
  </si>
  <si>
    <t>费用明细</t>
  </si>
  <si>
    <t>人次</t>
  </si>
  <si>
    <t>1.请您在三个工作日内核对数据明细及总金额并回复确认。如在三个工作日内未收到您的回复，我司将视为您已确认以上应付款合计金额，并同意按此金额付款。
2.上列账款敬请按照合同约定时间及时支付，若通过银行汇款，请在“用途”中写上本账单右上角帐单号。</t>
  </si>
  <si>
    <t>人工成本</t>
  </si>
  <si>
    <t>工资(应税工资:实发+个税+残障金)</t>
  </si>
  <si>
    <t>社   保(企业+个人)</t>
  </si>
  <si>
    <t>正常月</t>
  </si>
  <si>
    <t>公积金(企业+个人)</t>
  </si>
  <si>
    <t>人事管理费用</t>
  </si>
  <si>
    <t>服务费（含税）</t>
  </si>
  <si>
    <t>税金</t>
  </si>
  <si>
    <t>合计:</t>
  </si>
  <si>
    <t>开票金额:</t>
  </si>
  <si>
    <t>代扣代缴个人所得税明细申报表 （年终奖个税）</t>
  </si>
  <si>
    <t>征期</t>
  </si>
  <si>
    <t>申请单编号</t>
  </si>
  <si>
    <t>支付内容</t>
  </si>
  <si>
    <t>纳税人姓名</t>
  </si>
  <si>
    <t>身份证照类型</t>
  </si>
  <si>
    <t>身份证件号码</t>
  </si>
  <si>
    <t>联系电话</t>
  </si>
  <si>
    <t>任职受雇日期</t>
  </si>
  <si>
    <t>全年一次性奖金收入</t>
  </si>
  <si>
    <t>奖金除以12</t>
  </si>
  <si>
    <t>税率(%)</t>
  </si>
  <si>
    <t>速算扣除数</t>
  </si>
  <si>
    <t>应扣个税</t>
  </si>
  <si>
    <t>实发奖金</t>
  </si>
  <si>
    <t>供应商</t>
  </si>
  <si>
    <t>年终奖</t>
  </si>
  <si>
    <t>身份证</t>
  </si>
  <si>
    <t>梁敏霞</t>
  </si>
  <si>
    <t>440883199611084547</t>
  </si>
  <si>
    <t>冯玉</t>
  </si>
  <si>
    <t>370724197703022770</t>
  </si>
  <si>
    <t>13564614685</t>
  </si>
  <si>
    <t>徐明龙</t>
  </si>
  <si>
    <t>340311199902251816</t>
  </si>
  <si>
    <t>15255242118</t>
  </si>
  <si>
    <t>陈佳文</t>
  </si>
  <si>
    <t>34122719960403561X</t>
  </si>
  <si>
    <t>龙治旺</t>
  </si>
  <si>
    <t>43070219881009051X</t>
  </si>
  <si>
    <t>汤祥文</t>
  </si>
  <si>
    <t>340222198505126017</t>
  </si>
  <si>
    <t>杨旭</t>
  </si>
  <si>
    <t>341202199607081913</t>
  </si>
  <si>
    <t>任志伟</t>
  </si>
  <si>
    <t>341221199109161530</t>
  </si>
  <si>
    <t>张莉</t>
  </si>
  <si>
    <t>340122198910212909</t>
  </si>
  <si>
    <t>倪绍帅</t>
  </si>
  <si>
    <t>341225199804264377</t>
  </si>
  <si>
    <t>合计</t>
  </si>
  <si>
    <t>实发工资</t>
  </si>
  <si>
    <t>个税</t>
  </si>
  <si>
    <t xml:space="preserve"> 注：只填写表头字体颜色为红色的项目，其他数据有公式自动带出，不要修改</t>
  </si>
  <si>
    <t>此区域不能空白，没有金额请填0，负数金额不能填写</t>
  </si>
  <si>
    <t>客户简称</t>
  </si>
  <si>
    <t>*姓名</t>
  </si>
  <si>
    <t>*证件类型</t>
  </si>
  <si>
    <t>*身份证号码</t>
  </si>
  <si>
    <t>*性别</t>
  </si>
  <si>
    <t>*联系电话</t>
  </si>
  <si>
    <t>*是否残疾烈属孤老</t>
  </si>
  <si>
    <t>*是否股东、投资者</t>
  </si>
  <si>
    <t>入职日期</t>
  </si>
  <si>
    <t>离职日期</t>
  </si>
  <si>
    <t>*应发工资</t>
  </si>
  <si>
    <t>*本月专项扣除</t>
  </si>
  <si>
    <t>本月个人社保
代扣合计</t>
  </si>
  <si>
    <t>其他扣除</t>
  </si>
  <si>
    <t>累计收入额</t>
  </si>
  <si>
    <t>累计减除费用</t>
  </si>
  <si>
    <t>累计专项扣除</t>
  </si>
  <si>
    <t>*累计专项附加扣除</t>
  </si>
  <si>
    <t>累计专项附加扣除总额</t>
  </si>
  <si>
    <t>累计其他扣除</t>
  </si>
  <si>
    <t>累计预扣预缴
应纳税所得额</t>
  </si>
  <si>
    <t>累计应预扣预缴税额</t>
  </si>
  <si>
    <t>累计已扣缴税额</t>
  </si>
  <si>
    <t>本次应扣税额</t>
  </si>
  <si>
    <t>净工资</t>
  </si>
  <si>
    <t>其他税后调整</t>
  </si>
  <si>
    <t>企业应
支付费用
合计</t>
  </si>
  <si>
    <t>养老个人</t>
  </si>
  <si>
    <t>医疗个人</t>
  </si>
  <si>
    <t>失业个人</t>
  </si>
  <si>
    <t>子女教育</t>
  </si>
  <si>
    <t>赡养老人</t>
  </si>
  <si>
    <t>住房贷款利息</t>
  </si>
  <si>
    <t>住房租金</t>
  </si>
  <si>
    <t>继续教育</t>
  </si>
  <si>
    <t>大病医疗</t>
  </si>
  <si>
    <t>创联致信（上月工资上月社保账单费用）</t>
  </si>
  <si>
    <t>男</t>
  </si>
  <si>
    <t>长春</t>
  </si>
  <si>
    <t>女</t>
  </si>
  <si>
    <t>上海</t>
  </si>
  <si>
    <t>傲云</t>
  </si>
  <si>
    <t>合肥</t>
  </si>
  <si>
    <t>长沙</t>
  </si>
  <si>
    <t>孙海娟</t>
  </si>
  <si>
    <t>150428198211155123</t>
  </si>
  <si>
    <t>13875812115</t>
  </si>
  <si>
    <t>重庆</t>
  </si>
  <si>
    <t>重庆外商</t>
  </si>
  <si>
    <t>天津</t>
  </si>
  <si>
    <t>天津易铭天</t>
  </si>
  <si>
    <t>朱必丰</t>
  </si>
  <si>
    <t>64222319950423161X</t>
  </si>
  <si>
    <t>18409625963</t>
  </si>
  <si>
    <t>周阳阳</t>
  </si>
  <si>
    <t>34031119950415085X</t>
  </si>
  <si>
    <t>吕阳</t>
  </si>
  <si>
    <t>420704199405100011</t>
  </si>
  <si>
    <t>注：</t>
  </si>
  <si>
    <t>填表说明：</t>
  </si>
  <si>
    <t>1，表头字体为红色项目为客户单位必填项。</t>
  </si>
  <si>
    <t>2，表格内未标注底色的项目为客户单位填项,建议根据当月社保预收账单数据填写。</t>
  </si>
  <si>
    <t>3，请客户单位注意各项目上是否有批注，批注内的内容需重视。</t>
  </si>
  <si>
    <t>4，表格标蓝底单元格内大部分都有函数公式，请客户负责人不要随意更改，避免引起数据错误。</t>
  </si>
  <si>
    <t>5，若社保个人缴纳部分已在社保账单内收取，则工资账单内的社保个人部分不计入企业支付费用中。</t>
  </si>
  <si>
    <t>计算说明：</t>
  </si>
  <si>
    <t>1，累计预扣预缴应纳税所得额=累计收入-累计免税收入-累计减除费用-累计专项扣除-累计专项附加扣除-累计依法确定的其他扣除</t>
  </si>
  <si>
    <t>2，本期应预扣预缴税额=（累计预扣预缴应纳税所得额*预扣率-速算扣除数）-累计减免税额-累计已预扣预缴税额</t>
  </si>
  <si>
    <t>工资账号省份</t>
  </si>
  <si>
    <t>工资账号地市</t>
  </si>
  <si>
    <t>银行帐号</t>
  </si>
  <si>
    <t>开户银行全称</t>
  </si>
  <si>
    <t>开户行</t>
  </si>
  <si>
    <t>身份证号码验证</t>
  </si>
  <si>
    <t>身份证查重验证</t>
  </si>
  <si>
    <t>银行卡查重验证</t>
  </si>
  <si>
    <t>重庆易铭天</t>
  </si>
  <si>
    <t>残障金</t>
  </si>
  <si>
    <t>个人所得税预扣率表一（居民个人工资、薪金预扣预缴适用）</t>
  </si>
  <si>
    <t>级数</t>
  </si>
  <si>
    <t>累计预扣预缴应纳税所得额</t>
  </si>
  <si>
    <t>税率</t>
  </si>
  <si>
    <t>不超过36000元的</t>
  </si>
  <si>
    <t>超过36000元至144000元的部分</t>
  </si>
  <si>
    <t>超过144000元至300000元的部分</t>
  </si>
  <si>
    <t>超过300000元至420000元的部分</t>
  </si>
  <si>
    <t>超过420000元至660000元的部分</t>
  </si>
  <si>
    <t>超过660000元至960000元的部分</t>
  </si>
  <si>
    <t>超过960000元的部分</t>
  </si>
  <si>
    <t>个人所得税预扣率表二（居民个人劳务报酬预扣预缴适用）</t>
  </si>
  <si>
    <t>预扣预缴应纳税所得额</t>
  </si>
  <si>
    <t>不超过20000元的</t>
  </si>
  <si>
    <t>超过20000元至50000元的部分</t>
  </si>
  <si>
    <t>超过50000的部分</t>
  </si>
  <si>
    <t>个人所得税税率表三（非居民个人工资、薪金、劳务报酬、稿酬所得、特许权使用费所得适用）</t>
  </si>
  <si>
    <t>应纳税所得额</t>
  </si>
  <si>
    <t>不超过3000元的</t>
  </si>
  <si>
    <t>超过3000元至12000元的部分</t>
  </si>
  <si>
    <t>超过12000元至25000元的部分</t>
  </si>
  <si>
    <t>超过25000元至35000元的部分</t>
  </si>
  <si>
    <t>超过35000元至55000元的部分</t>
  </si>
  <si>
    <t>超过55000元至80000元的部分</t>
  </si>
  <si>
    <t>超过80000元的部分</t>
  </si>
  <si>
    <t>按月换算后的综合所得税率表
（年终奖适用 2019.1.1-2021-12.31）</t>
  </si>
  <si>
    <t>全月应纳税所得额</t>
  </si>
  <si>
    <t>税率（%）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</si>
</sst>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2][$-804]General"/>
    <numFmt numFmtId="177" formatCode="0.00_ "/>
    <numFmt numFmtId="178" formatCode="0.00_);[Red]\(0.00\)"/>
    <numFmt numFmtId="179" formatCode="#,##0_);[Red]\(#,##0\)"/>
    <numFmt numFmtId="180" formatCode="#,##0.00_);[Red]\(#,##0.00\)"/>
    <numFmt numFmtId="181" formatCode="0_);[Red]\(0\)"/>
    <numFmt numFmtId="182" formatCode="&quot;$&quot;0_ "/>
    <numFmt numFmtId="183" formatCode="&quot;$&quot;#,##0_ ;[Red]\-&quot;$&quot;#,##0_ "/>
    <numFmt numFmtId="184" formatCode="General\ &quot;年&quot;"/>
    <numFmt numFmtId="185" formatCode="0.00_);\(0.00\)"/>
    <numFmt numFmtId="186" formatCode="0.00;[Red]0.00"/>
  </numFmts>
  <fonts count="127">
    <font>
      <sz val="11"/>
      <color theme="1"/>
      <name val="宋体"/>
      <charset val="134"/>
      <scheme val="minor"/>
    </font>
    <font>
      <sz val="18"/>
      <color theme="1"/>
      <name val="黑体"/>
      <charset val="134"/>
    </font>
    <font>
      <sz val="16"/>
      <color theme="1"/>
      <name val="仿宋_GB2312"/>
      <charset val="134"/>
    </font>
    <font>
      <b/>
      <sz val="12"/>
      <color theme="1"/>
      <name val="宋体"/>
      <charset val="134"/>
      <scheme val="major"/>
    </font>
    <font>
      <sz val="11"/>
      <color theme="1"/>
      <name val="宋体"/>
      <charset val="134"/>
      <scheme val="major"/>
    </font>
    <font>
      <b/>
      <sz val="12"/>
      <color rgb="FF2C2C2C"/>
      <name val="宋体"/>
      <charset val="134"/>
      <scheme val="minor"/>
    </font>
    <font>
      <sz val="11"/>
      <color indexed="8"/>
      <name val="宋体"/>
      <charset val="134"/>
    </font>
    <font>
      <b/>
      <sz val="10"/>
      <color indexed="8"/>
      <name val="宋体"/>
      <charset val="134"/>
    </font>
    <font>
      <b/>
      <sz val="10"/>
      <color rgb="FFFF0000"/>
      <name val="Arial Unicode MS"/>
      <charset val="134"/>
    </font>
    <font>
      <b/>
      <sz val="12"/>
      <color rgb="FFFF0000"/>
      <name val="Arial Unicode MS"/>
      <charset val="134"/>
    </font>
    <font>
      <sz val="12"/>
      <name val="Arial Unicode MS"/>
      <charset val="134"/>
    </font>
    <font>
      <b/>
      <sz val="10"/>
      <name val="Arial Unicode MS"/>
      <charset val="134"/>
    </font>
    <font>
      <b/>
      <sz val="10"/>
      <color rgb="FFFF0000"/>
      <name val="宋体"/>
      <charset val="134"/>
    </font>
    <font>
      <b/>
      <sz val="10"/>
      <name val="宋体"/>
      <charset val="134"/>
    </font>
    <font>
      <sz val="10"/>
      <color indexed="8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  <scheme val="minor"/>
    </font>
    <font>
      <b/>
      <sz val="10"/>
      <color indexed="8"/>
      <name val="Arial Unicode MS"/>
      <charset val="134"/>
    </font>
    <font>
      <b/>
      <sz val="9"/>
      <color rgb="FFFF0000"/>
      <name val="宋体"/>
      <charset val="134"/>
    </font>
    <font>
      <b/>
      <sz val="9"/>
      <color indexed="8"/>
      <name val="宋体"/>
      <charset val="134"/>
    </font>
    <font>
      <sz val="9"/>
      <color indexed="8"/>
      <name val="宋体"/>
      <charset val="134"/>
    </font>
    <font>
      <sz val="9"/>
      <color indexed="10"/>
      <name val="宋体"/>
      <charset val="134"/>
    </font>
    <font>
      <b/>
      <sz val="9"/>
      <name val="宋体"/>
      <charset val="134"/>
    </font>
    <font>
      <b/>
      <sz val="9"/>
      <color indexed="10"/>
      <name val="宋体"/>
      <charset val="134"/>
    </font>
    <font>
      <b/>
      <sz val="10"/>
      <color rgb="FFFF0000"/>
      <name val="宋体"/>
      <charset val="134"/>
      <scheme val="minor"/>
    </font>
    <font>
      <sz val="10"/>
      <name val="宋体"/>
      <charset val="134"/>
    </font>
    <font>
      <sz val="9"/>
      <name val="宋体"/>
      <charset val="134"/>
    </font>
    <font>
      <b/>
      <sz val="14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b/>
      <sz val="20"/>
      <name val="黑体"/>
      <charset val="134"/>
    </font>
    <font>
      <b/>
      <sz val="12"/>
      <color indexed="8"/>
      <name val="宋体"/>
      <charset val="134"/>
    </font>
    <font>
      <sz val="10"/>
      <color indexed="8"/>
      <name val="Wingdings 2"/>
      <charset val="2"/>
    </font>
    <font>
      <sz val="11"/>
      <color indexed="0"/>
      <name val="宋体-PUA"/>
      <charset val="134"/>
    </font>
    <font>
      <sz val="9"/>
      <name val="Arial"/>
      <charset val="134"/>
    </font>
    <font>
      <sz val="11"/>
      <name val="宋体"/>
      <charset val="134"/>
    </font>
    <font>
      <sz val="9"/>
      <color indexed="8"/>
      <name val="宋体-PUA"/>
      <charset val="134"/>
    </font>
    <font>
      <sz val="9"/>
      <name val="宋体-PUA"/>
      <charset val="134"/>
    </font>
    <font>
      <b/>
      <sz val="11"/>
      <name val="宋体"/>
      <charset val="134"/>
    </font>
    <font>
      <sz val="9"/>
      <color indexed="0"/>
      <name val="宋体-PUA"/>
      <charset val="134"/>
    </font>
    <font>
      <b/>
      <sz val="12"/>
      <name val="宋体"/>
      <charset val="134"/>
    </font>
    <font>
      <b/>
      <sz val="10"/>
      <name val="Arial"/>
      <charset val="134"/>
    </font>
    <font>
      <sz val="10"/>
      <name val="Arial"/>
      <charset val="134"/>
    </font>
    <font>
      <sz val="10"/>
      <name val="宋体-PUA"/>
      <charset val="134"/>
    </font>
    <font>
      <b/>
      <sz val="12"/>
      <name val="微软雅黑"/>
      <charset val="134"/>
    </font>
    <font>
      <sz val="10"/>
      <name val="微软雅黑"/>
      <charset val="134"/>
    </font>
    <font>
      <b/>
      <sz val="10"/>
      <color indexed="8"/>
      <name val="微软雅黑"/>
      <charset val="134"/>
    </font>
    <font>
      <b/>
      <sz val="10"/>
      <name val="微软雅黑"/>
      <charset val="134"/>
    </font>
    <font>
      <i/>
      <sz val="11"/>
      <color indexed="0"/>
      <name val="宋体-PUA"/>
      <charset val="134"/>
    </font>
    <font>
      <b/>
      <sz val="12"/>
      <color indexed="0"/>
      <name val="宋体-PUA"/>
      <charset val="134"/>
    </font>
    <font>
      <b/>
      <i/>
      <sz val="11"/>
      <name val="微软雅黑"/>
      <charset val="134"/>
    </font>
    <font>
      <i/>
      <sz val="11"/>
      <color indexed="0"/>
      <name val="微软雅黑"/>
      <charset val="134"/>
    </font>
    <font>
      <b/>
      <sz val="12"/>
      <color indexed="0"/>
      <name val="宋体"/>
      <charset val="134"/>
    </font>
    <font>
      <sz val="12"/>
      <color indexed="0"/>
      <name val="微软雅黑"/>
      <charset val="134"/>
    </font>
    <font>
      <b/>
      <sz val="11"/>
      <color indexed="8"/>
      <name val="微软雅黑"/>
      <charset val="134"/>
    </font>
    <font>
      <b/>
      <sz val="11"/>
      <color indexed="8"/>
      <name val="宋体"/>
      <charset val="134"/>
    </font>
    <font>
      <b/>
      <sz val="11"/>
      <name val="微软雅黑"/>
      <charset val="134"/>
    </font>
    <font>
      <sz val="10"/>
      <color indexed="8"/>
      <name val="宋体-PUA"/>
      <charset val="134"/>
    </font>
    <font>
      <b/>
      <sz val="11"/>
      <name val="宋体-PUA"/>
      <charset val="134"/>
    </font>
    <font>
      <sz val="12"/>
      <name val="宋体-PUA"/>
      <charset val="134"/>
    </font>
    <font>
      <sz val="6"/>
      <name val="Arial"/>
      <charset val="134"/>
    </font>
    <font>
      <sz val="6"/>
      <color rgb="FFFF0000"/>
      <name val="Arial"/>
      <charset val="134"/>
    </font>
    <font>
      <sz val="6"/>
      <color indexed="8"/>
      <name val="Arial"/>
      <charset val="134"/>
    </font>
    <font>
      <b/>
      <sz val="11"/>
      <color indexed="10"/>
      <name val="宋体"/>
      <charset val="134"/>
    </font>
    <font>
      <sz val="11"/>
      <color indexed="10"/>
      <name val="宋体"/>
      <charset val="134"/>
    </font>
    <font>
      <sz val="11"/>
      <color indexed="8"/>
      <name val="微软雅黑"/>
      <charset val="134"/>
    </font>
    <font>
      <sz val="10"/>
      <name val="SimSun"/>
      <charset val="134"/>
    </font>
    <font>
      <sz val="10.5"/>
      <name val="宋体"/>
      <charset val="134"/>
    </font>
    <font>
      <sz val="9"/>
      <name val="Segoe UI"/>
      <charset val="134"/>
    </font>
    <font>
      <sz val="10"/>
      <color rgb="FFFF0000"/>
      <name val="SimSun"/>
      <charset val="134"/>
    </font>
    <font>
      <sz val="10"/>
      <color rgb="FFFF0000"/>
      <name val="宋体"/>
      <charset val="134"/>
      <scheme val="minor"/>
    </font>
    <font>
      <sz val="10.5"/>
      <color rgb="FFFF0000"/>
      <name val="宋体"/>
      <charset val="134"/>
    </font>
    <font>
      <sz val="9"/>
      <color rgb="FFFF0000"/>
      <name val="Segoe UI"/>
      <charset val="134"/>
    </font>
    <font>
      <sz val="10"/>
      <color indexed="8"/>
      <name val="SimSun"/>
      <charset val="134"/>
    </font>
    <font>
      <sz val="10"/>
      <color theme="1"/>
      <name val="SimSun"/>
      <charset val="134"/>
    </font>
    <font>
      <sz val="10.5"/>
      <color rgb="FF191F25"/>
      <name val="Segoe UI"/>
      <charset val="134"/>
    </font>
    <font>
      <sz val="9"/>
      <color rgb="FF191F25"/>
      <name val="Segoe UI"/>
      <charset val="134"/>
    </font>
    <font>
      <sz val="10"/>
      <name val="宋体"/>
      <charset val="134"/>
      <scheme val="major"/>
    </font>
    <font>
      <sz val="10"/>
      <color rgb="FFFF0000"/>
      <name val="宋体"/>
      <charset val="134"/>
      <scheme val="major"/>
    </font>
    <font>
      <sz val="10"/>
      <color theme="1"/>
      <name val="宋体"/>
      <charset val="134"/>
      <scheme val="major"/>
    </font>
    <font>
      <b/>
      <sz val="9"/>
      <color indexed="8"/>
      <name val="微软雅黑"/>
      <charset val="134"/>
    </font>
    <font>
      <sz val="9"/>
      <color rgb="FFFF0000"/>
      <name val="宋体"/>
      <charset val="134"/>
    </font>
    <font>
      <sz val="10"/>
      <color rgb="FFFF0000"/>
      <name val="微软雅黑"/>
      <charset val="134"/>
    </font>
    <font>
      <sz val="10"/>
      <color theme="1"/>
      <name val="微软雅黑"/>
      <charset val="134"/>
    </font>
    <font>
      <sz val="11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9"/>
      <name val="宋体"/>
      <charset val="134"/>
    </font>
    <font>
      <b/>
      <sz val="11"/>
      <color indexed="63"/>
      <name val="宋体"/>
      <charset val="134"/>
    </font>
    <font>
      <sz val="11"/>
      <color indexed="52"/>
      <name val="宋体"/>
      <charset val="134"/>
    </font>
    <font>
      <sz val="12"/>
      <name val="宋体"/>
      <charset val="134"/>
    </font>
    <font>
      <b/>
      <sz val="11"/>
      <color indexed="52"/>
      <name val="宋体"/>
      <charset val="134"/>
    </font>
    <font>
      <i/>
      <sz val="11"/>
      <color indexed="23"/>
      <name val="宋体"/>
      <charset val="134"/>
    </font>
    <font>
      <sz val="10"/>
      <name val="Geneva"/>
      <charset val="134"/>
    </font>
    <font>
      <b/>
      <sz val="11"/>
      <color indexed="9"/>
      <name val="宋体"/>
      <charset val="134"/>
    </font>
    <font>
      <sz val="11"/>
      <color indexed="60"/>
      <name val="宋体"/>
      <charset val="134"/>
    </font>
    <font>
      <b/>
      <sz val="11"/>
      <color indexed="56"/>
      <name val="宋体"/>
      <charset val="134"/>
    </font>
    <font>
      <sz val="11"/>
      <color indexed="20"/>
      <name val="宋体"/>
      <charset val="134"/>
    </font>
    <font>
      <sz val="11"/>
      <color indexed="17"/>
      <name val="宋体"/>
      <charset val="134"/>
    </font>
    <font>
      <sz val="11"/>
      <color indexed="62"/>
      <name val="宋体"/>
      <charset val="134"/>
    </font>
    <font>
      <sz val="10"/>
      <color indexed="8"/>
      <name val="Arial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sz val="10"/>
      <name val="Helv"/>
      <charset val="134"/>
    </font>
    <font>
      <b/>
      <sz val="18"/>
      <color indexed="56"/>
      <name val="宋体"/>
      <charset val="134"/>
    </font>
    <font>
      <sz val="12"/>
      <color indexed="8"/>
      <name val="Verdana"/>
      <charset val="134"/>
    </font>
    <font>
      <u/>
      <sz val="10"/>
      <color indexed="12"/>
      <name val="新細明體"/>
      <charset val="134"/>
    </font>
    <font>
      <sz val="12"/>
      <name val="Times New Roman"/>
      <charset val="134"/>
    </font>
    <font>
      <sz val="9"/>
      <name val="宋体"/>
      <charset val="134"/>
    </font>
    <font>
      <sz val="9"/>
      <name val="Tahoma"/>
      <charset val="134"/>
    </font>
    <font>
      <b/>
      <sz val="9"/>
      <name val="宋体"/>
      <charset val="134"/>
    </font>
  </fonts>
  <fills count="61">
    <fill>
      <patternFill patternType="none"/>
    </fill>
    <fill>
      <patternFill patternType="gray125"/>
    </fill>
    <fill>
      <patternFill patternType="solid">
        <fgColor theme="0" tint="-0.34998626667073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206518753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7"/>
        <bgColor indexed="64"/>
      </patternFill>
    </fill>
    <fill>
      <patternFill patternType="lightGrid">
        <fgColor indexed="22"/>
        <bgColor indexed="22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</fills>
  <borders count="6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thick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auto="1"/>
      </left>
      <right/>
      <top/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 style="medium">
        <color auto="1"/>
      </left>
      <right style="thin">
        <color indexed="8"/>
      </right>
      <top style="thin">
        <color indexed="8"/>
      </top>
      <bottom style="medium">
        <color auto="1"/>
      </bottom>
      <diagonal/>
    </border>
    <border>
      <left style="thin">
        <color indexed="8"/>
      </left>
      <right style="thin">
        <color indexed="8"/>
      </right>
      <top/>
      <bottom style="medium">
        <color auto="1"/>
      </bottom>
      <diagonal/>
    </border>
    <border>
      <left style="thin">
        <color indexed="8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</borders>
  <cellStyleXfs count="49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4" fillId="0" borderId="0" applyNumberFormat="0" applyFill="0" applyBorder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0" fillId="11" borderId="48" applyNumberFormat="0" applyFont="0" applyAlignment="0" applyProtection="0">
      <alignment vertical="center"/>
    </xf>
    <xf numFmtId="0" fontId="86" fillId="0" borderId="0" applyNumberFormat="0" applyFill="0" applyBorder="0" applyAlignment="0" applyProtection="0">
      <alignment vertical="center"/>
    </xf>
    <xf numFmtId="0" fontId="87" fillId="0" borderId="0" applyNumberFormat="0" applyFill="0" applyBorder="0" applyAlignment="0" applyProtection="0">
      <alignment vertical="center"/>
    </xf>
    <xf numFmtId="0" fontId="88" fillId="0" borderId="0" applyNumberFormat="0" applyFill="0" applyBorder="0" applyAlignment="0" applyProtection="0">
      <alignment vertical="center"/>
    </xf>
    <xf numFmtId="0" fontId="89" fillId="0" borderId="49" applyNumberFormat="0" applyFill="0" applyAlignment="0" applyProtection="0">
      <alignment vertical="center"/>
    </xf>
    <xf numFmtId="0" fontId="90" fillId="0" borderId="49" applyNumberFormat="0" applyFill="0" applyAlignment="0" applyProtection="0">
      <alignment vertical="center"/>
    </xf>
    <xf numFmtId="0" fontId="91" fillId="0" borderId="50" applyNumberFormat="0" applyFill="0" applyAlignment="0" applyProtection="0">
      <alignment vertical="center"/>
    </xf>
    <xf numFmtId="0" fontId="91" fillId="0" borderId="0" applyNumberFormat="0" applyFill="0" applyBorder="0" applyAlignment="0" applyProtection="0">
      <alignment vertical="center"/>
    </xf>
    <xf numFmtId="0" fontId="92" fillId="12" borderId="51" applyNumberFormat="0" applyAlignment="0" applyProtection="0">
      <alignment vertical="center"/>
    </xf>
    <xf numFmtId="0" fontId="93" fillId="13" borderId="52" applyNumberFormat="0" applyAlignment="0" applyProtection="0">
      <alignment vertical="center"/>
    </xf>
    <xf numFmtId="0" fontId="94" fillId="13" borderId="51" applyNumberFormat="0" applyAlignment="0" applyProtection="0">
      <alignment vertical="center"/>
    </xf>
    <xf numFmtId="0" fontId="95" fillId="14" borderId="53" applyNumberFormat="0" applyAlignment="0" applyProtection="0">
      <alignment vertical="center"/>
    </xf>
    <xf numFmtId="0" fontId="96" fillId="0" borderId="54" applyNumberFormat="0" applyFill="0" applyAlignment="0" applyProtection="0">
      <alignment vertical="center"/>
    </xf>
    <xf numFmtId="0" fontId="97" fillId="0" borderId="55" applyNumberFormat="0" applyFill="0" applyAlignment="0" applyProtection="0">
      <alignment vertical="center"/>
    </xf>
    <xf numFmtId="0" fontId="98" fillId="15" borderId="0" applyNumberFormat="0" applyBorder="0" applyAlignment="0" applyProtection="0">
      <alignment vertical="center"/>
    </xf>
    <xf numFmtId="0" fontId="99" fillId="16" borderId="0" applyNumberFormat="0" applyBorder="0" applyAlignment="0" applyProtection="0">
      <alignment vertical="center"/>
    </xf>
    <xf numFmtId="0" fontId="100" fillId="17" borderId="0" applyNumberFormat="0" applyBorder="0" applyAlignment="0" applyProtection="0">
      <alignment vertical="center"/>
    </xf>
    <xf numFmtId="0" fontId="101" fillId="18" borderId="0" applyNumberFormat="0" applyBorder="0" applyAlignment="0" applyProtection="0">
      <alignment vertical="center"/>
    </xf>
    <xf numFmtId="0" fontId="102" fillId="19" borderId="0" applyNumberFormat="0" applyBorder="0" applyAlignment="0" applyProtection="0">
      <alignment vertical="center"/>
    </xf>
    <xf numFmtId="0" fontId="102" fillId="20" borderId="0" applyNumberFormat="0" applyBorder="0" applyAlignment="0" applyProtection="0">
      <alignment vertical="center"/>
    </xf>
    <xf numFmtId="0" fontId="101" fillId="21" borderId="0" applyNumberFormat="0" applyBorder="0" applyAlignment="0" applyProtection="0">
      <alignment vertical="center"/>
    </xf>
    <xf numFmtId="0" fontId="101" fillId="22" borderId="0" applyNumberFormat="0" applyBorder="0" applyAlignment="0" applyProtection="0">
      <alignment vertical="center"/>
    </xf>
    <xf numFmtId="0" fontId="102" fillId="23" borderId="0" applyNumberFormat="0" applyBorder="0" applyAlignment="0" applyProtection="0">
      <alignment vertical="center"/>
    </xf>
    <xf numFmtId="0" fontId="102" fillId="24" borderId="0" applyNumberFormat="0" applyBorder="0" applyAlignment="0" applyProtection="0">
      <alignment vertical="center"/>
    </xf>
    <xf numFmtId="0" fontId="101" fillId="25" borderId="0" applyNumberFormat="0" applyBorder="0" applyAlignment="0" applyProtection="0">
      <alignment vertical="center"/>
    </xf>
    <xf numFmtId="0" fontId="101" fillId="26" borderId="0" applyNumberFormat="0" applyBorder="0" applyAlignment="0" applyProtection="0">
      <alignment vertical="center"/>
    </xf>
    <xf numFmtId="0" fontId="102" fillId="27" borderId="0" applyNumberFormat="0" applyBorder="0" applyAlignment="0" applyProtection="0">
      <alignment vertical="center"/>
    </xf>
    <xf numFmtId="0" fontId="102" fillId="7" borderId="0" applyNumberFormat="0" applyBorder="0" applyAlignment="0" applyProtection="0">
      <alignment vertical="center"/>
    </xf>
    <xf numFmtId="0" fontId="101" fillId="28" borderId="0" applyNumberFormat="0" applyBorder="0" applyAlignment="0" applyProtection="0">
      <alignment vertical="center"/>
    </xf>
    <xf numFmtId="0" fontId="101" fillId="29" borderId="0" applyNumberFormat="0" applyBorder="0" applyAlignment="0" applyProtection="0">
      <alignment vertical="center"/>
    </xf>
    <xf numFmtId="0" fontId="102" fillId="30" borderId="0" applyNumberFormat="0" applyBorder="0" applyAlignment="0" applyProtection="0">
      <alignment vertical="center"/>
    </xf>
    <xf numFmtId="0" fontId="102" fillId="31" borderId="0" applyNumberFormat="0" applyBorder="0" applyAlignment="0" applyProtection="0">
      <alignment vertical="center"/>
    </xf>
    <xf numFmtId="0" fontId="101" fillId="32" borderId="0" applyNumberFormat="0" applyBorder="0" applyAlignment="0" applyProtection="0">
      <alignment vertical="center"/>
    </xf>
    <xf numFmtId="0" fontId="101" fillId="33" borderId="0" applyNumberFormat="0" applyBorder="0" applyAlignment="0" applyProtection="0">
      <alignment vertical="center"/>
    </xf>
    <xf numFmtId="0" fontId="102" fillId="3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1" fillId="35" borderId="0" applyNumberFormat="0" applyBorder="0" applyAlignment="0" applyProtection="0">
      <alignment vertical="center"/>
    </xf>
    <xf numFmtId="0" fontId="101" fillId="36" borderId="0" applyNumberFormat="0" applyBorder="0" applyAlignment="0" applyProtection="0">
      <alignment vertical="center"/>
    </xf>
    <xf numFmtId="0" fontId="102" fillId="37" borderId="0" applyNumberFormat="0" applyBorder="0" applyAlignment="0" applyProtection="0">
      <alignment vertical="center"/>
    </xf>
    <xf numFmtId="0" fontId="102" fillId="38" borderId="0" applyNumberFormat="0" applyBorder="0" applyAlignment="0" applyProtection="0">
      <alignment vertical="center"/>
    </xf>
    <xf numFmtId="0" fontId="101" fillId="39" borderId="0" applyNumberFormat="0" applyBorder="0" applyAlignment="0" applyProtection="0">
      <alignment vertical="center"/>
    </xf>
    <xf numFmtId="0" fontId="103" fillId="40" borderId="0" applyNumberFormat="0" applyBorder="0" applyAlignment="0" applyProtection="0">
      <alignment vertical="center"/>
    </xf>
    <xf numFmtId="0" fontId="104" fillId="41" borderId="56" applyNumberFormat="0" applyAlignment="0" applyProtection="0">
      <alignment vertical="center"/>
    </xf>
    <xf numFmtId="0" fontId="105" fillId="0" borderId="57" applyNumberFormat="0" applyFill="0" applyAlignment="0" applyProtection="0">
      <alignment vertical="center"/>
    </xf>
    <xf numFmtId="0" fontId="103" fillId="40" borderId="0" applyNumberFormat="0" applyBorder="0" applyAlignment="0" applyProtection="0">
      <alignment vertical="center"/>
    </xf>
    <xf numFmtId="0" fontId="54" fillId="0" borderId="58" applyNumberFormat="0" applyFill="0" applyAlignment="0" applyProtection="0">
      <alignment vertical="center"/>
    </xf>
    <xf numFmtId="0" fontId="41" fillId="0" borderId="0">
      <alignment vertical="center"/>
    </xf>
    <xf numFmtId="0" fontId="105" fillId="0" borderId="57" applyNumberFormat="0" applyFill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0" borderId="0">
      <alignment vertical="center"/>
    </xf>
    <xf numFmtId="0" fontId="106" fillId="0" borderId="0"/>
    <xf numFmtId="0" fontId="107" fillId="41" borderId="59" applyNumberFormat="0" applyAlignment="0" applyProtection="0">
      <alignment vertical="center"/>
    </xf>
    <xf numFmtId="0" fontId="103" fillId="43" borderId="0" applyNumberFormat="0" applyBorder="0" applyAlignment="0" applyProtection="0">
      <alignment vertical="center"/>
    </xf>
    <xf numFmtId="0" fontId="6" fillId="0" borderId="0">
      <alignment vertical="center"/>
    </xf>
    <xf numFmtId="0" fontId="103" fillId="44" borderId="0" applyNumberFormat="0" applyBorder="0" applyAlignment="0" applyProtection="0">
      <alignment vertical="center"/>
    </xf>
    <xf numFmtId="0" fontId="6" fillId="45" borderId="0" applyNumberFormat="0" applyBorder="0" applyAlignment="0" applyProtection="0">
      <alignment vertical="center"/>
    </xf>
    <xf numFmtId="0" fontId="108" fillId="0" borderId="0" applyNumberFormat="0" applyFill="0" applyBorder="0" applyAlignment="0" applyProtection="0">
      <alignment vertical="center"/>
    </xf>
    <xf numFmtId="0" fontId="6" fillId="46" borderId="60" applyNumberFormat="0" applyFont="0" applyAlignment="0" applyProtection="0">
      <alignment vertical="center"/>
    </xf>
    <xf numFmtId="0" fontId="103" fillId="44" borderId="0" applyNumberFormat="0" applyBorder="0" applyAlignment="0" applyProtection="0">
      <alignment vertical="center"/>
    </xf>
    <xf numFmtId="0" fontId="0" fillId="0" borderId="0">
      <alignment vertical="center"/>
    </xf>
    <xf numFmtId="0" fontId="103" fillId="47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09" fillId="0" borderId="0"/>
    <xf numFmtId="0" fontId="6" fillId="46" borderId="60" applyNumberFormat="0" applyFont="0" applyAlignment="0" applyProtection="0">
      <alignment vertical="center"/>
    </xf>
    <xf numFmtId="0" fontId="104" fillId="41" borderId="56" applyNumberFormat="0" applyAlignment="0" applyProtection="0">
      <alignment vertical="center"/>
    </xf>
    <xf numFmtId="0" fontId="6" fillId="45" borderId="0" applyNumberFormat="0" applyBorder="0" applyAlignment="0" applyProtection="0">
      <alignment vertical="center"/>
    </xf>
    <xf numFmtId="0" fontId="107" fillId="41" borderId="59" applyNumberFormat="0" applyAlignment="0" applyProtection="0">
      <alignment vertical="center"/>
    </xf>
    <xf numFmtId="0" fontId="106" fillId="0" borderId="0">
      <alignment vertical="center"/>
    </xf>
    <xf numFmtId="0" fontId="6" fillId="46" borderId="60" applyNumberFormat="0" applyFont="0" applyAlignment="0" applyProtection="0">
      <alignment vertical="center"/>
    </xf>
    <xf numFmtId="0" fontId="6" fillId="48" borderId="0" applyNumberFormat="0" applyBorder="0" applyAlignment="0" applyProtection="0">
      <alignment vertical="center"/>
    </xf>
    <xf numFmtId="0" fontId="103" fillId="49" borderId="0" applyNumberFormat="0" applyBorder="0" applyAlignment="0" applyProtection="0">
      <alignment vertical="center"/>
    </xf>
    <xf numFmtId="0" fontId="6" fillId="50" borderId="0" applyNumberFormat="0" applyBorder="0" applyAlignment="0" applyProtection="0">
      <alignment vertical="center"/>
    </xf>
    <xf numFmtId="0" fontId="104" fillId="41" borderId="56" applyNumberFormat="0" applyAlignment="0" applyProtection="0">
      <alignment vertical="center"/>
    </xf>
    <xf numFmtId="0" fontId="106" fillId="0" borderId="0">
      <alignment vertical="center"/>
    </xf>
    <xf numFmtId="0" fontId="104" fillId="41" borderId="56" applyNumberFormat="0" applyAlignment="0" applyProtection="0">
      <alignment vertical="center"/>
    </xf>
    <xf numFmtId="0" fontId="106" fillId="0" borderId="0"/>
    <xf numFmtId="0" fontId="110" fillId="51" borderId="61" applyNumberFormat="0" applyAlignment="0" applyProtection="0">
      <alignment vertical="center"/>
    </xf>
    <xf numFmtId="0" fontId="105" fillId="0" borderId="57" applyNumberFormat="0" applyFill="0" applyAlignment="0" applyProtection="0">
      <alignment vertical="center"/>
    </xf>
    <xf numFmtId="0" fontId="6" fillId="46" borderId="60" applyNumberFormat="0" applyFont="0" applyAlignment="0" applyProtection="0">
      <alignment vertical="center"/>
    </xf>
    <xf numFmtId="0" fontId="41" fillId="0" borderId="0"/>
    <xf numFmtId="0" fontId="6" fillId="45" borderId="0" applyNumberFormat="0" applyBorder="0" applyAlignment="0" applyProtection="0">
      <alignment vertical="center"/>
    </xf>
    <xf numFmtId="0" fontId="54" fillId="0" borderId="58" applyNumberFormat="0" applyFill="0" applyAlignment="0" applyProtection="0">
      <alignment vertical="center"/>
    </xf>
    <xf numFmtId="0" fontId="105" fillId="0" borderId="57" applyNumberFormat="0" applyFill="0" applyAlignment="0" applyProtection="0">
      <alignment vertical="center"/>
    </xf>
    <xf numFmtId="0" fontId="104" fillId="41" borderId="56" applyNumberFormat="0" applyAlignment="0" applyProtection="0">
      <alignment vertical="center"/>
    </xf>
    <xf numFmtId="0" fontId="54" fillId="0" borderId="58" applyNumberFormat="0" applyFill="0" applyAlignment="0" applyProtection="0">
      <alignment vertical="center"/>
    </xf>
    <xf numFmtId="0" fontId="104" fillId="41" borderId="56" applyNumberFormat="0" applyAlignment="0" applyProtection="0">
      <alignment vertical="center"/>
    </xf>
    <xf numFmtId="0" fontId="107" fillId="41" borderId="59" applyNumberFormat="0" applyAlignment="0" applyProtection="0">
      <alignment vertical="center"/>
    </xf>
    <xf numFmtId="0" fontId="107" fillId="41" borderId="59" applyNumberFormat="0" applyAlignment="0" applyProtection="0">
      <alignment vertical="center"/>
    </xf>
    <xf numFmtId="0" fontId="6" fillId="46" borderId="60" applyNumberFormat="0" applyFont="0" applyAlignment="0" applyProtection="0">
      <alignment vertical="center"/>
    </xf>
    <xf numFmtId="0" fontId="6" fillId="50" borderId="0" applyNumberFormat="0" applyBorder="0" applyAlignment="0" applyProtection="0">
      <alignment vertical="center"/>
    </xf>
    <xf numFmtId="0" fontId="107" fillId="41" borderId="59" applyNumberFormat="0" applyAlignment="0" applyProtection="0">
      <alignment vertical="center"/>
    </xf>
    <xf numFmtId="0" fontId="111" fillId="52" borderId="0" applyNumberFormat="0" applyBorder="0" applyAlignment="0" applyProtection="0">
      <alignment vertical="center"/>
    </xf>
    <xf numFmtId="0" fontId="104" fillId="41" borderId="56" applyNumberFormat="0" applyAlignment="0" applyProtection="0">
      <alignment vertical="center"/>
    </xf>
    <xf numFmtId="0" fontId="41" fillId="0" borderId="0"/>
    <xf numFmtId="0" fontId="112" fillId="0" borderId="0" applyNumberFormat="0" applyFill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41" fillId="0" borderId="0"/>
    <xf numFmtId="0" fontId="6" fillId="44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106" fillId="0" borderId="0">
      <alignment vertical="center"/>
    </xf>
    <xf numFmtId="0" fontId="113" fillId="53" borderId="0" applyNumberFormat="0" applyBorder="0" applyAlignment="0" applyProtection="0">
      <alignment vertical="center"/>
    </xf>
    <xf numFmtId="0" fontId="41" fillId="0" borderId="0"/>
    <xf numFmtId="0" fontId="6" fillId="42" borderId="0" applyNumberFormat="0" applyBorder="0" applyAlignment="0" applyProtection="0">
      <alignment vertical="center"/>
    </xf>
    <xf numFmtId="0" fontId="106" fillId="0" borderId="0"/>
    <xf numFmtId="0" fontId="103" fillId="54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0" borderId="0"/>
    <xf numFmtId="0" fontId="6" fillId="42" borderId="0" applyNumberFormat="0" applyBorder="0" applyAlignment="0" applyProtection="0">
      <alignment vertical="center"/>
    </xf>
    <xf numFmtId="0" fontId="114" fillId="50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104" fillId="41" borderId="56" applyNumberFormat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104" fillId="41" borderId="56" applyNumberFormat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104" fillId="41" borderId="56" applyNumberFormat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104" fillId="41" borderId="56" applyNumberFormat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104" fillId="41" borderId="56" applyNumberFormat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104" fillId="41" borderId="56" applyNumberFormat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104" fillId="41" borderId="56" applyNumberFormat="0" applyAlignment="0" applyProtection="0">
      <alignment vertical="center"/>
    </xf>
    <xf numFmtId="0" fontId="6" fillId="50" borderId="0" applyNumberFormat="0" applyBorder="0" applyAlignment="0" applyProtection="0">
      <alignment vertical="center"/>
    </xf>
    <xf numFmtId="0" fontId="104" fillId="41" borderId="56" applyNumberFormat="0" applyAlignment="0" applyProtection="0">
      <alignment vertical="center"/>
    </xf>
    <xf numFmtId="0" fontId="6" fillId="50" borderId="0" applyNumberFormat="0" applyBorder="0" applyAlignment="0" applyProtection="0">
      <alignment vertical="center"/>
    </xf>
    <xf numFmtId="0" fontId="104" fillId="41" borderId="56" applyNumberFormat="0" applyAlignment="0" applyProtection="0">
      <alignment vertical="center"/>
    </xf>
    <xf numFmtId="0" fontId="6" fillId="50" borderId="0" applyNumberFormat="0" applyBorder="0" applyAlignment="0" applyProtection="0">
      <alignment vertical="center"/>
    </xf>
    <xf numFmtId="0" fontId="104" fillId="41" borderId="56" applyNumberFormat="0" applyAlignment="0" applyProtection="0">
      <alignment vertical="center"/>
    </xf>
    <xf numFmtId="0" fontId="6" fillId="50" borderId="0" applyNumberFormat="0" applyBorder="0" applyAlignment="0" applyProtection="0">
      <alignment vertical="center"/>
    </xf>
    <xf numFmtId="0" fontId="103" fillId="55" borderId="0" applyNumberFormat="0" applyBorder="0" applyAlignment="0" applyProtection="0">
      <alignment vertical="center"/>
    </xf>
    <xf numFmtId="0" fontId="104" fillId="41" borderId="56" applyNumberFormat="0" applyAlignment="0" applyProtection="0">
      <alignment vertical="center"/>
    </xf>
    <xf numFmtId="0" fontId="6" fillId="50" borderId="0" applyNumberFormat="0" applyBorder="0" applyAlignment="0" applyProtection="0">
      <alignment vertical="center"/>
    </xf>
    <xf numFmtId="0" fontId="103" fillId="55" borderId="0" applyNumberFormat="0" applyBorder="0" applyAlignment="0" applyProtection="0">
      <alignment vertical="center"/>
    </xf>
    <xf numFmtId="0" fontId="6" fillId="45" borderId="0" applyNumberFormat="0" applyBorder="0" applyAlignment="0" applyProtection="0">
      <alignment vertical="center"/>
    </xf>
    <xf numFmtId="0" fontId="6" fillId="0" borderId="0">
      <alignment vertical="center"/>
    </xf>
    <xf numFmtId="0" fontId="104" fillId="41" borderId="56" applyNumberFormat="0" applyAlignment="0" applyProtection="0">
      <alignment vertical="center"/>
    </xf>
    <xf numFmtId="0" fontId="6" fillId="45" borderId="0" applyNumberFormat="0" applyBorder="0" applyAlignment="0" applyProtection="0">
      <alignment vertical="center"/>
    </xf>
    <xf numFmtId="0" fontId="6" fillId="0" borderId="0">
      <alignment vertical="center"/>
    </xf>
    <xf numFmtId="0" fontId="104" fillId="41" borderId="56" applyNumberFormat="0" applyAlignment="0" applyProtection="0">
      <alignment vertical="center"/>
    </xf>
    <xf numFmtId="0" fontId="6" fillId="45" borderId="0" applyNumberFormat="0" applyBorder="0" applyAlignment="0" applyProtection="0">
      <alignment vertical="center"/>
    </xf>
    <xf numFmtId="0" fontId="6" fillId="0" borderId="0">
      <alignment vertical="center"/>
    </xf>
    <xf numFmtId="0" fontId="115" fillId="56" borderId="59" applyNumberFormat="0" applyAlignment="0" applyProtection="0">
      <alignment vertical="center"/>
    </xf>
    <xf numFmtId="0" fontId="6" fillId="45" borderId="0" applyNumberFormat="0" applyBorder="0" applyAlignment="0" applyProtection="0">
      <alignment vertical="center"/>
    </xf>
    <xf numFmtId="0" fontId="6" fillId="0" borderId="0">
      <alignment vertical="center"/>
    </xf>
    <xf numFmtId="0" fontId="104" fillId="41" borderId="56" applyNumberFormat="0" applyAlignment="0" applyProtection="0">
      <alignment vertical="center"/>
    </xf>
    <xf numFmtId="0" fontId="6" fillId="45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45" borderId="0" applyNumberFormat="0" applyBorder="0" applyAlignment="0" applyProtection="0">
      <alignment vertical="center"/>
    </xf>
    <xf numFmtId="0" fontId="103" fillId="44" borderId="0" applyNumberFormat="0" applyBorder="0" applyAlignment="0" applyProtection="0">
      <alignment vertical="center"/>
    </xf>
    <xf numFmtId="0" fontId="0" fillId="0" borderId="0"/>
    <xf numFmtId="0" fontId="6" fillId="9" borderId="0" applyNumberFormat="0" applyBorder="0" applyAlignment="0" applyProtection="0">
      <alignment vertical="center"/>
    </xf>
    <xf numFmtId="0" fontId="104" fillId="41" borderId="56" applyNumberForma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06" fillId="0" borderId="0"/>
    <xf numFmtId="0" fontId="104" fillId="41" borderId="56" applyNumberForma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04" fillId="41" borderId="56" applyNumberForma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9" fontId="106" fillId="0" borderId="0" applyFont="0" applyFill="0" applyBorder="0" applyAlignment="0" applyProtection="0">
      <alignment vertical="center"/>
    </xf>
    <xf numFmtId="0" fontId="113" fillId="53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03" fillId="57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03" fillId="57" borderId="0" applyNumberFormat="0" applyBorder="0" applyAlignment="0" applyProtection="0">
      <alignment vertical="center"/>
    </xf>
    <xf numFmtId="0" fontId="6" fillId="56" borderId="0" applyNumberFormat="0" applyBorder="0" applyAlignment="0" applyProtection="0">
      <alignment vertical="center"/>
    </xf>
    <xf numFmtId="0" fontId="6" fillId="56" borderId="0" applyNumberFormat="0" applyBorder="0" applyAlignment="0" applyProtection="0">
      <alignment vertical="center"/>
    </xf>
    <xf numFmtId="0" fontId="6" fillId="45" borderId="0" applyNumberFormat="0" applyBorder="0" applyAlignment="0" applyProtection="0">
      <alignment vertical="center"/>
    </xf>
    <xf numFmtId="0" fontId="6" fillId="56" borderId="0" applyNumberFormat="0" applyBorder="0" applyAlignment="0" applyProtection="0">
      <alignment vertical="center"/>
    </xf>
    <xf numFmtId="0" fontId="6" fillId="45" borderId="0" applyNumberFormat="0" applyBorder="0" applyAlignment="0" applyProtection="0">
      <alignment vertical="center"/>
    </xf>
    <xf numFmtId="0" fontId="6" fillId="56" borderId="0" applyNumberFormat="0" applyBorder="0" applyAlignment="0" applyProtection="0">
      <alignment vertical="center"/>
    </xf>
    <xf numFmtId="0" fontId="6" fillId="56" borderId="0" applyNumberFormat="0" applyBorder="0" applyAlignment="0" applyProtection="0">
      <alignment vertical="center"/>
    </xf>
    <xf numFmtId="0" fontId="6" fillId="58" borderId="0" applyNumberFormat="0" applyBorder="0" applyAlignment="0" applyProtection="0">
      <alignment vertical="center"/>
    </xf>
    <xf numFmtId="0" fontId="6" fillId="56" borderId="0" applyNumberFormat="0" applyBorder="0" applyAlignment="0" applyProtection="0">
      <alignment vertical="center"/>
    </xf>
    <xf numFmtId="0" fontId="103" fillId="49" borderId="0" applyNumberFormat="0" applyBorder="0" applyAlignment="0" applyProtection="0">
      <alignment vertical="center"/>
    </xf>
    <xf numFmtId="0" fontId="6" fillId="46" borderId="60" applyNumberFormat="0" applyFont="0" applyAlignment="0" applyProtection="0">
      <alignment vertical="center"/>
    </xf>
    <xf numFmtId="0" fontId="6" fillId="56" borderId="0" applyNumberFormat="0" applyBorder="0" applyAlignment="0" applyProtection="0">
      <alignment vertical="center"/>
    </xf>
    <xf numFmtId="0" fontId="6" fillId="58" borderId="0" applyNumberFormat="0" applyBorder="0" applyAlignment="0" applyProtection="0">
      <alignment vertical="center"/>
    </xf>
    <xf numFmtId="0" fontId="103" fillId="49" borderId="0" applyNumberFormat="0" applyBorder="0" applyAlignment="0" applyProtection="0">
      <alignment vertical="center"/>
    </xf>
    <xf numFmtId="0" fontId="6" fillId="58" borderId="0" applyNumberFormat="0" applyBorder="0" applyAlignment="0" applyProtection="0">
      <alignment vertical="center"/>
    </xf>
    <xf numFmtId="0" fontId="6" fillId="58" borderId="0" applyNumberFormat="0" applyBorder="0" applyAlignment="0" applyProtection="0">
      <alignment vertical="center"/>
    </xf>
    <xf numFmtId="0" fontId="6" fillId="58" borderId="0" applyNumberFormat="0" applyBorder="0" applyAlignment="0" applyProtection="0">
      <alignment vertical="center"/>
    </xf>
    <xf numFmtId="0" fontId="6" fillId="58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58" borderId="0" applyNumberFormat="0" applyBorder="0" applyAlignment="0" applyProtection="0">
      <alignment vertical="center"/>
    </xf>
    <xf numFmtId="0" fontId="6" fillId="58" borderId="0" applyNumberFormat="0" applyBorder="0" applyAlignment="0" applyProtection="0">
      <alignment vertical="center"/>
    </xf>
    <xf numFmtId="0" fontId="6" fillId="58" borderId="0" applyNumberFormat="0" applyBorder="0" applyAlignment="0" applyProtection="0">
      <alignment vertical="center"/>
    </xf>
    <xf numFmtId="0" fontId="6" fillId="44" borderId="0" applyNumberFormat="0" applyBorder="0" applyAlignment="0" applyProtection="0">
      <alignment vertical="center"/>
    </xf>
    <xf numFmtId="0" fontId="6" fillId="44" borderId="0" applyNumberFormat="0" applyBorder="0" applyAlignment="0" applyProtection="0">
      <alignment vertical="center"/>
    </xf>
    <xf numFmtId="0" fontId="6" fillId="44" borderId="0" applyNumberFormat="0" applyBorder="0" applyAlignment="0" applyProtection="0">
      <alignment vertical="center"/>
    </xf>
    <xf numFmtId="0" fontId="6" fillId="44" borderId="0" applyNumberFormat="0" applyBorder="0" applyAlignment="0" applyProtection="0">
      <alignment vertical="center"/>
    </xf>
    <xf numFmtId="0" fontId="6" fillId="44" borderId="0" applyNumberFormat="0" applyBorder="0" applyAlignment="0" applyProtection="0">
      <alignment vertical="center"/>
    </xf>
    <xf numFmtId="0" fontId="6" fillId="44" borderId="0" applyNumberFormat="0" applyBorder="0" applyAlignment="0" applyProtection="0">
      <alignment vertical="center"/>
    </xf>
    <xf numFmtId="0" fontId="6" fillId="57" borderId="0" applyNumberFormat="0" applyBorder="0" applyAlignment="0" applyProtection="0">
      <alignment vertical="center"/>
    </xf>
    <xf numFmtId="0" fontId="107" fillId="41" borderId="59" applyNumberFormat="0" applyAlignment="0" applyProtection="0">
      <alignment vertical="center"/>
    </xf>
    <xf numFmtId="0" fontId="6" fillId="57" borderId="0" applyNumberFormat="0" applyBorder="0" applyAlignment="0" applyProtection="0">
      <alignment vertical="center"/>
    </xf>
    <xf numFmtId="0" fontId="107" fillId="41" borderId="59" applyNumberFormat="0" applyAlignment="0" applyProtection="0">
      <alignment vertical="center"/>
    </xf>
    <xf numFmtId="0" fontId="6" fillId="57" borderId="0" applyNumberFormat="0" applyBorder="0" applyAlignment="0" applyProtection="0">
      <alignment vertical="center"/>
    </xf>
    <xf numFmtId="0" fontId="6" fillId="57" borderId="0" applyNumberFormat="0" applyBorder="0" applyAlignment="0" applyProtection="0">
      <alignment vertical="center"/>
    </xf>
    <xf numFmtId="0" fontId="107" fillId="41" borderId="59" applyNumberFormat="0" applyAlignment="0" applyProtection="0">
      <alignment vertical="center"/>
    </xf>
    <xf numFmtId="0" fontId="6" fillId="57" borderId="0" applyNumberFormat="0" applyBorder="0" applyAlignment="0" applyProtection="0">
      <alignment vertical="center"/>
    </xf>
    <xf numFmtId="176" fontId="106" fillId="0" borderId="0"/>
    <xf numFmtId="0" fontId="107" fillId="41" borderId="59" applyNumberFormat="0" applyAlignment="0" applyProtection="0">
      <alignment vertical="center"/>
    </xf>
    <xf numFmtId="0" fontId="6" fillId="57" borderId="0" applyNumberFormat="0" applyBorder="0" applyAlignment="0" applyProtection="0">
      <alignment vertical="center"/>
    </xf>
    <xf numFmtId="0" fontId="107" fillId="41" borderId="59" applyNumberFormat="0" applyAlignment="0" applyProtection="0">
      <alignment vertical="center"/>
    </xf>
    <xf numFmtId="0" fontId="6" fillId="57" borderId="0" applyNumberFormat="0" applyBorder="0" applyAlignment="0" applyProtection="0">
      <alignment vertical="center"/>
    </xf>
    <xf numFmtId="0" fontId="6" fillId="45" borderId="0" applyNumberFormat="0" applyBorder="0" applyAlignment="0" applyProtection="0">
      <alignment vertical="center"/>
    </xf>
    <xf numFmtId="0" fontId="112" fillId="0" borderId="0" applyNumberFormat="0" applyFill="0" applyBorder="0" applyAlignment="0" applyProtection="0">
      <alignment vertical="center"/>
    </xf>
    <xf numFmtId="0" fontId="54" fillId="0" borderId="58" applyNumberFormat="0" applyFill="0" applyAlignment="0" applyProtection="0">
      <alignment vertical="center"/>
    </xf>
    <xf numFmtId="0" fontId="107" fillId="41" borderId="59" applyNumberFormat="0" applyAlignment="0" applyProtection="0">
      <alignment vertical="center"/>
    </xf>
    <xf numFmtId="0" fontId="110" fillId="51" borderId="61" applyNumberFormat="0" applyAlignment="0" applyProtection="0">
      <alignment vertical="center"/>
    </xf>
    <xf numFmtId="0" fontId="6" fillId="45" borderId="0" applyNumberFormat="0" applyBorder="0" applyAlignment="0" applyProtection="0">
      <alignment vertical="center"/>
    </xf>
    <xf numFmtId="0" fontId="112" fillId="0" borderId="0" applyNumberFormat="0" applyFill="0" applyBorder="0" applyAlignment="0" applyProtection="0">
      <alignment vertical="center"/>
    </xf>
    <xf numFmtId="0" fontId="54" fillId="0" borderId="58" applyNumberFormat="0" applyFill="0" applyAlignment="0" applyProtection="0">
      <alignment vertical="center"/>
    </xf>
    <xf numFmtId="0" fontId="110" fillId="51" borderId="61" applyNumberFormat="0" applyAlignment="0" applyProtection="0">
      <alignment vertical="center"/>
    </xf>
    <xf numFmtId="0" fontId="6" fillId="45" borderId="0" applyNumberFormat="0" applyBorder="0" applyAlignment="0" applyProtection="0">
      <alignment vertical="center"/>
    </xf>
    <xf numFmtId="0" fontId="107" fillId="41" borderId="59" applyNumberFormat="0" applyAlignment="0" applyProtection="0">
      <alignment vertical="center"/>
    </xf>
    <xf numFmtId="0" fontId="115" fillId="56" borderId="59" applyNumberFormat="0" applyAlignment="0" applyProtection="0">
      <alignment vertical="center"/>
    </xf>
    <xf numFmtId="0" fontId="6" fillId="58" borderId="0" applyNumberFormat="0" applyBorder="0" applyAlignment="0" applyProtection="0">
      <alignment vertical="center"/>
    </xf>
    <xf numFmtId="0" fontId="114" fillId="50" borderId="0" applyNumberFormat="0" applyBorder="0" applyAlignment="0" applyProtection="0">
      <alignment vertical="center"/>
    </xf>
    <xf numFmtId="0" fontId="107" fillId="41" borderId="59" applyNumberFormat="0" applyAlignment="0" applyProtection="0">
      <alignment vertical="center"/>
    </xf>
    <xf numFmtId="0" fontId="6" fillId="58" borderId="0" applyNumberFormat="0" applyBorder="0" applyAlignment="0" applyProtection="0">
      <alignment vertical="center"/>
    </xf>
    <xf numFmtId="0" fontId="103" fillId="49" borderId="0" applyNumberFormat="0" applyBorder="0" applyAlignment="0" applyProtection="0">
      <alignment vertical="center"/>
    </xf>
    <xf numFmtId="0" fontId="6" fillId="58" borderId="0" applyNumberFormat="0" applyBorder="0" applyAlignment="0" applyProtection="0">
      <alignment vertical="center"/>
    </xf>
    <xf numFmtId="0" fontId="115" fillId="56" borderId="59" applyNumberFormat="0" applyAlignment="0" applyProtection="0">
      <alignment vertical="center"/>
    </xf>
    <xf numFmtId="0" fontId="6" fillId="58" borderId="0" applyNumberFormat="0" applyBorder="0" applyAlignment="0" applyProtection="0">
      <alignment vertical="center"/>
    </xf>
    <xf numFmtId="0" fontId="103" fillId="54" borderId="0" applyNumberFormat="0" applyBorder="0" applyAlignment="0" applyProtection="0">
      <alignment vertical="center"/>
    </xf>
    <xf numFmtId="0" fontId="6" fillId="58" borderId="0" applyNumberFormat="0" applyBorder="0" applyAlignment="0" applyProtection="0">
      <alignment vertical="center"/>
    </xf>
    <xf numFmtId="0" fontId="6" fillId="48" borderId="0" applyNumberFormat="0" applyBorder="0" applyAlignment="0" applyProtection="0">
      <alignment vertical="center"/>
    </xf>
    <xf numFmtId="0" fontId="107" fillId="41" borderId="59" applyNumberFormat="0" applyAlignment="0" applyProtection="0">
      <alignment vertical="center"/>
    </xf>
    <xf numFmtId="0" fontId="111" fillId="52" borderId="0" applyNumberFormat="0" applyBorder="0" applyAlignment="0" applyProtection="0">
      <alignment vertical="center"/>
    </xf>
    <xf numFmtId="0" fontId="6" fillId="48" borderId="0" applyNumberFormat="0" applyBorder="0" applyAlignment="0" applyProtection="0">
      <alignment vertical="center"/>
    </xf>
    <xf numFmtId="0" fontId="6" fillId="48" borderId="0" applyNumberFormat="0" applyBorder="0" applyAlignment="0" applyProtection="0">
      <alignment vertical="center"/>
    </xf>
    <xf numFmtId="0" fontId="6" fillId="48" borderId="0" applyNumberFormat="0" applyBorder="0" applyAlignment="0" applyProtection="0">
      <alignment vertical="center"/>
    </xf>
    <xf numFmtId="0" fontId="103" fillId="59" borderId="0" applyNumberFormat="0" applyBorder="0" applyAlignment="0" applyProtection="0">
      <alignment vertical="center"/>
    </xf>
    <xf numFmtId="0" fontId="111" fillId="52" borderId="0" applyNumberFormat="0" applyBorder="0" applyAlignment="0" applyProtection="0">
      <alignment vertical="center"/>
    </xf>
    <xf numFmtId="0" fontId="6" fillId="48" borderId="0" applyNumberFormat="0" applyBorder="0" applyAlignment="0" applyProtection="0">
      <alignment vertical="center"/>
    </xf>
    <xf numFmtId="0" fontId="108" fillId="0" borderId="0" applyNumberFormat="0" applyFill="0" applyBorder="0" applyAlignment="0" applyProtection="0">
      <alignment vertical="center"/>
    </xf>
    <xf numFmtId="0" fontId="6" fillId="48" borderId="0" applyNumberFormat="0" applyBorder="0" applyAlignment="0" applyProtection="0">
      <alignment vertical="center"/>
    </xf>
    <xf numFmtId="0" fontId="103" fillId="49" borderId="0" applyNumberFormat="0" applyBorder="0" applyAlignment="0" applyProtection="0">
      <alignment vertical="center"/>
    </xf>
    <xf numFmtId="0" fontId="103" fillId="59" borderId="0" applyNumberFormat="0" applyBorder="0" applyAlignment="0" applyProtection="0">
      <alignment vertical="center"/>
    </xf>
    <xf numFmtId="0" fontId="103" fillId="55" borderId="0" applyNumberFormat="0" applyBorder="0" applyAlignment="0" applyProtection="0">
      <alignment vertical="center"/>
    </xf>
    <xf numFmtId="0" fontId="103" fillId="55" borderId="0" applyNumberFormat="0" applyBorder="0" applyAlignment="0" applyProtection="0">
      <alignment vertical="center"/>
    </xf>
    <xf numFmtId="0" fontId="103" fillId="55" borderId="0" applyNumberFormat="0" applyBorder="0" applyAlignment="0" applyProtection="0">
      <alignment vertical="center"/>
    </xf>
    <xf numFmtId="0" fontId="103" fillId="55" borderId="0" applyNumberFormat="0" applyBorder="0" applyAlignment="0" applyProtection="0">
      <alignment vertical="center"/>
    </xf>
    <xf numFmtId="0" fontId="103" fillId="55" borderId="0" applyNumberFormat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" fillId="46" borderId="60" applyNumberFormat="0" applyFont="0" applyAlignment="0" applyProtection="0">
      <alignment vertical="center"/>
    </xf>
    <xf numFmtId="0" fontId="103" fillId="44" borderId="0" applyNumberFormat="0" applyBorder="0" applyAlignment="0" applyProtection="0">
      <alignment vertical="center"/>
    </xf>
    <xf numFmtId="0" fontId="103" fillId="44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46" borderId="60" applyNumberFormat="0" applyFont="0" applyAlignment="0" applyProtection="0">
      <alignment vertical="center"/>
    </xf>
    <xf numFmtId="0" fontId="103" fillId="44" borderId="0" applyNumberFormat="0" applyBorder="0" applyAlignment="0" applyProtection="0">
      <alignment vertical="center"/>
    </xf>
    <xf numFmtId="0" fontId="0" fillId="0" borderId="0">
      <alignment vertical="center"/>
    </xf>
    <xf numFmtId="0" fontId="103" fillId="44" borderId="0" applyNumberFormat="0" applyBorder="0" applyAlignment="0" applyProtection="0">
      <alignment vertical="center"/>
    </xf>
    <xf numFmtId="0" fontId="106" fillId="0" borderId="0">
      <alignment vertical="center"/>
    </xf>
    <xf numFmtId="0" fontId="63" fillId="0" borderId="0" applyNumberFormat="0" applyFill="0" applyBorder="0" applyAlignment="0" applyProtection="0">
      <alignment vertical="center"/>
    </xf>
    <xf numFmtId="0" fontId="103" fillId="57" borderId="0" applyNumberFormat="0" applyBorder="0" applyAlignment="0" applyProtection="0">
      <alignment vertical="center"/>
    </xf>
    <xf numFmtId="0" fontId="103" fillId="40" borderId="0" applyNumberFormat="0" applyBorder="0" applyAlignment="0" applyProtection="0">
      <alignment vertical="center"/>
    </xf>
    <xf numFmtId="0" fontId="103" fillId="57" borderId="0" applyNumberFormat="0" applyBorder="0" applyAlignment="0" applyProtection="0">
      <alignment vertical="center"/>
    </xf>
    <xf numFmtId="0" fontId="103" fillId="57" borderId="0" applyNumberFormat="0" applyBorder="0" applyAlignment="0" applyProtection="0">
      <alignment vertical="center"/>
    </xf>
    <xf numFmtId="0" fontId="103" fillId="57" borderId="0" applyNumberFormat="0" applyBorder="0" applyAlignment="0" applyProtection="0">
      <alignment vertical="center"/>
    </xf>
    <xf numFmtId="0" fontId="103" fillId="57" borderId="0" applyNumberFormat="0" applyBorder="0" applyAlignment="0" applyProtection="0">
      <alignment vertical="center"/>
    </xf>
    <xf numFmtId="0" fontId="103" fillId="49" borderId="0" applyNumberFormat="0" applyBorder="0" applyAlignment="0" applyProtection="0">
      <alignment vertical="center"/>
    </xf>
    <xf numFmtId="0" fontId="103" fillId="49" borderId="0" applyNumberFormat="0" applyBorder="0" applyAlignment="0" applyProtection="0">
      <alignment vertical="center"/>
    </xf>
    <xf numFmtId="0" fontId="106" fillId="0" borderId="0">
      <alignment vertical="center"/>
    </xf>
    <xf numFmtId="0" fontId="103" fillId="54" borderId="0" applyNumberFormat="0" applyBorder="0" applyAlignment="0" applyProtection="0">
      <alignment vertical="center"/>
    </xf>
    <xf numFmtId="0" fontId="103" fillId="54" borderId="0" applyNumberFormat="0" applyBorder="0" applyAlignment="0" applyProtection="0">
      <alignment vertical="center"/>
    </xf>
    <xf numFmtId="0" fontId="103" fillId="49" borderId="0" applyNumberFormat="0" applyBorder="0" applyAlignment="0" applyProtection="0">
      <alignment vertical="center"/>
    </xf>
    <xf numFmtId="0" fontId="103" fillId="54" borderId="0" applyNumberFormat="0" applyBorder="0" applyAlignment="0" applyProtection="0">
      <alignment vertical="center"/>
    </xf>
    <xf numFmtId="0" fontId="103" fillId="54" borderId="0" applyNumberFormat="0" applyBorder="0" applyAlignment="0" applyProtection="0">
      <alignment vertical="center"/>
    </xf>
    <xf numFmtId="0" fontId="103" fillId="54" borderId="0" applyNumberFormat="0" applyBorder="0" applyAlignment="0" applyProtection="0">
      <alignment vertical="center"/>
    </xf>
    <xf numFmtId="0" fontId="103" fillId="54" borderId="0" applyNumberFormat="0" applyBorder="0" applyAlignment="0" applyProtection="0">
      <alignment vertical="center"/>
    </xf>
    <xf numFmtId="0" fontId="103" fillId="43" borderId="0" applyNumberFormat="0" applyBorder="0" applyAlignment="0" applyProtection="0">
      <alignment vertical="center"/>
    </xf>
    <xf numFmtId="0" fontId="103" fillId="43" borderId="0" applyNumberFormat="0" applyBorder="0" applyAlignment="0" applyProtection="0">
      <alignment vertical="center"/>
    </xf>
    <xf numFmtId="0" fontId="6" fillId="0" borderId="0">
      <alignment vertical="center"/>
    </xf>
    <xf numFmtId="0" fontId="103" fillId="54" borderId="0" applyNumberFormat="0" applyBorder="0" applyAlignment="0" applyProtection="0">
      <alignment vertical="center"/>
    </xf>
    <xf numFmtId="0" fontId="103" fillId="43" borderId="0" applyNumberFormat="0" applyBorder="0" applyAlignment="0" applyProtection="0">
      <alignment vertical="center"/>
    </xf>
    <xf numFmtId="0" fontId="116" fillId="0" borderId="0" applyNumberFormat="0" applyFill="0" applyBorder="0" applyAlignment="0" applyProtection="0">
      <alignment vertical="center"/>
    </xf>
    <xf numFmtId="0" fontId="103" fillId="43" borderId="0" applyNumberFormat="0" applyBorder="0" applyAlignment="0" applyProtection="0">
      <alignment vertical="center"/>
    </xf>
    <xf numFmtId="0" fontId="103" fillId="43" borderId="0" applyNumberFormat="0" applyBorder="0" applyAlignment="0" applyProtection="0">
      <alignment vertical="center"/>
    </xf>
    <xf numFmtId="0" fontId="103" fillId="43" borderId="0" applyNumberFormat="0" applyBorder="0" applyAlignment="0" applyProtection="0">
      <alignment vertical="center"/>
    </xf>
    <xf numFmtId="177" fontId="6" fillId="0" borderId="0">
      <alignment vertical="center"/>
    </xf>
    <xf numFmtId="0" fontId="63" fillId="0" borderId="0" applyNumberFormat="0" applyFill="0" applyBorder="0" applyAlignment="0" applyProtection="0">
      <alignment vertical="center"/>
    </xf>
    <xf numFmtId="9" fontId="6" fillId="0" borderId="0">
      <alignment vertical="center"/>
    </xf>
    <xf numFmtId="0" fontId="113" fillId="53" borderId="0" applyNumberFormat="0" applyBorder="0" applyAlignment="0" applyProtection="0">
      <alignment vertical="center"/>
    </xf>
    <xf numFmtId="9" fontId="106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7" fillId="0" borderId="62" applyNumberFormat="0" applyFill="0" applyAlignment="0" applyProtection="0">
      <alignment vertical="center"/>
    </xf>
    <xf numFmtId="0" fontId="117" fillId="0" borderId="62" applyNumberFormat="0" applyFill="0" applyAlignment="0" applyProtection="0">
      <alignment vertical="center"/>
    </xf>
    <xf numFmtId="0" fontId="117" fillId="0" borderId="62" applyNumberFormat="0" applyFill="0" applyAlignment="0" applyProtection="0">
      <alignment vertical="center"/>
    </xf>
    <xf numFmtId="0" fontId="117" fillId="0" borderId="62" applyNumberFormat="0" applyFill="0" applyAlignment="0" applyProtection="0">
      <alignment vertical="center"/>
    </xf>
    <xf numFmtId="0" fontId="117" fillId="0" borderId="62" applyNumberFormat="0" applyFill="0" applyAlignment="0" applyProtection="0">
      <alignment vertical="center"/>
    </xf>
    <xf numFmtId="0" fontId="54" fillId="0" borderId="58" applyNumberFormat="0" applyFill="0" applyAlignment="0" applyProtection="0">
      <alignment vertical="center"/>
    </xf>
    <xf numFmtId="0" fontId="117" fillId="0" borderId="62" applyNumberFormat="0" applyFill="0" applyAlignment="0" applyProtection="0">
      <alignment vertical="center"/>
    </xf>
    <xf numFmtId="0" fontId="117" fillId="0" borderId="62" applyNumberFormat="0" applyFill="0" applyAlignment="0" applyProtection="0">
      <alignment vertical="center"/>
    </xf>
    <xf numFmtId="0" fontId="118" fillId="0" borderId="63" applyNumberFormat="0" applyFill="0" applyAlignment="0" applyProtection="0">
      <alignment vertical="center"/>
    </xf>
    <xf numFmtId="0" fontId="118" fillId="0" borderId="63" applyNumberFormat="0" applyFill="0" applyAlignment="0" applyProtection="0">
      <alignment vertical="center"/>
    </xf>
    <xf numFmtId="0" fontId="118" fillId="0" borderId="63" applyNumberFormat="0" applyFill="0" applyAlignment="0" applyProtection="0">
      <alignment vertical="center"/>
    </xf>
    <xf numFmtId="0" fontId="114" fillId="50" borderId="0" applyNumberFormat="0" applyBorder="0" applyAlignment="0" applyProtection="0">
      <alignment vertical="center"/>
    </xf>
    <xf numFmtId="0" fontId="118" fillId="0" borderId="63" applyNumberFormat="0" applyFill="0" applyAlignment="0" applyProtection="0">
      <alignment vertical="center"/>
    </xf>
    <xf numFmtId="0" fontId="118" fillId="0" borderId="63" applyNumberFormat="0" applyFill="0" applyAlignment="0" applyProtection="0">
      <alignment vertical="center"/>
    </xf>
    <xf numFmtId="0" fontId="6" fillId="0" borderId="0">
      <alignment vertical="center"/>
    </xf>
    <xf numFmtId="0" fontId="118" fillId="0" borderId="63" applyNumberFormat="0" applyFill="0" applyAlignment="0" applyProtection="0">
      <alignment vertical="center"/>
    </xf>
    <xf numFmtId="0" fontId="118" fillId="0" borderId="63" applyNumberFormat="0" applyFill="0" applyAlignment="0" applyProtection="0">
      <alignment vertical="center"/>
    </xf>
    <xf numFmtId="0" fontId="112" fillId="0" borderId="64" applyNumberFormat="0" applyFill="0" applyAlignment="0" applyProtection="0">
      <alignment vertical="center"/>
    </xf>
    <xf numFmtId="0" fontId="112" fillId="0" borderId="64" applyNumberFormat="0" applyFill="0" applyAlignment="0" applyProtection="0">
      <alignment vertical="center"/>
    </xf>
    <xf numFmtId="0" fontId="114" fillId="50" borderId="0" applyNumberFormat="0" applyBorder="0" applyAlignment="0" applyProtection="0">
      <alignment vertical="center"/>
    </xf>
    <xf numFmtId="0" fontId="112" fillId="0" borderId="64" applyNumberFormat="0" applyFill="0" applyAlignment="0" applyProtection="0">
      <alignment vertical="center"/>
    </xf>
    <xf numFmtId="0" fontId="112" fillId="0" borderId="64" applyNumberFormat="0" applyFill="0" applyAlignment="0" applyProtection="0">
      <alignment vertical="center"/>
    </xf>
    <xf numFmtId="0" fontId="112" fillId="0" borderId="64" applyNumberFormat="0" applyFill="0" applyAlignment="0" applyProtection="0">
      <alignment vertical="center"/>
    </xf>
    <xf numFmtId="0" fontId="119" fillId="0" borderId="0"/>
    <xf numFmtId="0" fontId="112" fillId="0" borderId="64" applyNumberFormat="0" applyFill="0" applyAlignment="0" applyProtection="0">
      <alignment vertical="center"/>
    </xf>
    <xf numFmtId="0" fontId="112" fillId="0" borderId="64" applyNumberFormat="0" applyFill="0" applyAlignment="0" applyProtection="0">
      <alignment vertical="center"/>
    </xf>
    <xf numFmtId="0" fontId="112" fillId="0" borderId="0" applyNumberFormat="0" applyFill="0" applyBorder="0" applyAlignment="0" applyProtection="0">
      <alignment vertical="center"/>
    </xf>
    <xf numFmtId="43" fontId="106" fillId="0" borderId="0" applyFont="0" applyFill="0" applyBorder="0" applyAlignment="0" applyProtection="0">
      <alignment vertical="center"/>
    </xf>
    <xf numFmtId="0" fontId="112" fillId="0" borderId="0" applyNumberFormat="0" applyFill="0" applyBorder="0" applyAlignment="0" applyProtection="0">
      <alignment vertical="center"/>
    </xf>
    <xf numFmtId="0" fontId="112" fillId="0" borderId="0" applyNumberFormat="0" applyFill="0" applyBorder="0" applyAlignment="0" applyProtection="0">
      <alignment vertical="center"/>
    </xf>
    <xf numFmtId="0" fontId="54" fillId="0" borderId="58" applyNumberFormat="0" applyFill="0" applyAlignment="0" applyProtection="0">
      <alignment vertical="center"/>
    </xf>
    <xf numFmtId="0" fontId="112" fillId="0" borderId="0" applyNumberFormat="0" applyFill="0" applyBorder="0" applyAlignment="0" applyProtection="0">
      <alignment vertical="center"/>
    </xf>
    <xf numFmtId="0" fontId="54" fillId="0" borderId="58" applyNumberFormat="0" applyFill="0" applyAlignment="0" applyProtection="0">
      <alignment vertical="center"/>
    </xf>
    <xf numFmtId="0" fontId="120" fillId="0" borderId="0" applyNumberFormat="0" applyFill="0" applyBorder="0" applyAlignment="0" applyProtection="0">
      <alignment vertical="center"/>
    </xf>
    <xf numFmtId="0" fontId="108" fillId="0" borderId="0" applyNumberFormat="0" applyFill="0" applyBorder="0" applyAlignment="0" applyProtection="0">
      <alignment vertical="center"/>
    </xf>
    <xf numFmtId="0" fontId="120" fillId="0" borderId="0" applyNumberFormat="0" applyFill="0" applyBorder="0" applyAlignment="0" applyProtection="0">
      <alignment vertical="center"/>
    </xf>
    <xf numFmtId="0" fontId="103" fillId="47" borderId="0" applyNumberFormat="0" applyBorder="0" applyAlignment="0" applyProtection="0">
      <alignment vertical="center"/>
    </xf>
    <xf numFmtId="0" fontId="120" fillId="0" borderId="0" applyNumberFormat="0" applyFill="0" applyBorder="0" applyAlignment="0" applyProtection="0">
      <alignment vertical="center"/>
    </xf>
    <xf numFmtId="0" fontId="54" fillId="0" borderId="58" applyNumberFormat="0" applyFill="0" applyAlignment="0" applyProtection="0">
      <alignment vertical="center"/>
    </xf>
    <xf numFmtId="0" fontId="103" fillId="47" borderId="0" applyNumberFormat="0" applyBorder="0" applyAlignment="0" applyProtection="0">
      <alignment vertical="center"/>
    </xf>
    <xf numFmtId="0" fontId="120" fillId="0" borderId="0" applyNumberFormat="0" applyFill="0" applyBorder="0" applyAlignment="0" applyProtection="0">
      <alignment vertical="center"/>
    </xf>
    <xf numFmtId="0" fontId="120" fillId="0" borderId="0" applyNumberFormat="0" applyFill="0" applyBorder="0" applyAlignment="0" applyProtection="0">
      <alignment vertical="center"/>
    </xf>
    <xf numFmtId="0" fontId="103" fillId="40" borderId="0" applyNumberFormat="0" applyBorder="0" applyAlignment="0" applyProtection="0">
      <alignment vertical="center"/>
    </xf>
    <xf numFmtId="0" fontId="120" fillId="0" borderId="0" applyNumberFormat="0" applyFill="0" applyBorder="0" applyAlignment="0" applyProtection="0">
      <alignment vertical="center"/>
    </xf>
    <xf numFmtId="0" fontId="6" fillId="46" borderId="60" applyNumberFormat="0" applyFont="0" applyAlignment="0" applyProtection="0">
      <alignment vertical="center"/>
    </xf>
    <xf numFmtId="0" fontId="120" fillId="0" borderId="0" applyNumberFormat="0" applyFill="0" applyBorder="0" applyAlignment="0" applyProtection="0">
      <alignment vertical="center"/>
    </xf>
    <xf numFmtId="0" fontId="113" fillId="53" borderId="0" applyNumberFormat="0" applyBorder="0" applyAlignment="0" applyProtection="0">
      <alignment vertical="center"/>
    </xf>
    <xf numFmtId="0" fontId="108" fillId="0" borderId="0" applyNumberFormat="0" applyFill="0" applyBorder="0" applyAlignment="0" applyProtection="0">
      <alignment vertical="center"/>
    </xf>
    <xf numFmtId="0" fontId="113" fillId="53" borderId="0" applyNumberFormat="0" applyBorder="0" applyAlignment="0" applyProtection="0">
      <alignment vertical="center"/>
    </xf>
    <xf numFmtId="0" fontId="113" fillId="53" borderId="0" applyNumberFormat="0" applyBorder="0" applyAlignment="0" applyProtection="0">
      <alignment vertical="center"/>
    </xf>
    <xf numFmtId="0" fontId="113" fillId="53" borderId="0" applyNumberFormat="0" applyBorder="0" applyAlignment="0" applyProtection="0">
      <alignment vertical="center"/>
    </xf>
    <xf numFmtId="176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06" fillId="0" borderId="0">
      <alignment vertical="center"/>
    </xf>
    <xf numFmtId="0" fontId="106" fillId="0" borderId="0"/>
    <xf numFmtId="0" fontId="106" fillId="0" borderId="0">
      <alignment vertical="center"/>
    </xf>
    <xf numFmtId="0" fontId="106" fillId="0" borderId="0">
      <alignment vertical="center"/>
    </xf>
    <xf numFmtId="0" fontId="6" fillId="0" borderId="0">
      <alignment vertical="center"/>
    </xf>
    <xf numFmtId="0" fontId="103" fillId="59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4" fillId="0" borderId="0">
      <alignment vertical="center"/>
    </xf>
    <xf numFmtId="0" fontId="121" fillId="0" borderId="0" applyNumberFormat="0" applyFill="0" applyBorder="0" applyProtection="0">
      <alignment vertical="top" wrapText="1"/>
    </xf>
    <xf numFmtId="0" fontId="14" fillId="0" borderId="0">
      <alignment vertical="center"/>
    </xf>
    <xf numFmtId="0" fontId="6" fillId="0" borderId="0"/>
    <xf numFmtId="0" fontId="6" fillId="0" borderId="0"/>
    <xf numFmtId="0" fontId="14" fillId="0" borderId="0">
      <alignment vertical="center"/>
    </xf>
    <xf numFmtId="0" fontId="115" fillId="56" borderId="59" applyNumberFormat="0" applyAlignment="0" applyProtection="0">
      <alignment vertical="center"/>
    </xf>
    <xf numFmtId="0" fontId="106" fillId="0" borderId="0">
      <alignment vertical="center"/>
    </xf>
    <xf numFmtId="0" fontId="119" fillId="0" borderId="0"/>
    <xf numFmtId="0" fontId="115" fillId="56" borderId="59" applyNumberFormat="0" applyAlignment="0" applyProtection="0">
      <alignment vertical="center"/>
    </xf>
    <xf numFmtId="0" fontId="15" fillId="0" borderId="0">
      <alignment vertical="center"/>
    </xf>
    <xf numFmtId="0" fontId="6" fillId="0" borderId="0"/>
    <xf numFmtId="0" fontId="14" fillId="0" borderId="0">
      <alignment vertical="center"/>
    </xf>
    <xf numFmtId="0" fontId="115" fillId="56" borderId="59" applyNumberFormat="0" applyAlignment="0" applyProtection="0">
      <alignment vertical="center"/>
    </xf>
    <xf numFmtId="0" fontId="6" fillId="0" borderId="0"/>
    <xf numFmtId="0" fontId="15" fillId="0" borderId="0">
      <alignment vertical="center"/>
    </xf>
    <xf numFmtId="0" fontId="103" fillId="49" borderId="0" applyNumberFormat="0" applyBorder="0" applyAlignment="0" applyProtection="0">
      <alignment vertical="center"/>
    </xf>
    <xf numFmtId="0" fontId="6" fillId="0" borderId="0"/>
    <xf numFmtId="0" fontId="103" fillId="49" borderId="0" applyNumberFormat="0" applyBorder="0" applyAlignment="0" applyProtection="0">
      <alignment vertical="center"/>
    </xf>
    <xf numFmtId="0" fontId="106" fillId="0" borderId="0"/>
    <xf numFmtId="0" fontId="103" fillId="49" borderId="0" applyNumberFormat="0" applyBorder="0" applyAlignment="0" applyProtection="0">
      <alignment vertical="center"/>
    </xf>
    <xf numFmtId="0" fontId="106" fillId="0" borderId="0"/>
    <xf numFmtId="0" fontId="103" fillId="49" borderId="0" applyNumberFormat="0" applyBorder="0" applyAlignment="0" applyProtection="0">
      <alignment vertical="center"/>
    </xf>
    <xf numFmtId="0" fontId="106" fillId="0" borderId="0"/>
    <xf numFmtId="0" fontId="6" fillId="0" borderId="0">
      <alignment vertical="center"/>
    </xf>
    <xf numFmtId="0" fontId="6" fillId="0" borderId="0">
      <alignment vertical="center"/>
    </xf>
    <xf numFmtId="0" fontId="111" fillId="5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3" fillId="54" borderId="0" applyNumberFormat="0" applyBorder="0" applyAlignment="0" applyProtection="0">
      <alignment vertical="center"/>
    </xf>
    <xf numFmtId="0" fontId="0" fillId="0" borderId="0">
      <alignment vertical="center"/>
    </xf>
    <xf numFmtId="0" fontId="103" fillId="54" borderId="0" applyNumberFormat="0" applyBorder="0" applyAlignment="0" applyProtection="0">
      <alignment vertical="center"/>
    </xf>
    <xf numFmtId="0" fontId="106" fillId="0" borderId="0"/>
    <xf numFmtId="0" fontId="106" fillId="0" borderId="0"/>
    <xf numFmtId="0" fontId="6" fillId="0" borderId="0">
      <alignment vertical="center"/>
    </xf>
    <xf numFmtId="0" fontId="115" fillId="56" borderId="59" applyNumberFormat="0" applyAlignment="0" applyProtection="0">
      <alignment vertical="center"/>
    </xf>
    <xf numFmtId="0" fontId="106" fillId="0" borderId="0"/>
    <xf numFmtId="0" fontId="41" fillId="0" borderId="0">
      <alignment vertical="center"/>
    </xf>
    <xf numFmtId="0" fontId="103" fillId="60" borderId="0" applyNumberFormat="0" applyBorder="0" applyAlignment="0" applyProtection="0">
      <alignment vertical="center"/>
    </xf>
    <xf numFmtId="0" fontId="0" fillId="0" borderId="0">
      <alignment vertical="center"/>
    </xf>
    <xf numFmtId="0" fontId="106" fillId="0" borderId="0"/>
    <xf numFmtId="0" fontId="41" fillId="0" borderId="0"/>
    <xf numFmtId="0" fontId="54" fillId="0" borderId="58" applyNumberFormat="0" applyFill="0" applyAlignment="0" applyProtection="0">
      <alignment vertical="center"/>
    </xf>
    <xf numFmtId="0" fontId="103" fillId="59" borderId="0" applyNumberFormat="0" applyBorder="0" applyAlignment="0" applyProtection="0">
      <alignment vertical="center"/>
    </xf>
    <xf numFmtId="0" fontId="119" fillId="0" borderId="0"/>
    <xf numFmtId="0" fontId="63" fillId="0" borderId="0" applyNumberFormat="0" applyFill="0" applyBorder="0" applyAlignment="0" applyProtection="0">
      <alignment vertical="center"/>
    </xf>
    <xf numFmtId="0" fontId="6" fillId="46" borderId="60" applyNumberFormat="0" applyFont="0" applyAlignment="0" applyProtection="0">
      <alignment vertical="center"/>
    </xf>
    <xf numFmtId="0" fontId="114" fillId="50" borderId="0" applyNumberFormat="0" applyBorder="0" applyAlignment="0" applyProtection="0">
      <alignment vertical="center"/>
    </xf>
    <xf numFmtId="0" fontId="114" fillId="50" borderId="0" applyNumberFormat="0" applyBorder="0" applyAlignment="0" applyProtection="0">
      <alignment vertical="center"/>
    </xf>
    <xf numFmtId="0" fontId="114" fillId="50" borderId="0" applyNumberFormat="0" applyBorder="0" applyAlignment="0" applyProtection="0">
      <alignment vertical="center"/>
    </xf>
    <xf numFmtId="0" fontId="54" fillId="0" borderId="58" applyNumberFormat="0" applyFill="0" applyAlignment="0" applyProtection="0">
      <alignment vertical="center"/>
    </xf>
    <xf numFmtId="0" fontId="54" fillId="0" borderId="58" applyNumberFormat="0" applyFill="0" applyAlignment="0" applyProtection="0">
      <alignment vertical="center"/>
    </xf>
    <xf numFmtId="0" fontId="110" fillId="51" borderId="61" applyNumberFormat="0" applyAlignment="0" applyProtection="0">
      <alignment vertical="center"/>
    </xf>
    <xf numFmtId="0" fontId="54" fillId="0" borderId="58" applyNumberFormat="0" applyFill="0" applyAlignment="0" applyProtection="0">
      <alignment vertical="center"/>
    </xf>
    <xf numFmtId="0" fontId="54" fillId="0" borderId="58" applyNumberFormat="0" applyFill="0" applyAlignment="0" applyProtection="0">
      <alignment vertical="center"/>
    </xf>
    <xf numFmtId="0" fontId="110" fillId="51" borderId="61" applyNumberFormat="0" applyAlignment="0" applyProtection="0">
      <alignment vertical="center"/>
    </xf>
    <xf numFmtId="0" fontId="110" fillId="51" borderId="61" applyNumberFormat="0" applyAlignment="0" applyProtection="0">
      <alignment vertical="center"/>
    </xf>
    <xf numFmtId="0" fontId="110" fillId="51" borderId="61" applyNumberFormat="0" applyAlignment="0" applyProtection="0">
      <alignment vertical="center"/>
    </xf>
    <xf numFmtId="0" fontId="108" fillId="0" borderId="0" applyNumberFormat="0" applyFill="0" applyBorder="0" applyAlignment="0" applyProtection="0">
      <alignment vertical="center"/>
    </xf>
    <xf numFmtId="0" fontId="108" fillId="0" borderId="0" applyNumberFormat="0" applyFill="0" applyBorder="0" applyAlignment="0" applyProtection="0">
      <alignment vertical="center"/>
    </xf>
    <xf numFmtId="0" fontId="108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" fillId="46" borderId="60" applyNumberFormat="0" applyFont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105" fillId="0" borderId="57" applyNumberFormat="0" applyFill="0" applyAlignment="0" applyProtection="0">
      <alignment vertical="center"/>
    </xf>
    <xf numFmtId="0" fontId="6" fillId="46" borderId="60" applyNumberFormat="0" applyFont="0" applyAlignment="0" applyProtection="0">
      <alignment vertical="center"/>
    </xf>
    <xf numFmtId="0" fontId="105" fillId="0" borderId="57" applyNumberFormat="0" applyFill="0" applyAlignment="0" applyProtection="0">
      <alignment vertical="center"/>
    </xf>
    <xf numFmtId="0" fontId="6" fillId="46" borderId="60" applyNumberFormat="0" applyFont="0" applyAlignment="0" applyProtection="0">
      <alignment vertical="center"/>
    </xf>
    <xf numFmtId="0" fontId="105" fillId="0" borderId="57" applyNumberFormat="0" applyFill="0" applyAlignment="0" applyProtection="0">
      <alignment vertical="center"/>
    </xf>
    <xf numFmtId="43" fontId="106" fillId="0" borderId="0" applyFont="0" applyFill="0" applyBorder="0" applyAlignment="0" applyProtection="0"/>
    <xf numFmtId="43" fontId="106" fillId="0" borderId="0" applyFont="0" applyFill="0" applyBorder="0" applyAlignment="0" applyProtection="0"/>
    <xf numFmtId="0" fontId="103" fillId="47" borderId="0" applyNumberFormat="0" applyBorder="0" applyAlignment="0" applyProtection="0">
      <alignment vertical="center"/>
    </xf>
    <xf numFmtId="0" fontId="103" fillId="47" borderId="0" applyNumberFormat="0" applyBorder="0" applyAlignment="0" applyProtection="0">
      <alignment vertical="center"/>
    </xf>
    <xf numFmtId="0" fontId="103" fillId="47" borderId="0" applyNumberFormat="0" applyBorder="0" applyAlignment="0" applyProtection="0">
      <alignment vertical="center"/>
    </xf>
    <xf numFmtId="0" fontId="103" fillId="47" borderId="0" applyNumberFormat="0" applyBorder="0" applyAlignment="0" applyProtection="0">
      <alignment vertical="center"/>
    </xf>
    <xf numFmtId="0" fontId="103" fillId="40" borderId="0" applyNumberFormat="0" applyBorder="0" applyAlignment="0" applyProtection="0">
      <alignment vertical="center"/>
    </xf>
    <xf numFmtId="0" fontId="103" fillId="40" borderId="0" applyNumberFormat="0" applyBorder="0" applyAlignment="0" applyProtection="0">
      <alignment vertical="center"/>
    </xf>
    <xf numFmtId="0" fontId="103" fillId="40" borderId="0" applyNumberFormat="0" applyBorder="0" applyAlignment="0" applyProtection="0">
      <alignment vertical="center"/>
    </xf>
    <xf numFmtId="0" fontId="103" fillId="59" borderId="0" applyNumberFormat="0" applyBorder="0" applyAlignment="0" applyProtection="0">
      <alignment vertical="center"/>
    </xf>
    <xf numFmtId="0" fontId="115" fillId="56" borderId="59" applyNumberFormat="0" applyAlignment="0" applyProtection="0">
      <alignment vertical="center"/>
    </xf>
    <xf numFmtId="0" fontId="103" fillId="59" borderId="0" applyNumberFormat="0" applyBorder="0" applyAlignment="0" applyProtection="0">
      <alignment vertical="center"/>
    </xf>
    <xf numFmtId="0" fontId="103" fillId="59" borderId="0" applyNumberFormat="0" applyBorder="0" applyAlignment="0" applyProtection="0">
      <alignment vertical="center"/>
    </xf>
    <xf numFmtId="0" fontId="103" fillId="49" borderId="0" applyNumberFormat="0" applyBorder="0" applyAlignment="0" applyProtection="0">
      <alignment vertical="center"/>
    </xf>
    <xf numFmtId="0" fontId="103" fillId="49" borderId="0" applyNumberFormat="0" applyBorder="0" applyAlignment="0" applyProtection="0">
      <alignment vertical="center"/>
    </xf>
    <xf numFmtId="0" fontId="115" fillId="56" borderId="59" applyNumberFormat="0" applyAlignment="0" applyProtection="0">
      <alignment vertical="center"/>
    </xf>
    <xf numFmtId="0" fontId="103" fillId="54" borderId="0" applyNumberFormat="0" applyBorder="0" applyAlignment="0" applyProtection="0">
      <alignment vertical="center"/>
    </xf>
    <xf numFmtId="0" fontId="103" fillId="54" borderId="0" applyNumberFormat="0" applyBorder="0" applyAlignment="0" applyProtection="0">
      <alignment vertical="center"/>
    </xf>
    <xf numFmtId="0" fontId="103" fillId="54" borderId="0" applyNumberFormat="0" applyBorder="0" applyAlignment="0" applyProtection="0">
      <alignment vertical="center"/>
    </xf>
    <xf numFmtId="0" fontId="103" fillId="60" borderId="0" applyNumberFormat="0" applyBorder="0" applyAlignment="0" applyProtection="0">
      <alignment vertical="center"/>
    </xf>
    <xf numFmtId="0" fontId="103" fillId="60" borderId="0" applyNumberFormat="0" applyBorder="0" applyAlignment="0" applyProtection="0">
      <alignment vertical="center"/>
    </xf>
    <xf numFmtId="0" fontId="103" fillId="60" borderId="0" applyNumberFormat="0" applyBorder="0" applyAlignment="0" applyProtection="0">
      <alignment vertical="center"/>
    </xf>
    <xf numFmtId="0" fontId="103" fillId="60" borderId="0" applyNumberFormat="0" applyBorder="0" applyAlignment="0" applyProtection="0">
      <alignment vertical="center"/>
    </xf>
    <xf numFmtId="0" fontId="103" fillId="60" borderId="0" applyNumberFormat="0" applyBorder="0" applyAlignment="0" applyProtection="0">
      <alignment vertical="center"/>
    </xf>
    <xf numFmtId="0" fontId="103" fillId="60" borderId="0" applyNumberFormat="0" applyBorder="0" applyAlignment="0" applyProtection="0">
      <alignment vertical="center"/>
    </xf>
    <xf numFmtId="0" fontId="111" fillId="52" borderId="0" applyNumberFormat="0" applyBorder="0" applyAlignment="0" applyProtection="0">
      <alignment vertical="center"/>
    </xf>
    <xf numFmtId="0" fontId="111" fillId="52" borderId="0" applyNumberFormat="0" applyBorder="0" applyAlignment="0" applyProtection="0">
      <alignment vertical="center"/>
    </xf>
    <xf numFmtId="0" fontId="111" fillId="52" borderId="0" applyNumberFormat="0" applyBorder="0" applyAlignment="0" applyProtection="0">
      <alignment vertical="center"/>
    </xf>
    <xf numFmtId="0" fontId="104" fillId="41" borderId="56" applyNumberFormat="0" applyAlignment="0" applyProtection="0">
      <alignment vertical="center"/>
    </xf>
    <xf numFmtId="0" fontId="104" fillId="41" borderId="56" applyNumberFormat="0" applyAlignment="0" applyProtection="0">
      <alignment vertical="center"/>
    </xf>
    <xf numFmtId="0" fontId="104" fillId="41" borderId="56" applyNumberFormat="0" applyAlignment="0" applyProtection="0">
      <alignment vertical="center"/>
    </xf>
    <xf numFmtId="0" fontId="104" fillId="41" borderId="56" applyNumberFormat="0" applyAlignment="0" applyProtection="0">
      <alignment vertical="center"/>
    </xf>
    <xf numFmtId="0" fontId="115" fillId="56" borderId="59" applyNumberFormat="0" applyAlignment="0" applyProtection="0">
      <alignment vertical="center"/>
    </xf>
    <xf numFmtId="0" fontId="109" fillId="0" borderId="0"/>
    <xf numFmtId="0" fontId="115" fillId="56" borderId="59" applyNumberFormat="0" applyAlignment="0" applyProtection="0">
      <alignment vertical="center"/>
    </xf>
    <xf numFmtId="0" fontId="109" fillId="0" borderId="0"/>
    <xf numFmtId="0" fontId="115" fillId="56" borderId="59" applyNumberFormat="0" applyAlignment="0" applyProtection="0">
      <alignment vertical="center"/>
    </xf>
    <xf numFmtId="0" fontId="115" fillId="56" borderId="59" applyNumberFormat="0" applyAlignment="0" applyProtection="0">
      <alignment vertical="center"/>
    </xf>
    <xf numFmtId="0" fontId="115" fillId="56" borderId="59" applyNumberFormat="0" applyAlignment="0" applyProtection="0">
      <alignment vertical="center"/>
    </xf>
    <xf numFmtId="0" fontId="26" fillId="0" borderId="0">
      <alignment vertical="center"/>
    </xf>
    <xf numFmtId="0" fontId="122" fillId="0" borderId="0" applyNumberFormat="0" applyFill="0" applyBorder="0" applyAlignment="0" applyProtection="0">
      <alignment vertical="center"/>
    </xf>
    <xf numFmtId="38" fontId="106" fillId="0" borderId="0" applyFont="0" applyFill="0" applyBorder="0" applyAlignment="0" applyProtection="0">
      <alignment vertical="center"/>
    </xf>
    <xf numFmtId="0" fontId="123" fillId="0" borderId="0"/>
    <xf numFmtId="0" fontId="41" fillId="0" borderId="0"/>
    <xf numFmtId="0" fontId="109" fillId="0" borderId="0"/>
    <xf numFmtId="0" fontId="109" fillId="0" borderId="0"/>
    <xf numFmtId="0" fontId="6" fillId="46" borderId="60" applyNumberFormat="0" applyFont="0" applyAlignment="0" applyProtection="0">
      <alignment vertical="center"/>
    </xf>
    <xf numFmtId="0" fontId="6" fillId="46" borderId="60" applyNumberFormat="0" applyFont="0" applyAlignment="0" applyProtection="0">
      <alignment vertical="center"/>
    </xf>
    <xf numFmtId="0" fontId="6" fillId="46" borderId="60" applyNumberFormat="0" applyFont="0" applyAlignment="0" applyProtection="0">
      <alignment vertical="center"/>
    </xf>
    <xf numFmtId="0" fontId="6" fillId="46" borderId="60" applyNumberFormat="0" applyFont="0" applyAlignment="0" applyProtection="0">
      <alignment vertical="center"/>
    </xf>
    <xf numFmtId="0" fontId="6" fillId="46" borderId="60" applyNumberFormat="0" applyFont="0" applyAlignment="0" applyProtection="0">
      <alignment vertical="center"/>
    </xf>
    <xf numFmtId="0" fontId="6" fillId="46" borderId="60" applyNumberFormat="0" applyFont="0" applyAlignment="0" applyProtection="0">
      <alignment vertical="center"/>
    </xf>
    <xf numFmtId="0" fontId="6" fillId="46" borderId="60" applyNumberFormat="0" applyFont="0" applyAlignment="0" applyProtection="0">
      <alignment vertical="center"/>
    </xf>
    <xf numFmtId="0" fontId="6" fillId="46" borderId="60" applyNumberFormat="0" applyFont="0" applyAlignment="0" applyProtection="0">
      <alignment vertical="center"/>
    </xf>
    <xf numFmtId="0" fontId="6" fillId="46" borderId="60" applyNumberFormat="0" applyFont="0" applyAlignment="0" applyProtection="0">
      <alignment vertical="center"/>
    </xf>
    <xf numFmtId="0" fontId="6" fillId="46" borderId="60" applyNumberFormat="0" applyFont="0" applyAlignment="0" applyProtection="0">
      <alignment vertical="center"/>
    </xf>
    <xf numFmtId="0" fontId="6" fillId="46" borderId="60" applyNumberFormat="0" applyFont="0" applyAlignment="0" applyProtection="0">
      <alignment vertical="center"/>
    </xf>
    <xf numFmtId="0" fontId="6" fillId="46" borderId="60" applyNumberFormat="0" applyFont="0" applyAlignment="0" applyProtection="0">
      <alignment vertical="center"/>
    </xf>
    <xf numFmtId="0" fontId="6" fillId="46" borderId="60" applyNumberFormat="0" applyFont="0" applyAlignment="0" applyProtection="0">
      <alignment vertical="center"/>
    </xf>
    <xf numFmtId="0" fontId="6" fillId="46" borderId="60" applyNumberFormat="0" applyFont="0" applyAlignment="0" applyProtection="0">
      <alignment vertical="center"/>
    </xf>
    <xf numFmtId="0" fontId="6" fillId="46" borderId="60" applyNumberFormat="0" applyFont="0" applyAlignment="0" applyProtection="0">
      <alignment vertical="center"/>
    </xf>
  </cellStyleXfs>
  <cellXfs count="349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justify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justify" vertical="center" wrapText="1"/>
    </xf>
    <xf numFmtId="9" fontId="4" fillId="0" borderId="4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312" applyBorder="1">
      <alignment vertical="center"/>
    </xf>
    <xf numFmtId="0" fontId="7" fillId="0" borderId="0" xfId="312" applyNumberFormat="1" applyFont="1" applyFill="1" applyBorder="1" applyAlignment="1" applyProtection="1">
      <alignment horizontal="center" vertical="center"/>
    </xf>
    <xf numFmtId="0" fontId="6" fillId="0" borderId="0" xfId="312" applyFill="1">
      <alignment vertical="center"/>
    </xf>
    <xf numFmtId="0" fontId="6" fillId="0" borderId="0" xfId="312" applyNumberFormat="1" applyFont="1" applyFill="1" applyBorder="1" applyAlignment="1" applyProtection="1">
      <alignment horizontal="center" vertical="center" shrinkToFit="1"/>
    </xf>
    <xf numFmtId="0" fontId="6" fillId="0" borderId="0" xfId="0" applyNumberFormat="1" applyFont="1" applyFill="1" applyBorder="1" applyAlignment="1" applyProtection="1">
      <alignment vertical="center"/>
    </xf>
    <xf numFmtId="0" fontId="6" fillId="0" borderId="0" xfId="312">
      <alignment vertical="center"/>
    </xf>
    <xf numFmtId="0" fontId="6" fillId="0" borderId="0" xfId="312" applyNumberFormat="1">
      <alignment vertical="center"/>
    </xf>
    <xf numFmtId="0" fontId="6" fillId="0" borderId="0" xfId="312" applyNumberFormat="1" applyAlignment="1">
      <alignment horizontal="center" vertical="center"/>
    </xf>
    <xf numFmtId="14" fontId="6" fillId="0" borderId="0" xfId="312" applyNumberFormat="1">
      <alignment vertical="center"/>
    </xf>
    <xf numFmtId="178" fontId="6" fillId="0" borderId="0" xfId="312" applyNumberFormat="1">
      <alignment vertical="center"/>
    </xf>
    <xf numFmtId="179" fontId="8" fillId="0" borderId="0" xfId="108" applyNumberFormat="1" applyFont="1" applyFill="1" applyBorder="1" applyAlignment="1" applyProtection="1">
      <alignment vertical="center"/>
    </xf>
    <xf numFmtId="179" fontId="9" fillId="0" borderId="0" xfId="108" applyNumberFormat="1" applyFont="1" applyFill="1" applyBorder="1" applyAlignment="1" applyProtection="1">
      <alignment vertical="center"/>
    </xf>
    <xf numFmtId="179" fontId="10" fillId="0" borderId="0" xfId="108" applyNumberFormat="1" applyFont="1" applyFill="1" applyBorder="1" applyAlignment="1" applyProtection="1">
      <alignment vertical="center"/>
    </xf>
    <xf numFmtId="179" fontId="10" fillId="0" borderId="0" xfId="108" applyNumberFormat="1" applyFont="1" applyFill="1" applyBorder="1" applyAlignment="1" applyProtection="1">
      <alignment horizontal="center" vertical="top"/>
    </xf>
    <xf numFmtId="0" fontId="6" fillId="0" borderId="0" xfId="312" applyNumberFormat="1" applyFont="1" applyFill="1" applyBorder="1" applyAlignment="1" applyProtection="1">
      <alignment horizontal="center" vertical="center"/>
    </xf>
    <xf numFmtId="0" fontId="6" fillId="0" borderId="0" xfId="312" applyNumberFormat="1" applyBorder="1" applyAlignment="1">
      <alignment horizontal="center" vertical="center"/>
    </xf>
    <xf numFmtId="179" fontId="11" fillId="3" borderId="5" xfId="108" applyNumberFormat="1" applyFont="1" applyFill="1" applyBorder="1" applyAlignment="1" applyProtection="1">
      <alignment horizontal="center" vertical="center"/>
    </xf>
    <xf numFmtId="179" fontId="8" fillId="3" borderId="5" xfId="108" applyNumberFormat="1" applyFont="1" applyFill="1" applyBorder="1" applyAlignment="1" applyProtection="1">
      <alignment horizontal="center" vertical="center"/>
    </xf>
    <xf numFmtId="0" fontId="8" fillId="3" borderId="5" xfId="108" applyNumberFormat="1" applyFont="1" applyFill="1" applyBorder="1" applyAlignment="1" applyProtection="1">
      <alignment horizontal="center" vertical="center" wrapText="1"/>
    </xf>
    <xf numFmtId="0" fontId="12" fillId="3" borderId="5" xfId="407" applyNumberFormat="1" applyFont="1" applyFill="1" applyBorder="1" applyAlignment="1" applyProtection="1">
      <alignment horizontal="center" vertical="center" wrapText="1"/>
    </xf>
    <xf numFmtId="0" fontId="13" fillId="3" borderId="5" xfId="407" applyNumberFormat="1" applyFont="1" applyFill="1" applyBorder="1" applyAlignment="1" applyProtection="1">
      <alignment horizontal="center" vertical="center" wrapText="1"/>
    </xf>
    <xf numFmtId="179" fontId="11" fillId="3" borderId="6" xfId="108" applyNumberFormat="1" applyFont="1" applyFill="1" applyBorder="1" applyAlignment="1" applyProtection="1">
      <alignment horizontal="center" vertical="center"/>
    </xf>
    <xf numFmtId="179" fontId="8" fillId="3" borderId="6" xfId="108" applyNumberFormat="1" applyFont="1" applyFill="1" applyBorder="1" applyAlignment="1" applyProtection="1">
      <alignment horizontal="center" vertical="center"/>
    </xf>
    <xf numFmtId="0" fontId="8" fillId="3" borderId="6" xfId="108" applyNumberFormat="1" applyFont="1" applyFill="1" applyBorder="1" applyAlignment="1" applyProtection="1">
      <alignment horizontal="center" vertical="center" wrapText="1"/>
    </xf>
    <xf numFmtId="0" fontId="12" fillId="3" borderId="6" xfId="407" applyNumberFormat="1" applyFont="1" applyFill="1" applyBorder="1" applyAlignment="1" applyProtection="1">
      <alignment horizontal="center" vertical="center" wrapText="1"/>
    </xf>
    <xf numFmtId="0" fontId="13" fillId="3" borderId="6" xfId="407" applyNumberFormat="1" applyFont="1" applyFill="1" applyBorder="1" applyAlignment="1" applyProtection="1">
      <alignment horizontal="center" vertical="center" wrapText="1"/>
    </xf>
    <xf numFmtId="179" fontId="14" fillId="0" borderId="6" xfId="312" applyNumberFormat="1" applyFont="1" applyFill="1" applyBorder="1" applyAlignment="1" applyProtection="1">
      <alignment horizontal="center" vertical="center"/>
    </xf>
    <xf numFmtId="0" fontId="15" fillId="0" borderId="7" xfId="312" applyFont="1" applyFill="1" applyBorder="1" applyAlignment="1">
      <alignment horizontal="center" vertical="center" wrapText="1"/>
    </xf>
    <xf numFmtId="49" fontId="16" fillId="4" borderId="8" xfId="312" applyNumberFormat="1" applyFont="1" applyFill="1" applyBorder="1" applyAlignment="1">
      <alignment horizontal="center" vertical="center" wrapText="1"/>
    </xf>
    <xf numFmtId="0" fontId="6" fillId="0" borderId="7" xfId="312" applyNumberFormat="1" applyFill="1" applyBorder="1" applyAlignment="1">
      <alignment horizontal="center" vertical="center"/>
    </xf>
    <xf numFmtId="0" fontId="6" fillId="0" borderId="8" xfId="312" applyFill="1" applyBorder="1">
      <alignment vertical="center"/>
    </xf>
    <xf numFmtId="179" fontId="14" fillId="4" borderId="6" xfId="312" applyNumberFormat="1" applyFont="1" applyFill="1" applyBorder="1" applyAlignment="1" applyProtection="1">
      <alignment horizontal="center" vertical="center" shrinkToFit="1"/>
    </xf>
    <xf numFmtId="179" fontId="17" fillId="4" borderId="7" xfId="312" applyNumberFormat="1" applyFont="1" applyFill="1" applyBorder="1" applyAlignment="1" applyProtection="1">
      <alignment horizontal="center" vertical="center" shrinkToFit="1"/>
    </xf>
    <xf numFmtId="179" fontId="17" fillId="4" borderId="7" xfId="312" applyNumberFormat="1" applyFont="1" applyFill="1" applyBorder="1" applyAlignment="1" applyProtection="1">
      <alignment horizontal="center" vertical="top" shrinkToFit="1"/>
    </xf>
    <xf numFmtId="0" fontId="16" fillId="4" borderId="7" xfId="312" applyNumberFormat="1" applyFont="1" applyFill="1" applyBorder="1" applyAlignment="1">
      <alignment horizontal="center" vertical="center" shrinkToFit="1"/>
    </xf>
    <xf numFmtId="0" fontId="6" fillId="4" borderId="7" xfId="312" applyNumberFormat="1" applyFont="1" applyFill="1" applyBorder="1" applyAlignment="1" applyProtection="1">
      <alignment horizontal="center" vertical="center" shrinkToFit="1"/>
    </xf>
    <xf numFmtId="0" fontId="6" fillId="4" borderId="7" xfId="312" applyNumberFormat="1" applyFill="1" applyBorder="1" applyAlignment="1">
      <alignment horizontal="center" vertical="center" shrinkToFit="1"/>
    </xf>
    <xf numFmtId="0" fontId="6" fillId="3" borderId="7" xfId="312" applyFont="1" applyFill="1" applyBorder="1" applyAlignment="1">
      <alignment horizontal="center" vertical="center"/>
    </xf>
    <xf numFmtId="178" fontId="6" fillId="4" borderId="7" xfId="312" applyNumberFormat="1" applyFont="1" applyFill="1" applyBorder="1" applyAlignment="1">
      <alignment horizontal="center" vertical="center"/>
    </xf>
    <xf numFmtId="180" fontId="6" fillId="0" borderId="0" xfId="312" applyNumberFormat="1" applyFont="1" applyBorder="1" applyAlignment="1">
      <alignment horizontal="center" vertical="center"/>
    </xf>
    <xf numFmtId="180" fontId="6" fillId="0" borderId="0" xfId="0" applyNumberFormat="1" applyFont="1" applyFill="1" applyBorder="1" applyAlignment="1" applyProtection="1">
      <alignment horizontal="center" vertical="center"/>
    </xf>
    <xf numFmtId="0" fontId="18" fillId="0" borderId="0" xfId="0" applyNumberFormat="1" applyFont="1" applyFill="1" applyBorder="1" applyAlignment="1" applyProtection="1">
      <alignment vertical="center"/>
    </xf>
    <xf numFmtId="0" fontId="19" fillId="0" borderId="0" xfId="0" applyNumberFormat="1" applyFont="1" applyFill="1" applyBorder="1" applyAlignment="1" applyProtection="1">
      <alignment horizontal="left" vertical="center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20" fillId="0" borderId="0" xfId="0" applyNumberFormat="1" applyFont="1" applyFill="1" applyBorder="1" applyAlignment="1" applyProtection="1">
      <alignment vertical="center"/>
    </xf>
    <xf numFmtId="0" fontId="21" fillId="0" borderId="0" xfId="0" applyNumberFormat="1" applyFont="1" applyFill="1" applyBorder="1" applyAlignment="1" applyProtection="1">
      <alignment vertical="center"/>
    </xf>
    <xf numFmtId="0" fontId="6" fillId="0" borderId="0" xfId="0" applyNumberFormat="1" applyFont="1" applyFill="1" applyBorder="1" applyAlignment="1" applyProtection="1">
      <alignment horizontal="left" vertical="center" wrapText="1"/>
    </xf>
    <xf numFmtId="0" fontId="21" fillId="0" borderId="0" xfId="0" applyNumberFormat="1" applyFont="1" applyFill="1" applyBorder="1" applyAlignment="1" applyProtection="1">
      <alignment vertical="center" wrapText="1"/>
    </xf>
    <xf numFmtId="0" fontId="22" fillId="0" borderId="0" xfId="312" applyNumberFormat="1" applyFont="1" applyFill="1" applyBorder="1" applyAlignment="1" applyProtection="1">
      <alignment horizontal="left" vertical="center"/>
    </xf>
    <xf numFmtId="0" fontId="23" fillId="0" borderId="0" xfId="0" applyNumberFormat="1" applyFont="1" applyFill="1" applyBorder="1" applyAlignment="1" applyProtection="1">
      <alignment vertical="center"/>
    </xf>
    <xf numFmtId="14" fontId="6" fillId="0" borderId="0" xfId="312" applyNumberFormat="1" applyBorder="1">
      <alignment vertical="center"/>
    </xf>
    <xf numFmtId="179" fontId="10" fillId="0" borderId="0" xfId="108" applyNumberFormat="1" applyFont="1" applyFill="1" applyBorder="1" applyAlignment="1" applyProtection="1">
      <alignment horizontal="center" vertical="center"/>
    </xf>
    <xf numFmtId="177" fontId="24" fillId="5" borderId="0" xfId="312" applyNumberFormat="1" applyFont="1" applyFill="1" applyBorder="1" applyAlignment="1">
      <alignment horizontal="center" vertical="center"/>
    </xf>
    <xf numFmtId="14" fontId="12" fillId="3" borderId="5" xfId="407" applyNumberFormat="1" applyFont="1" applyFill="1" applyBorder="1" applyAlignment="1" applyProtection="1">
      <alignment horizontal="center" vertical="center" wrapText="1"/>
    </xf>
    <xf numFmtId="0" fontId="12" fillId="3" borderId="8" xfId="407" applyNumberFormat="1" applyFont="1" applyFill="1" applyBorder="1" applyAlignment="1" applyProtection="1">
      <alignment horizontal="center" vertical="center" wrapText="1"/>
    </xf>
    <xf numFmtId="0" fontId="12" fillId="3" borderId="9" xfId="407" applyNumberFormat="1" applyFont="1" applyFill="1" applyBorder="1" applyAlignment="1" applyProtection="1">
      <alignment horizontal="center" vertical="center" wrapText="1"/>
    </xf>
    <xf numFmtId="0" fontId="12" fillId="3" borderId="10" xfId="407" applyNumberFormat="1" applyFont="1" applyFill="1" applyBorder="1" applyAlignment="1" applyProtection="1">
      <alignment horizontal="center" vertical="center" wrapText="1"/>
    </xf>
    <xf numFmtId="14" fontId="12" fillId="3" borderId="6" xfId="407" applyNumberFormat="1" applyFont="1" applyFill="1" applyBorder="1" applyAlignment="1" applyProtection="1">
      <alignment horizontal="center" vertical="center" wrapText="1"/>
    </xf>
    <xf numFmtId="0" fontId="12" fillId="3" borderId="7" xfId="407" applyNumberFormat="1" applyFont="1" applyFill="1" applyBorder="1" applyAlignment="1" applyProtection="1">
      <alignment horizontal="center" vertical="center" wrapText="1"/>
    </xf>
    <xf numFmtId="14" fontId="6" fillId="0" borderId="8" xfId="312" applyNumberFormat="1" applyFill="1" applyBorder="1">
      <alignment vertical="center"/>
    </xf>
    <xf numFmtId="177" fontId="14" fillId="0" borderId="7" xfId="312" applyNumberFormat="1" applyFont="1" applyFill="1" applyBorder="1">
      <alignment vertical="center"/>
    </xf>
    <xf numFmtId="177" fontId="14" fillId="0" borderId="7" xfId="312" applyNumberFormat="1" applyFont="1" applyFill="1" applyBorder="1" applyAlignment="1">
      <alignment horizontal="center" vertical="center"/>
    </xf>
    <xf numFmtId="0" fontId="6" fillId="4" borderId="8" xfId="312" applyNumberFormat="1" applyFont="1" applyFill="1" applyBorder="1" applyAlignment="1" applyProtection="1">
      <alignment horizontal="center" vertical="center" shrinkToFit="1"/>
    </xf>
    <xf numFmtId="14" fontId="6" fillId="4" borderId="8" xfId="312" applyNumberFormat="1" applyFont="1" applyFill="1" applyBorder="1" applyAlignment="1" applyProtection="1">
      <alignment horizontal="center" vertical="center" shrinkToFit="1"/>
    </xf>
    <xf numFmtId="180" fontId="17" fillId="4" borderId="7" xfId="312" applyNumberFormat="1" applyFont="1" applyFill="1" applyBorder="1" applyAlignment="1" applyProtection="1">
      <alignment horizontal="center" vertical="center" shrinkToFit="1"/>
    </xf>
    <xf numFmtId="14" fontId="6" fillId="0" borderId="0" xfId="0" applyNumberFormat="1" applyFont="1" applyFill="1" applyBorder="1" applyAlignment="1" applyProtection="1">
      <alignment vertical="center"/>
    </xf>
    <xf numFmtId="181" fontId="6" fillId="0" borderId="0" xfId="0" applyNumberFormat="1" applyFont="1" applyFill="1" applyBorder="1" applyAlignment="1" applyProtection="1">
      <alignment vertical="center"/>
    </xf>
    <xf numFmtId="14" fontId="6" fillId="0" borderId="0" xfId="0" applyNumberFormat="1" applyFont="1" applyFill="1" applyBorder="1" applyAlignment="1" applyProtection="1">
      <alignment horizontal="left" vertical="center" wrapText="1"/>
    </xf>
    <xf numFmtId="181" fontId="6" fillId="0" borderId="0" xfId="0" applyNumberFormat="1" applyFont="1" applyFill="1" applyBorder="1" applyAlignment="1" applyProtection="1">
      <alignment horizontal="left" vertical="center" wrapText="1"/>
    </xf>
    <xf numFmtId="0" fontId="6" fillId="0" borderId="0" xfId="0" applyNumberFormat="1" applyFont="1" applyFill="1" applyBorder="1" applyAlignment="1" applyProtection="1">
      <alignment vertical="center" wrapText="1"/>
    </xf>
    <xf numFmtId="14" fontId="6" fillId="0" borderId="0" xfId="0" applyNumberFormat="1" applyFont="1" applyFill="1" applyBorder="1" applyAlignment="1" applyProtection="1">
      <alignment vertical="center" wrapText="1"/>
    </xf>
    <xf numFmtId="181" fontId="6" fillId="0" borderId="0" xfId="0" applyNumberFormat="1" applyFont="1" applyFill="1" applyBorder="1" applyAlignment="1" applyProtection="1">
      <alignment vertical="center" wrapText="1"/>
    </xf>
    <xf numFmtId="14" fontId="21" fillId="0" borderId="0" xfId="0" applyNumberFormat="1" applyFont="1" applyFill="1" applyBorder="1" applyAlignment="1" applyProtection="1">
      <alignment vertical="center" wrapText="1"/>
    </xf>
    <xf numFmtId="177" fontId="0" fillId="0" borderId="0" xfId="312" applyNumberFormat="1" applyFont="1" applyFill="1" applyBorder="1" applyAlignment="1">
      <alignment horizontal="left" vertical="center"/>
    </xf>
    <xf numFmtId="178" fontId="13" fillId="3" borderId="5" xfId="407" applyNumberFormat="1" applyFont="1" applyFill="1" applyBorder="1" applyAlignment="1" applyProtection="1">
      <alignment horizontal="center" vertical="center" wrapText="1"/>
    </xf>
    <xf numFmtId="0" fontId="13" fillId="3" borderId="8" xfId="407" applyNumberFormat="1" applyFont="1" applyFill="1" applyBorder="1" applyAlignment="1" applyProtection="1">
      <alignment horizontal="center" vertical="center" wrapText="1"/>
    </xf>
    <xf numFmtId="0" fontId="13" fillId="3" borderId="9" xfId="407" applyNumberFormat="1" applyFont="1" applyFill="1" applyBorder="1" applyAlignment="1" applyProtection="1">
      <alignment horizontal="center" vertical="center" wrapText="1"/>
    </xf>
    <xf numFmtId="178" fontId="13" fillId="3" borderId="6" xfId="407" applyNumberFormat="1" applyFont="1" applyFill="1" applyBorder="1" applyAlignment="1" applyProtection="1">
      <alignment horizontal="center" vertical="center" wrapText="1"/>
    </xf>
    <xf numFmtId="0" fontId="13" fillId="3" borderId="7" xfId="407" applyNumberFormat="1" applyFont="1" applyFill="1" applyBorder="1" applyAlignment="1" applyProtection="1">
      <alignment horizontal="center" vertical="center" wrapText="1"/>
    </xf>
    <xf numFmtId="177" fontId="14" fillId="4" borderId="7" xfId="312" applyNumberFormat="1" applyFont="1" applyFill="1" applyBorder="1">
      <alignment vertical="center"/>
    </xf>
    <xf numFmtId="177" fontId="14" fillId="4" borderId="10" xfId="312" applyNumberFormat="1" applyFont="1" applyFill="1" applyBorder="1" applyAlignment="1">
      <alignment horizontal="center" vertical="center"/>
    </xf>
    <xf numFmtId="177" fontId="14" fillId="4" borderId="10" xfId="312" applyNumberFormat="1" applyFont="1" applyFill="1" applyBorder="1">
      <alignment vertical="center"/>
    </xf>
    <xf numFmtId="177" fontId="14" fillId="0" borderId="10" xfId="312" applyNumberFormat="1" applyFont="1" applyFill="1" applyBorder="1" applyAlignment="1">
      <alignment horizontal="center" vertical="center"/>
    </xf>
    <xf numFmtId="177" fontId="14" fillId="0" borderId="10" xfId="312" applyNumberFormat="1" applyFont="1" applyFill="1" applyBorder="1">
      <alignment vertical="center"/>
    </xf>
    <xf numFmtId="0" fontId="13" fillId="3" borderId="10" xfId="407" applyNumberFormat="1" applyFont="1" applyFill="1" applyBorder="1" applyAlignment="1" applyProtection="1">
      <alignment horizontal="center" vertical="center" wrapText="1"/>
    </xf>
    <xf numFmtId="180" fontId="14" fillId="4" borderId="10" xfId="312" applyNumberFormat="1" applyFont="1" applyFill="1" applyBorder="1" applyAlignment="1" applyProtection="1">
      <alignment horizontal="center" vertical="center"/>
    </xf>
    <xf numFmtId="178" fontId="20" fillId="4" borderId="7" xfId="292" applyNumberFormat="1" applyFont="1" applyFill="1" applyBorder="1" applyAlignment="1" applyProtection="1">
      <alignment horizontal="center" vertical="center"/>
    </xf>
    <xf numFmtId="178" fontId="25" fillId="4" borderId="7" xfId="407" applyNumberFormat="1" applyFont="1" applyFill="1" applyBorder="1" applyAlignment="1" applyProtection="1">
      <alignment horizontal="center" vertical="center"/>
    </xf>
    <xf numFmtId="180" fontId="14" fillId="0" borderId="10" xfId="312" applyNumberFormat="1" applyFont="1" applyFill="1" applyBorder="1" applyAlignment="1" applyProtection="1">
      <alignment horizontal="center" vertical="center"/>
    </xf>
    <xf numFmtId="178" fontId="20" fillId="0" borderId="7" xfId="292" applyNumberFormat="1" applyFont="1" applyFill="1" applyBorder="1" applyAlignment="1" applyProtection="1">
      <alignment horizontal="center" vertical="center"/>
    </xf>
    <xf numFmtId="178" fontId="25" fillId="0" borderId="7" xfId="407" applyNumberFormat="1" applyFont="1" applyFill="1" applyBorder="1" applyAlignment="1" applyProtection="1">
      <alignment horizontal="center" vertical="center"/>
    </xf>
    <xf numFmtId="180" fontId="14" fillId="0" borderId="0" xfId="312" applyNumberFormat="1" applyFont="1" applyFill="1" applyBorder="1" applyAlignment="1" applyProtection="1">
      <alignment horizontal="center" vertical="center"/>
    </xf>
    <xf numFmtId="178" fontId="10" fillId="0" borderId="0" xfId="108" applyNumberFormat="1" applyFont="1" applyFill="1" applyBorder="1" applyAlignment="1" applyProtection="1">
      <alignment horizontal="center" vertical="center" wrapText="1"/>
    </xf>
    <xf numFmtId="0" fontId="11" fillId="3" borderId="5" xfId="108" applyNumberFormat="1" applyFont="1" applyFill="1" applyBorder="1" applyAlignment="1" applyProtection="1">
      <alignment horizontal="center" vertical="center" wrapText="1"/>
    </xf>
    <xf numFmtId="178" fontId="8" fillId="3" borderId="5" xfId="108" applyNumberFormat="1" applyFont="1" applyFill="1" applyBorder="1" applyAlignment="1" applyProtection="1">
      <alignment horizontal="center" vertical="center" wrapText="1"/>
    </xf>
    <xf numFmtId="0" fontId="11" fillId="3" borderId="6" xfId="108" applyNumberFormat="1" applyFont="1" applyFill="1" applyBorder="1" applyAlignment="1" applyProtection="1">
      <alignment horizontal="center" vertical="center" wrapText="1"/>
    </xf>
    <xf numFmtId="178" fontId="8" fillId="3" borderId="6" xfId="108" applyNumberFormat="1" applyFont="1" applyFill="1" applyBorder="1" applyAlignment="1" applyProtection="1">
      <alignment horizontal="center" vertical="center" wrapText="1"/>
    </xf>
    <xf numFmtId="180" fontId="14" fillId="4" borderId="7" xfId="312" applyNumberFormat="1" applyFont="1" applyFill="1" applyBorder="1" applyAlignment="1" applyProtection="1">
      <alignment horizontal="center" vertical="center"/>
    </xf>
    <xf numFmtId="178" fontId="16" fillId="0" borderId="7" xfId="312" applyNumberFormat="1" applyFont="1" applyFill="1" applyBorder="1" applyAlignment="1">
      <alignment horizontal="center" vertical="center" wrapText="1"/>
    </xf>
    <xf numFmtId="180" fontId="14" fillId="0" borderId="7" xfId="312" applyNumberFormat="1" applyFont="1" applyFill="1" applyBorder="1" applyAlignment="1" applyProtection="1">
      <alignment horizontal="center" vertical="center"/>
    </xf>
    <xf numFmtId="180" fontId="14" fillId="4" borderId="7" xfId="312" applyNumberFormat="1" applyFont="1" applyFill="1" applyBorder="1" applyAlignment="1" applyProtection="1">
      <alignment horizontal="center" vertical="center" shrinkToFit="1"/>
    </xf>
    <xf numFmtId="180" fontId="6" fillId="0" borderId="0" xfId="312" applyNumberFormat="1">
      <alignment vertical="center"/>
    </xf>
    <xf numFmtId="178" fontId="6" fillId="0" borderId="0" xfId="0" applyNumberFormat="1" applyFont="1" applyFill="1" applyBorder="1" applyAlignment="1" applyProtection="1">
      <alignment vertical="center"/>
    </xf>
    <xf numFmtId="49" fontId="6" fillId="0" borderId="0" xfId="312" applyNumberFormat="1" applyFont="1" applyFill="1" applyBorder="1" applyAlignment="1" applyProtection="1">
      <alignment horizontal="center" vertical="center"/>
    </xf>
    <xf numFmtId="49" fontId="12" fillId="3" borderId="5" xfId="407" applyNumberFormat="1" applyFont="1" applyFill="1" applyBorder="1" applyAlignment="1" applyProtection="1">
      <alignment horizontal="center" vertical="center" wrapText="1"/>
    </xf>
    <xf numFmtId="49" fontId="12" fillId="3" borderId="6" xfId="407" applyNumberFormat="1" applyFont="1" applyFill="1" applyBorder="1" applyAlignment="1" applyProtection="1">
      <alignment horizontal="center" vertical="center" wrapText="1"/>
    </xf>
    <xf numFmtId="0" fontId="25" fillId="4" borderId="7" xfId="312" applyFont="1" applyFill="1" applyBorder="1" applyAlignment="1">
      <alignment horizontal="center" vertical="center"/>
    </xf>
    <xf numFmtId="0" fontId="25" fillId="0" borderId="7" xfId="312" applyFont="1" applyFill="1" applyBorder="1" applyAlignment="1">
      <alignment horizontal="center" vertical="center"/>
    </xf>
    <xf numFmtId="0" fontId="25" fillId="4" borderId="7" xfId="312" applyFont="1" applyFill="1" applyBorder="1" applyAlignment="1">
      <alignment horizontal="center" vertical="center" shrinkToFit="1"/>
    </xf>
    <xf numFmtId="0" fontId="26" fillId="6" borderId="7" xfId="275" applyFont="1" applyFill="1" applyBorder="1" applyAlignment="1">
      <alignment horizontal="left" vertical="center"/>
    </xf>
    <xf numFmtId="49" fontId="26" fillId="0" borderId="7" xfId="275" applyNumberFormat="1" applyFont="1" applyBorder="1" applyAlignment="1" applyProtection="1">
      <protection locked="0"/>
    </xf>
    <xf numFmtId="0" fontId="6" fillId="0" borderId="7" xfId="312" applyNumberFormat="1" applyFont="1" applyFill="1" applyBorder="1" applyAlignment="1">
      <alignment horizontal="center" vertical="center"/>
    </xf>
    <xf numFmtId="0" fontId="6" fillId="0" borderId="8" xfId="312" applyFont="1" applyFill="1" applyBorder="1" applyAlignment="1">
      <alignment vertical="center"/>
    </xf>
    <xf numFmtId="14" fontId="6" fillId="0" borderId="8" xfId="312" applyNumberFormat="1" applyFont="1" applyFill="1" applyBorder="1" applyAlignment="1">
      <alignment vertical="center"/>
    </xf>
    <xf numFmtId="177" fontId="14" fillId="0" borderId="7" xfId="312" applyNumberFormat="1" applyFont="1" applyFill="1" applyBorder="1" applyAlignment="1">
      <alignment vertical="center"/>
    </xf>
    <xf numFmtId="0" fontId="14" fillId="0" borderId="7" xfId="312" applyNumberFormat="1" applyFont="1" applyFill="1" applyBorder="1">
      <alignment vertical="center"/>
    </xf>
    <xf numFmtId="178" fontId="17" fillId="4" borderId="7" xfId="312" applyNumberFormat="1" applyFont="1" applyFill="1" applyBorder="1" applyAlignment="1" applyProtection="1">
      <alignment horizontal="center" vertical="center" shrinkToFit="1"/>
    </xf>
    <xf numFmtId="49" fontId="16" fillId="0" borderId="8" xfId="312" applyNumberFormat="1" applyFont="1" applyFill="1" applyBorder="1" applyAlignment="1">
      <alignment horizontal="center" vertical="center" wrapText="1"/>
    </xf>
    <xf numFmtId="0" fontId="26" fillId="0" borderId="7" xfId="360" applyNumberFormat="1" applyFont="1" applyFill="1" applyBorder="1" applyAlignment="1">
      <alignment horizontal="center" vertical="center"/>
    </xf>
    <xf numFmtId="0" fontId="6" fillId="0" borderId="7" xfId="312" applyFill="1" applyBorder="1">
      <alignment vertical="center"/>
    </xf>
    <xf numFmtId="0" fontId="0" fillId="0" borderId="0" xfId="0" applyAlignment="1">
      <alignment horizontal="center" vertical="center" wrapText="1"/>
    </xf>
    <xf numFmtId="49" fontId="0" fillId="0" borderId="0" xfId="0" applyNumberFormat="1">
      <alignment vertical="center"/>
    </xf>
    <xf numFmtId="177" fontId="0" fillId="0" borderId="0" xfId="0" applyNumberFormat="1">
      <alignment vertical="center"/>
    </xf>
    <xf numFmtId="0" fontId="27" fillId="0" borderId="0" xfId="0" applyFont="1">
      <alignment vertical="center"/>
    </xf>
    <xf numFmtId="14" fontId="0" fillId="0" borderId="0" xfId="0" applyNumberFormat="1">
      <alignment vertical="center"/>
    </xf>
    <xf numFmtId="57" fontId="0" fillId="0" borderId="0" xfId="0" applyNumberFormat="1">
      <alignment vertical="center"/>
    </xf>
    <xf numFmtId="0" fontId="0" fillId="7" borderId="11" xfId="0" applyFill="1" applyBorder="1" applyAlignment="1">
      <alignment horizontal="center" vertical="center" wrapText="1"/>
    </xf>
    <xf numFmtId="0" fontId="0" fillId="7" borderId="12" xfId="0" applyFill="1" applyBorder="1" applyAlignment="1">
      <alignment horizontal="center" vertical="center" wrapText="1"/>
    </xf>
    <xf numFmtId="49" fontId="0" fillId="7" borderId="12" xfId="0" applyNumberFormat="1" applyFill="1" applyBorder="1" applyAlignment="1">
      <alignment horizontal="center" vertical="center" wrapText="1"/>
    </xf>
    <xf numFmtId="49" fontId="0" fillId="7" borderId="11" xfId="0" applyNumberFormat="1" applyFill="1" applyBorder="1" applyAlignment="1">
      <alignment horizontal="center" vertical="center" wrapText="1"/>
    </xf>
    <xf numFmtId="0" fontId="0" fillId="0" borderId="0" xfId="0" applyFont="1">
      <alignment vertical="center"/>
    </xf>
    <xf numFmtId="0" fontId="0" fillId="7" borderId="0" xfId="0" applyFill="1" applyBorder="1">
      <alignment vertical="center"/>
    </xf>
    <xf numFmtId="0" fontId="0" fillId="0" borderId="0" xfId="0" applyNumberFormat="1">
      <alignment vertical="center"/>
    </xf>
    <xf numFmtId="0" fontId="28" fillId="3" borderId="0" xfId="0" applyFont="1" applyFill="1" applyAlignment="1">
      <alignment horizontal="center" vertical="center"/>
    </xf>
    <xf numFmtId="0" fontId="0" fillId="3" borderId="0" xfId="0" applyFill="1">
      <alignment vertical="center"/>
    </xf>
    <xf numFmtId="49" fontId="0" fillId="3" borderId="0" xfId="0" applyNumberFormat="1" applyFill="1">
      <alignment vertical="center"/>
    </xf>
    <xf numFmtId="177" fontId="0" fillId="7" borderId="11" xfId="0" applyNumberFormat="1" applyFill="1" applyBorder="1" applyAlignment="1">
      <alignment horizontal="center" vertical="center" wrapText="1"/>
    </xf>
    <xf numFmtId="0" fontId="0" fillId="7" borderId="13" xfId="0" applyFill="1" applyBorder="1" applyAlignment="1">
      <alignment horizontal="center" vertical="center" wrapText="1"/>
    </xf>
    <xf numFmtId="0" fontId="0" fillId="0" borderId="0" xfId="0" applyFont="1" applyBorder="1" applyAlignment="1">
      <alignment vertical="center" wrapText="1"/>
    </xf>
    <xf numFmtId="0" fontId="0" fillId="0" borderId="0" xfId="0" applyAlignment="1">
      <alignment horizontal="right" vertical="center"/>
    </xf>
    <xf numFmtId="177" fontId="0" fillId="7" borderId="11" xfId="0" applyNumberFormat="1" applyFill="1" applyBorder="1">
      <alignment vertical="center"/>
    </xf>
    <xf numFmtId="0" fontId="0" fillId="7" borderId="11" xfId="0" applyFill="1" applyBorder="1">
      <alignment vertical="center"/>
    </xf>
    <xf numFmtId="0" fontId="0" fillId="7" borderId="13" xfId="0" applyFill="1" applyBorder="1">
      <alignment vertical="center"/>
    </xf>
    <xf numFmtId="0" fontId="0" fillId="0" borderId="0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6" fillId="8" borderId="0" xfId="0" applyFont="1" applyFill="1" applyAlignment="1">
      <alignment vertical="center"/>
    </xf>
    <xf numFmtId="0" fontId="29" fillId="8" borderId="0" xfId="472" applyFont="1" applyFill="1" applyBorder="1" applyAlignment="1">
      <alignment horizontal="center" vertical="center"/>
    </xf>
    <xf numFmtId="0" fontId="30" fillId="8" borderId="0" xfId="472" applyNumberFormat="1" applyFont="1" applyFill="1" applyBorder="1" applyAlignment="1" applyProtection="1">
      <alignment horizontal="center" vertical="center"/>
      <protection locked="0"/>
    </xf>
    <xf numFmtId="0" fontId="30" fillId="8" borderId="0" xfId="472" applyNumberFormat="1" applyFont="1" applyFill="1" applyBorder="1" applyAlignment="1" applyProtection="1">
      <alignment horizontal="left" vertical="center"/>
      <protection locked="0"/>
    </xf>
    <xf numFmtId="0" fontId="31" fillId="8" borderId="0" xfId="472" applyNumberFormat="1" applyFont="1" applyFill="1" applyBorder="1" applyAlignment="1" applyProtection="1">
      <alignment horizontal="center" vertical="center"/>
      <protection locked="0"/>
    </xf>
    <xf numFmtId="0" fontId="32" fillId="8" borderId="0" xfId="472" applyNumberFormat="1" applyFont="1" applyFill="1" applyBorder="1" applyAlignment="1" applyProtection="1">
      <alignment horizontal="left" vertical="center"/>
      <protection locked="0"/>
    </xf>
    <xf numFmtId="0" fontId="26" fillId="8" borderId="0" xfId="0" applyFont="1" applyFill="1" applyBorder="1" applyAlignment="1" applyProtection="1">
      <alignment horizontal="right" vertical="center"/>
      <protection locked="0"/>
    </xf>
    <xf numFmtId="49" fontId="33" fillId="8" borderId="0" xfId="474" applyNumberFormat="1" applyFont="1" applyFill="1" applyBorder="1" applyAlignment="1" applyProtection="1">
      <alignment horizontal="left" vertical="center"/>
      <protection locked="0"/>
    </xf>
    <xf numFmtId="0" fontId="34" fillId="8" borderId="0" xfId="0" applyFont="1" applyFill="1" applyBorder="1" applyAlignment="1" applyProtection="1">
      <alignment horizontal="left" vertical="center"/>
      <protection locked="0"/>
    </xf>
    <xf numFmtId="0" fontId="35" fillId="8" borderId="0" xfId="472" applyFont="1" applyFill="1" applyBorder="1" applyAlignment="1">
      <alignment horizontal="right" vertical="center"/>
    </xf>
    <xf numFmtId="14" fontId="36" fillId="8" borderId="0" xfId="0" applyNumberFormat="1" applyFont="1" applyFill="1" applyBorder="1" applyAlignment="1" applyProtection="1">
      <alignment horizontal="left" vertical="center"/>
      <protection locked="0"/>
    </xf>
    <xf numFmtId="0" fontId="36" fillId="8" borderId="0" xfId="0" applyFont="1" applyFill="1" applyBorder="1" applyAlignment="1" applyProtection="1">
      <alignment horizontal="right" vertical="center"/>
      <protection locked="0"/>
    </xf>
    <xf numFmtId="0" fontId="37" fillId="8" borderId="0" xfId="0" applyFont="1" applyFill="1" applyBorder="1" applyAlignment="1">
      <alignment horizontal="left" vertical="center"/>
    </xf>
    <xf numFmtId="0" fontId="37" fillId="8" borderId="0" xfId="0" applyFont="1" applyFill="1" applyAlignment="1">
      <alignment horizontal="left" vertical="center"/>
    </xf>
    <xf numFmtId="0" fontId="32" fillId="8" borderId="0" xfId="472" applyNumberFormat="1" applyFont="1" applyFill="1" applyBorder="1" applyAlignment="1" applyProtection="1">
      <alignment horizontal="center" vertical="center"/>
      <protection locked="0"/>
    </xf>
    <xf numFmtId="0" fontId="37" fillId="8" borderId="0" xfId="0" applyFont="1" applyFill="1" applyBorder="1" applyAlignment="1" applyProtection="1">
      <alignment horizontal="left" vertical="center"/>
      <protection locked="0"/>
    </xf>
    <xf numFmtId="0" fontId="38" fillId="8" borderId="0" xfId="472" applyNumberFormat="1" applyFont="1" applyFill="1" applyBorder="1" applyAlignment="1" applyProtection="1">
      <alignment horizontal="center" vertical="center"/>
      <protection locked="0"/>
    </xf>
    <xf numFmtId="182" fontId="36" fillId="8" borderId="0" xfId="474" applyNumberFormat="1" applyFont="1" applyFill="1" applyBorder="1" applyAlignment="1" applyProtection="1">
      <alignment horizontal="left" vertical="center"/>
      <protection locked="0"/>
    </xf>
    <xf numFmtId="0" fontId="39" fillId="8" borderId="14" xfId="0" applyFont="1" applyFill="1" applyBorder="1" applyAlignment="1" applyProtection="1">
      <alignment horizontal="center" vertical="center"/>
      <protection locked="0"/>
    </xf>
    <xf numFmtId="0" fontId="39" fillId="8" borderId="15" xfId="0" applyFont="1" applyFill="1" applyBorder="1" applyAlignment="1" applyProtection="1">
      <alignment horizontal="center" vertical="center"/>
      <protection locked="0"/>
    </xf>
    <xf numFmtId="0" fontId="13" fillId="8" borderId="16" xfId="473" applyNumberFormat="1" applyFont="1" applyFill="1" applyBorder="1" applyAlignment="1" applyProtection="1">
      <alignment horizontal="left" vertical="center"/>
      <protection locked="0"/>
    </xf>
    <xf numFmtId="0" fontId="13" fillId="8" borderId="6" xfId="473" applyNumberFormat="1" applyFont="1" applyFill="1" applyBorder="1" applyAlignment="1" applyProtection="1">
      <alignment horizontal="left" vertical="center"/>
      <protection locked="0"/>
    </xf>
    <xf numFmtId="43" fontId="40" fillId="8" borderId="8" xfId="0" applyNumberFormat="1" applyFont="1" applyFill="1" applyBorder="1" applyAlignment="1" applyProtection="1">
      <alignment horizontal="left" vertical="center" shrinkToFit="1"/>
    </xf>
    <xf numFmtId="43" fontId="40" fillId="8" borderId="9" xfId="0" applyNumberFormat="1" applyFont="1" applyFill="1" applyBorder="1" applyAlignment="1" applyProtection="1">
      <alignment horizontal="left" vertical="center" shrinkToFit="1"/>
    </xf>
    <xf numFmtId="43" fontId="40" fillId="8" borderId="17" xfId="0" applyNumberFormat="1" applyFont="1" applyFill="1" applyBorder="1" applyAlignment="1" applyProtection="1">
      <alignment horizontal="left" vertical="center" shrinkToFit="1"/>
    </xf>
    <xf numFmtId="0" fontId="13" fillId="8" borderId="18" xfId="473" applyNumberFormat="1" applyFont="1" applyFill="1" applyBorder="1" applyAlignment="1" applyProtection="1">
      <alignment horizontal="left" vertical="center"/>
      <protection locked="0"/>
    </xf>
    <xf numFmtId="0" fontId="13" fillId="8" borderId="19" xfId="473" applyNumberFormat="1" applyFont="1" applyFill="1" applyBorder="1" applyAlignment="1" applyProtection="1">
      <alignment horizontal="left" vertical="center"/>
      <protection locked="0"/>
    </xf>
    <xf numFmtId="176" fontId="40" fillId="8" borderId="20" xfId="0" applyNumberFormat="1" applyFont="1" applyFill="1" applyBorder="1" applyAlignment="1" applyProtection="1">
      <alignment horizontal="right" vertical="center" shrinkToFit="1"/>
    </xf>
    <xf numFmtId="176" fontId="40" fillId="8" borderId="21" xfId="0" applyNumberFormat="1" applyFont="1" applyFill="1" applyBorder="1" applyAlignment="1" applyProtection="1">
      <alignment horizontal="right" vertical="center" shrinkToFit="1"/>
    </xf>
    <xf numFmtId="176" fontId="40" fillId="8" borderId="22" xfId="0" applyNumberFormat="1" applyFont="1" applyFill="1" applyBorder="1" applyAlignment="1" applyProtection="1">
      <alignment horizontal="right" vertical="center" shrinkToFit="1"/>
    </xf>
    <xf numFmtId="0" fontId="25" fillId="8" borderId="16" xfId="474" applyNumberFormat="1" applyFont="1" applyFill="1" applyBorder="1" applyAlignment="1" applyProtection="1">
      <alignment horizontal="left" vertical="center"/>
      <protection locked="0"/>
    </xf>
    <xf numFmtId="0" fontId="25" fillId="8" borderId="6" xfId="474" applyNumberFormat="1" applyFont="1" applyFill="1" applyBorder="1" applyAlignment="1" applyProtection="1">
      <alignment horizontal="left" vertical="center"/>
      <protection locked="0"/>
    </xf>
    <xf numFmtId="43" fontId="41" fillId="8" borderId="6" xfId="0" applyNumberFormat="1" applyFont="1" applyFill="1" applyBorder="1" applyAlignment="1" applyProtection="1">
      <alignment horizontal="left" vertical="center" shrinkToFit="1"/>
    </xf>
    <xf numFmtId="0" fontId="25" fillId="8" borderId="23" xfId="474" applyNumberFormat="1" applyFont="1" applyFill="1" applyBorder="1" applyAlignment="1" applyProtection="1">
      <alignment horizontal="left" vertical="center"/>
      <protection locked="0"/>
    </xf>
    <xf numFmtId="0" fontId="25" fillId="8" borderId="24" xfId="474" applyNumberFormat="1" applyFont="1" applyFill="1" applyBorder="1" applyAlignment="1" applyProtection="1">
      <alignment horizontal="left" vertical="center"/>
      <protection locked="0"/>
    </xf>
    <xf numFmtId="0" fontId="25" fillId="8" borderId="25" xfId="474" applyNumberFormat="1" applyFont="1" applyFill="1" applyBorder="1" applyAlignment="1" applyProtection="1">
      <alignment horizontal="left" vertical="center"/>
      <protection locked="0"/>
    </xf>
    <xf numFmtId="43" fontId="41" fillId="8" borderId="26" xfId="0" applyNumberFormat="1" applyFont="1" applyFill="1" applyBorder="1" applyAlignment="1" applyProtection="1">
      <alignment horizontal="left" vertical="center" shrinkToFit="1"/>
      <protection locked="0"/>
    </xf>
    <xf numFmtId="0" fontId="14" fillId="8" borderId="27" xfId="163" applyFont="1" applyFill="1" applyBorder="1" applyAlignment="1">
      <alignment vertical="center"/>
    </xf>
    <xf numFmtId="0" fontId="14" fillId="8" borderId="7" xfId="163" applyFont="1" applyFill="1" applyBorder="1" applyAlignment="1">
      <alignment vertical="center"/>
    </xf>
    <xf numFmtId="43" fontId="41" fillId="8" borderId="7" xfId="0" applyNumberFormat="1" applyFont="1" applyFill="1" applyBorder="1" applyAlignment="1" applyProtection="1">
      <alignment horizontal="left" vertical="center" shrinkToFit="1"/>
      <protection locked="0"/>
    </xf>
    <xf numFmtId="0" fontId="14" fillId="8" borderId="8" xfId="163" applyFont="1" applyFill="1" applyBorder="1" applyAlignment="1">
      <alignment horizontal="left" vertical="center"/>
    </xf>
    <xf numFmtId="0" fontId="14" fillId="8" borderId="9" xfId="163" applyFont="1" applyFill="1" applyBorder="1" applyAlignment="1">
      <alignment horizontal="left" vertical="center"/>
    </xf>
    <xf numFmtId="0" fontId="14" fillId="8" borderId="10" xfId="163" applyFont="1" applyFill="1" applyBorder="1" applyAlignment="1">
      <alignment horizontal="left" vertical="center"/>
    </xf>
    <xf numFmtId="43" fontId="41" fillId="8" borderId="28" xfId="0" applyNumberFormat="1" applyFont="1" applyFill="1" applyBorder="1" applyAlignment="1" applyProtection="1">
      <alignment horizontal="left" vertical="center" shrinkToFit="1"/>
      <protection locked="0"/>
    </xf>
    <xf numFmtId="0" fontId="14" fillId="8" borderId="29" xfId="163" applyFont="1" applyFill="1" applyBorder="1" applyAlignment="1">
      <alignment vertical="center"/>
    </xf>
    <xf numFmtId="0" fontId="14" fillId="8" borderId="30" xfId="163" applyFont="1" applyFill="1" applyBorder="1" applyAlignment="1">
      <alignment vertical="center"/>
    </xf>
    <xf numFmtId="43" fontId="41" fillId="8" borderId="30" xfId="474" applyNumberFormat="1" applyFont="1" applyFill="1" applyBorder="1" applyAlignment="1" applyProtection="1">
      <alignment horizontal="left" vertical="center" shrinkToFit="1"/>
      <protection locked="0"/>
    </xf>
    <xf numFmtId="183" fontId="25" fillId="8" borderId="31" xfId="474" applyNumberFormat="1" applyFont="1" applyFill="1" applyBorder="1" applyAlignment="1" applyProtection="1">
      <alignment horizontal="left" vertical="center"/>
      <protection locked="0"/>
    </xf>
    <xf numFmtId="183" fontId="25" fillId="8" borderId="32" xfId="474" applyNumberFormat="1" applyFont="1" applyFill="1" applyBorder="1" applyAlignment="1" applyProtection="1">
      <alignment horizontal="left" vertical="center"/>
      <protection locked="0"/>
    </xf>
    <xf numFmtId="183" fontId="25" fillId="8" borderId="33" xfId="474" applyNumberFormat="1" applyFont="1" applyFill="1" applyBorder="1" applyAlignment="1" applyProtection="1">
      <alignment horizontal="left" vertical="center"/>
      <protection locked="0"/>
    </xf>
    <xf numFmtId="43" fontId="41" fillId="8" borderId="34" xfId="474" applyNumberFormat="1" applyFont="1" applyFill="1" applyBorder="1" applyAlignment="1" applyProtection="1">
      <alignment horizontal="left" vertical="center" shrinkToFit="1"/>
      <protection locked="0"/>
    </xf>
    <xf numFmtId="184" fontId="42" fillId="8" borderId="0" xfId="474" applyNumberFormat="1" applyFont="1" applyFill="1" applyBorder="1" applyAlignment="1" applyProtection="1">
      <alignment horizontal="left" vertical="center"/>
      <protection locked="0"/>
    </xf>
    <xf numFmtId="0" fontId="43" fillId="0" borderId="14" xfId="403" applyFont="1" applyFill="1" applyBorder="1" applyAlignment="1">
      <alignment horizontal="center" vertical="center" wrapText="1"/>
    </xf>
    <xf numFmtId="0" fontId="43" fillId="0" borderId="35" xfId="403" applyFont="1" applyFill="1" applyBorder="1" applyAlignment="1">
      <alignment horizontal="center" vertical="center" wrapText="1"/>
    </xf>
    <xf numFmtId="181" fontId="43" fillId="0" borderId="35" xfId="403" applyNumberFormat="1" applyFont="1" applyFill="1" applyBorder="1" applyAlignment="1">
      <alignment horizontal="center" vertical="center" wrapText="1"/>
    </xf>
    <xf numFmtId="185" fontId="43" fillId="0" borderId="35" xfId="403" applyNumberFormat="1" applyFont="1" applyFill="1" applyBorder="1" applyAlignment="1">
      <alignment horizontal="center" vertical="center" wrapText="1"/>
    </xf>
    <xf numFmtId="0" fontId="43" fillId="0" borderId="36" xfId="403" applyFont="1" applyFill="1" applyBorder="1" applyAlignment="1">
      <alignment horizontal="center" vertical="center" wrapText="1"/>
    </xf>
    <xf numFmtId="0" fontId="44" fillId="0" borderId="27" xfId="403" applyFont="1" applyFill="1" applyBorder="1" applyAlignment="1">
      <alignment horizontal="center" vertical="center"/>
    </xf>
    <xf numFmtId="0" fontId="44" fillId="0" borderId="7" xfId="403" applyFont="1" applyFill="1" applyBorder="1" applyAlignment="1">
      <alignment horizontal="center" vertical="center"/>
    </xf>
    <xf numFmtId="43" fontId="44" fillId="0" borderId="7" xfId="403" applyNumberFormat="1" applyFont="1" applyFill="1" applyBorder="1" applyAlignment="1">
      <alignment horizontal="left" vertical="center"/>
    </xf>
    <xf numFmtId="181" fontId="44" fillId="0" borderId="7" xfId="403" applyNumberFormat="1" applyFont="1" applyFill="1" applyBorder="1" applyAlignment="1">
      <alignment horizontal="center" vertical="center"/>
    </xf>
    <xf numFmtId="185" fontId="44" fillId="0" borderId="7" xfId="403" applyNumberFormat="1" applyFont="1" applyFill="1" applyBorder="1" applyAlignment="1">
      <alignment horizontal="right" vertical="center"/>
    </xf>
    <xf numFmtId="0" fontId="44" fillId="0" borderId="28" xfId="403" applyFont="1" applyFill="1" applyBorder="1" applyAlignment="1">
      <alignment horizontal="left" vertical="center"/>
    </xf>
    <xf numFmtId="43" fontId="44" fillId="0" borderId="7" xfId="403" applyNumberFormat="1" applyFont="1" applyFill="1" applyBorder="1" applyAlignment="1">
      <alignment vertical="center"/>
    </xf>
    <xf numFmtId="43" fontId="44" fillId="0" borderId="7" xfId="403" applyNumberFormat="1" applyFont="1" applyFill="1" applyBorder="1" applyAlignment="1">
      <alignment horizontal="center" vertical="center"/>
    </xf>
    <xf numFmtId="0" fontId="44" fillId="0" borderId="28" xfId="403" applyFont="1" applyFill="1" applyBorder="1" applyAlignment="1">
      <alignment vertical="center" wrapText="1"/>
    </xf>
    <xf numFmtId="43" fontId="45" fillId="0" borderId="7" xfId="403" applyNumberFormat="1" applyFont="1" applyFill="1" applyBorder="1" applyAlignment="1">
      <alignment horizontal="center" vertical="center"/>
    </xf>
    <xf numFmtId="185" fontId="45" fillId="0" borderId="7" xfId="403" applyNumberFormat="1" applyFont="1" applyFill="1" applyBorder="1" applyAlignment="1">
      <alignment horizontal="right" vertical="center"/>
    </xf>
    <xf numFmtId="0" fontId="44" fillId="0" borderId="28" xfId="403" applyFont="1" applyFill="1" applyBorder="1" applyAlignment="1">
      <alignment vertical="center"/>
    </xf>
    <xf numFmtId="0" fontId="44" fillId="0" borderId="7" xfId="403" applyFont="1" applyFill="1" applyBorder="1" applyAlignment="1">
      <alignment horizontal="center" vertical="center" wrapText="1"/>
    </xf>
    <xf numFmtId="10" fontId="45" fillId="0" borderId="7" xfId="403" applyNumberFormat="1" applyFont="1" applyFill="1" applyBorder="1" applyAlignment="1">
      <alignment horizontal="center" vertical="center"/>
    </xf>
    <xf numFmtId="0" fontId="46" fillId="9" borderId="27" xfId="403" applyFont="1" applyFill="1" applyBorder="1" applyAlignment="1">
      <alignment horizontal="center" vertical="center"/>
    </xf>
    <xf numFmtId="0" fontId="46" fillId="9" borderId="7" xfId="403" applyFont="1" applyFill="1" applyBorder="1" applyAlignment="1">
      <alignment horizontal="center" vertical="center"/>
    </xf>
    <xf numFmtId="185" fontId="46" fillId="9" borderId="7" xfId="403" applyNumberFormat="1" applyFont="1" applyFill="1" applyBorder="1" applyAlignment="1">
      <alignment vertical="center"/>
    </xf>
    <xf numFmtId="0" fontId="44" fillId="9" borderId="28" xfId="403" applyFont="1" applyFill="1" applyBorder="1" applyAlignment="1">
      <alignment horizontal="left" vertical="center"/>
    </xf>
    <xf numFmtId="0" fontId="46" fillId="9" borderId="29" xfId="403" applyFont="1" applyFill="1" applyBorder="1" applyAlignment="1">
      <alignment horizontal="center" vertical="center"/>
    </xf>
    <xf numFmtId="0" fontId="46" fillId="9" borderId="30" xfId="403" applyFont="1" applyFill="1" applyBorder="1" applyAlignment="1">
      <alignment horizontal="center" vertical="center"/>
    </xf>
    <xf numFmtId="185" fontId="46" fillId="9" borderId="30" xfId="403" applyNumberFormat="1" applyFont="1" applyFill="1" applyBorder="1" applyAlignment="1">
      <alignment vertical="center"/>
    </xf>
    <xf numFmtId="0" fontId="44" fillId="9" borderId="34" xfId="403" applyFont="1" applyFill="1" applyBorder="1" applyAlignment="1">
      <alignment horizontal="left" vertical="center"/>
    </xf>
    <xf numFmtId="182" fontId="36" fillId="8" borderId="0" xfId="474" applyNumberFormat="1" applyFont="1" applyFill="1" applyBorder="1" applyAlignment="1" applyProtection="1">
      <alignment horizontal="right" vertical="center"/>
      <protection locked="0"/>
    </xf>
    <xf numFmtId="0" fontId="20" fillId="8" borderId="0" xfId="472" applyFont="1" applyFill="1" applyBorder="1" applyAlignment="1">
      <alignment horizontal="right" vertical="center"/>
    </xf>
    <xf numFmtId="14" fontId="33" fillId="8" borderId="0" xfId="0" applyNumberFormat="1" applyFont="1" applyFill="1" applyBorder="1" applyAlignment="1" applyProtection="1">
      <alignment horizontal="left" vertical="center"/>
      <protection locked="0"/>
    </xf>
    <xf numFmtId="0" fontId="47" fillId="8" borderId="0" xfId="472" applyNumberFormat="1" applyFont="1" applyFill="1" applyBorder="1" applyAlignment="1" applyProtection="1">
      <alignment horizontal="right" vertical="center"/>
      <protection locked="0"/>
    </xf>
    <xf numFmtId="0" fontId="48" fillId="8" borderId="0" xfId="472" applyNumberFormat="1" applyFont="1" applyFill="1" applyBorder="1" applyAlignment="1" applyProtection="1">
      <alignment horizontal="left" vertical="center"/>
      <protection locked="0"/>
    </xf>
    <xf numFmtId="0" fontId="49" fillId="8" borderId="0" xfId="472" applyNumberFormat="1" applyFont="1" applyFill="1" applyBorder="1" applyAlignment="1" applyProtection="1">
      <alignment horizontal="right" vertical="center"/>
      <protection locked="0"/>
    </xf>
    <xf numFmtId="0" fontId="50" fillId="8" borderId="0" xfId="472" applyNumberFormat="1" applyFont="1" applyFill="1" applyBorder="1" applyAlignment="1" applyProtection="1">
      <alignment horizontal="left" vertical="center"/>
      <protection locked="0"/>
    </xf>
    <xf numFmtId="0" fontId="51" fillId="8" borderId="0" xfId="472" applyNumberFormat="1" applyFont="1" applyFill="1" applyBorder="1" applyAlignment="1" applyProtection="1">
      <alignment vertical="center"/>
      <protection locked="0"/>
    </xf>
    <xf numFmtId="0" fontId="52" fillId="8" borderId="0" xfId="472" applyNumberFormat="1" applyFont="1" applyFill="1" applyBorder="1" applyAlignment="1" applyProtection="1">
      <alignment horizontal="left" vertical="center"/>
      <protection locked="0"/>
    </xf>
    <xf numFmtId="0" fontId="53" fillId="8" borderId="0" xfId="472" applyNumberFormat="1" applyFont="1" applyFill="1" applyBorder="1" applyAlignment="1" applyProtection="1">
      <alignment vertical="center"/>
      <protection locked="0"/>
    </xf>
    <xf numFmtId="0" fontId="53" fillId="8" borderId="0" xfId="472" applyNumberFormat="1" applyFont="1" applyFill="1" applyBorder="1" applyAlignment="1" applyProtection="1">
      <alignment horizontal="left" vertical="center"/>
      <protection locked="0"/>
    </xf>
    <xf numFmtId="0" fontId="54" fillId="8" borderId="0" xfId="472" applyNumberFormat="1" applyFont="1" applyFill="1" applyBorder="1" applyAlignment="1" applyProtection="1">
      <alignment vertical="center"/>
      <protection locked="0"/>
    </xf>
    <xf numFmtId="0" fontId="55" fillId="8" borderId="0" xfId="144" applyNumberFormat="1" applyFont="1" applyFill="1" applyBorder="1" applyAlignment="1">
      <alignment vertical="center"/>
    </xf>
    <xf numFmtId="0" fontId="55" fillId="8" borderId="0" xfId="144" applyNumberFormat="1" applyFont="1" applyFill="1" applyBorder="1" applyAlignment="1">
      <alignment horizontal="left" vertical="center"/>
    </xf>
    <xf numFmtId="0" fontId="37" fillId="8" borderId="0" xfId="144" applyFont="1" applyFill="1" applyBorder="1" applyAlignment="1">
      <alignment vertical="center"/>
    </xf>
    <xf numFmtId="0" fontId="52" fillId="8" borderId="0" xfId="472" applyNumberFormat="1" applyFont="1" applyFill="1" applyBorder="1" applyAlignment="1" applyProtection="1">
      <alignment horizontal="right" vertical="center"/>
      <protection locked="0"/>
    </xf>
    <xf numFmtId="0" fontId="55" fillId="8" borderId="0" xfId="144" applyNumberFormat="1" applyFont="1" applyFill="1" applyBorder="1" applyAlignment="1">
      <alignment vertical="center" wrapText="1"/>
    </xf>
    <xf numFmtId="0" fontId="55" fillId="8" borderId="0" xfId="144" applyNumberFormat="1" applyFont="1" applyFill="1" applyBorder="1" applyAlignment="1">
      <alignment horizontal="left" vertical="center" wrapText="1"/>
    </xf>
    <xf numFmtId="0" fontId="37" fillId="8" borderId="0" xfId="144" applyFont="1" applyFill="1" applyBorder="1" applyAlignment="1">
      <alignment vertical="center" wrapText="1"/>
    </xf>
    <xf numFmtId="49" fontId="56" fillId="8" borderId="0" xfId="472" applyNumberFormat="1" applyFont="1" applyFill="1" applyBorder="1" applyAlignment="1" applyProtection="1">
      <alignment vertical="center"/>
      <protection locked="0"/>
    </xf>
    <xf numFmtId="0" fontId="57" fillId="8" borderId="0" xfId="0" applyFont="1" applyFill="1" applyBorder="1" applyAlignment="1">
      <alignment vertical="center"/>
    </xf>
    <xf numFmtId="0" fontId="58" fillId="8" borderId="0" xfId="0" applyFont="1" applyFill="1" applyAlignment="1">
      <alignment vertical="center"/>
    </xf>
    <xf numFmtId="49" fontId="42" fillId="8" borderId="0" xfId="474" applyNumberFormat="1" applyFont="1" applyFill="1" applyBorder="1" applyAlignment="1" applyProtection="1">
      <alignment horizontal="left" vertical="center"/>
      <protection locked="0"/>
    </xf>
    <xf numFmtId="49" fontId="35" fillId="8" borderId="0" xfId="472" applyNumberFormat="1" applyFont="1" applyFill="1" applyBorder="1" applyAlignment="1" applyProtection="1">
      <alignment horizontal="left" vertical="center"/>
      <protection locked="0"/>
    </xf>
    <xf numFmtId="49" fontId="20" fillId="8" borderId="0" xfId="472" applyNumberFormat="1" applyFont="1" applyFill="1" applyBorder="1" applyAlignment="1" applyProtection="1">
      <alignment horizontal="left" vertical="center"/>
      <protection locked="0"/>
    </xf>
    <xf numFmtId="49" fontId="36" fillId="8" borderId="0" xfId="474" applyNumberFormat="1" applyFont="1" applyFill="1" applyBorder="1" applyAlignment="1" applyProtection="1">
      <alignment horizontal="left" vertical="center"/>
      <protection locked="0"/>
    </xf>
    <xf numFmtId="49" fontId="26" fillId="8" borderId="0" xfId="474" applyNumberFormat="1" applyFont="1" applyFill="1" applyBorder="1" applyAlignment="1" applyProtection="1">
      <alignment horizontal="left" vertical="center"/>
      <protection locked="0"/>
    </xf>
    <xf numFmtId="0" fontId="14" fillId="8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center" vertical="center"/>
    </xf>
    <xf numFmtId="0" fontId="59" fillId="0" borderId="0" xfId="0" applyFont="1" applyFill="1" applyAlignment="1">
      <alignment vertical="center"/>
    </xf>
    <xf numFmtId="0" fontId="60" fillId="0" borderId="0" xfId="0" applyFont="1" applyFill="1" applyAlignment="1">
      <alignment vertical="center"/>
    </xf>
    <xf numFmtId="0" fontId="61" fillId="0" borderId="0" xfId="0" applyFont="1" applyFill="1" applyAlignment="1">
      <alignment vertical="center"/>
    </xf>
    <xf numFmtId="0" fontId="62" fillId="0" borderId="0" xfId="0" applyFont="1" applyFill="1" applyAlignment="1">
      <alignment vertical="center"/>
    </xf>
    <xf numFmtId="0" fontId="63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6" fillId="0" borderId="0" xfId="0" applyNumberFormat="1" applyFont="1" applyFill="1" applyAlignment="1">
      <alignment vertical="center"/>
    </xf>
    <xf numFmtId="0" fontId="64" fillId="0" borderId="0" xfId="0" applyFont="1" applyFill="1" applyAlignment="1">
      <alignment vertical="center"/>
    </xf>
    <xf numFmtId="0" fontId="19" fillId="10" borderId="7" xfId="0" applyFont="1" applyFill="1" applyBorder="1" applyAlignment="1">
      <alignment horizontal="center" vertical="center" wrapText="1"/>
    </xf>
    <xf numFmtId="0" fontId="23" fillId="10" borderId="7" xfId="0" applyFont="1" applyFill="1" applyBorder="1" applyAlignment="1">
      <alignment horizontal="center" vertical="center" wrapText="1"/>
    </xf>
    <xf numFmtId="0" fontId="63" fillId="0" borderId="7" xfId="0" applyFont="1" applyFill="1" applyBorder="1" applyAlignment="1"/>
    <xf numFmtId="0" fontId="21" fillId="10" borderId="7" xfId="0" applyFont="1" applyFill="1" applyBorder="1" applyAlignment="1">
      <alignment horizontal="center" vertical="center" wrapText="1"/>
    </xf>
    <xf numFmtId="0" fontId="65" fillId="0" borderId="7" xfId="0" applyFont="1" applyFill="1" applyBorder="1" applyAlignment="1">
      <alignment horizontal="center"/>
    </xf>
    <xf numFmtId="49" fontId="65" fillId="0" borderId="7" xfId="0" applyNumberFormat="1" applyFont="1" applyFill="1" applyBorder="1" applyAlignment="1">
      <alignment horizontal="center" vertical="center"/>
    </xf>
    <xf numFmtId="0" fontId="16" fillId="0" borderId="7" xfId="0" applyFont="1" applyFill="1" applyBorder="1" applyAlignment="1" applyProtection="1">
      <alignment horizontal="center" vertical="center"/>
      <protection locked="0"/>
    </xf>
    <xf numFmtId="49" fontId="65" fillId="0" borderId="7" xfId="0" applyNumberFormat="1" applyFont="1" applyFill="1" applyBorder="1" applyAlignment="1">
      <alignment horizontal="center"/>
    </xf>
    <xf numFmtId="0" fontId="66" fillId="0" borderId="7" xfId="0" applyFont="1" applyFill="1" applyBorder="1" applyAlignment="1">
      <alignment horizontal="center" vertical="center"/>
    </xf>
    <xf numFmtId="49" fontId="67" fillId="0" borderId="7" xfId="0" applyNumberFormat="1" applyFont="1" applyFill="1" applyBorder="1" applyAlignment="1">
      <alignment horizontal="center" vertical="center"/>
    </xf>
    <xf numFmtId="0" fontId="68" fillId="0" borderId="7" xfId="0" applyFont="1" applyFill="1" applyBorder="1" applyAlignment="1">
      <alignment horizontal="center"/>
    </xf>
    <xf numFmtId="49" fontId="68" fillId="0" borderId="7" xfId="0" applyNumberFormat="1" applyFont="1" applyFill="1" applyBorder="1" applyAlignment="1">
      <alignment horizontal="center" vertical="center"/>
    </xf>
    <xf numFmtId="0" fontId="69" fillId="0" borderId="7" xfId="0" applyFont="1" applyFill="1" applyBorder="1" applyAlignment="1" applyProtection="1">
      <alignment horizontal="center" vertical="center"/>
      <protection locked="0"/>
    </xf>
    <xf numFmtId="49" fontId="68" fillId="0" borderId="7" xfId="0" applyNumberFormat="1" applyFont="1" applyFill="1" applyBorder="1" applyAlignment="1">
      <alignment horizontal="center"/>
    </xf>
    <xf numFmtId="0" fontId="70" fillId="0" borderId="7" xfId="0" applyFont="1" applyFill="1" applyBorder="1" applyAlignment="1">
      <alignment horizontal="center" vertical="center"/>
    </xf>
    <xf numFmtId="49" fontId="71" fillId="0" borderId="7" xfId="0" applyNumberFormat="1" applyFont="1" applyFill="1" applyBorder="1" applyAlignment="1">
      <alignment horizontal="center" vertical="center"/>
    </xf>
    <xf numFmtId="0" fontId="72" fillId="0" borderId="37" xfId="0" applyFont="1" applyFill="1" applyBorder="1" applyAlignment="1">
      <alignment horizontal="center"/>
    </xf>
    <xf numFmtId="49" fontId="72" fillId="0" borderId="37" xfId="0" applyNumberFormat="1" applyFont="1" applyFill="1" applyBorder="1" applyAlignment="1">
      <alignment horizontal="center" vertical="center"/>
    </xf>
    <xf numFmtId="0" fontId="16" fillId="0" borderId="6" xfId="0" applyFont="1" applyFill="1" applyBorder="1" applyAlignment="1" applyProtection="1">
      <alignment horizontal="center" vertical="center"/>
      <protection locked="0"/>
    </xf>
    <xf numFmtId="49" fontId="72" fillId="0" borderId="6" xfId="0" applyNumberFormat="1" applyFont="1" applyFill="1" applyBorder="1" applyAlignment="1">
      <alignment horizontal="center"/>
    </xf>
    <xf numFmtId="49" fontId="73" fillId="0" borderId="38" xfId="0" applyNumberFormat="1" applyFont="1" applyFill="1" applyBorder="1" applyAlignment="1">
      <alignment horizontal="center" vertical="center"/>
    </xf>
    <xf numFmtId="0" fontId="74" fillId="0" borderId="6" xfId="0" applyFont="1" applyFill="1" applyBorder="1" applyAlignment="1">
      <alignment horizontal="center" vertical="center"/>
    </xf>
    <xf numFmtId="49" fontId="75" fillId="0" borderId="6" xfId="0" applyNumberFormat="1" applyFont="1" applyFill="1" applyBorder="1" applyAlignment="1">
      <alignment horizontal="center" vertical="center"/>
    </xf>
    <xf numFmtId="49" fontId="73" fillId="0" borderId="6" xfId="0" applyNumberFormat="1" applyFont="1" applyFill="1" applyBorder="1" applyAlignment="1">
      <alignment horizontal="center"/>
    </xf>
    <xf numFmtId="0" fontId="19" fillId="10" borderId="39" xfId="0" applyFont="1" applyFill="1" applyBorder="1" applyAlignment="1">
      <alignment horizontal="left" vertical="center"/>
    </xf>
    <xf numFmtId="4" fontId="19" fillId="10" borderId="40" xfId="0" applyNumberFormat="1" applyFont="1" applyFill="1" applyBorder="1" applyAlignment="1">
      <alignment horizontal="right" vertical="center"/>
    </xf>
    <xf numFmtId="4" fontId="19" fillId="10" borderId="6" xfId="0" applyNumberFormat="1" applyFont="1" applyFill="1" applyBorder="1" applyAlignment="1">
      <alignment horizontal="right" vertical="center"/>
    </xf>
    <xf numFmtId="4" fontId="19" fillId="10" borderId="38" xfId="0" applyNumberFormat="1" applyFont="1" applyFill="1" applyBorder="1" applyAlignment="1">
      <alignment horizontal="right" vertical="center"/>
    </xf>
    <xf numFmtId="0" fontId="19" fillId="10" borderId="41" xfId="0" applyFont="1" applyFill="1" applyBorder="1" applyAlignment="1">
      <alignment horizontal="left" vertical="center"/>
    </xf>
    <xf numFmtId="4" fontId="19" fillId="10" borderId="42" xfId="0" applyNumberFormat="1" applyFont="1" applyFill="1" applyBorder="1" applyAlignment="1">
      <alignment horizontal="right" vertical="center"/>
    </xf>
    <xf numFmtId="4" fontId="19" fillId="10" borderId="43" xfId="0" applyNumberFormat="1" applyFont="1" applyFill="1" applyBorder="1" applyAlignment="1">
      <alignment horizontal="right" vertical="center"/>
    </xf>
    <xf numFmtId="4" fontId="19" fillId="10" borderId="44" xfId="0" applyNumberFormat="1" applyFont="1" applyFill="1" applyBorder="1" applyAlignment="1">
      <alignment horizontal="right" vertical="center"/>
    </xf>
    <xf numFmtId="0" fontId="6" fillId="0" borderId="0" xfId="0" applyFont="1" applyFill="1" applyAlignment="1"/>
    <xf numFmtId="0" fontId="74" fillId="0" borderId="0" xfId="0" applyFont="1" applyFill="1" applyAlignment="1">
      <alignment vertical="center"/>
    </xf>
    <xf numFmtId="0" fontId="22" fillId="10" borderId="7" xfId="0" applyFont="1" applyFill="1" applyBorder="1" applyAlignment="1">
      <alignment horizontal="center" vertical="center" wrapText="1"/>
    </xf>
    <xf numFmtId="0" fontId="20" fillId="10" borderId="7" xfId="0" applyFont="1" applyFill="1" applyBorder="1" applyAlignment="1">
      <alignment horizontal="center" vertical="center" wrapText="1"/>
    </xf>
    <xf numFmtId="0" fontId="72" fillId="0" borderId="38" xfId="0" applyFont="1" applyFill="1" applyBorder="1" applyAlignment="1">
      <alignment horizontal="center"/>
    </xf>
    <xf numFmtId="0" fontId="73" fillId="0" borderId="38" xfId="0" applyFont="1" applyFill="1" applyBorder="1" applyAlignment="1">
      <alignment horizontal="center"/>
    </xf>
    <xf numFmtId="4" fontId="19" fillId="10" borderId="45" xfId="0" applyNumberFormat="1" applyFont="1" applyFill="1" applyBorder="1" applyAlignment="1">
      <alignment horizontal="right" vertical="center"/>
    </xf>
    <xf numFmtId="0" fontId="72" fillId="3" borderId="38" xfId="0" applyFont="1" applyFill="1" applyBorder="1" applyAlignment="1">
      <alignment horizontal="center"/>
    </xf>
    <xf numFmtId="0" fontId="73" fillId="3" borderId="38" xfId="0" applyFont="1" applyFill="1" applyBorder="1" applyAlignment="1">
      <alignment horizontal="center"/>
    </xf>
    <xf numFmtId="0" fontId="68" fillId="3" borderId="7" xfId="0" applyFont="1" applyFill="1" applyBorder="1" applyAlignment="1">
      <alignment horizontal="center"/>
    </xf>
    <xf numFmtId="0" fontId="59" fillId="0" borderId="7" xfId="0" applyFont="1" applyFill="1" applyBorder="1" applyAlignment="1">
      <alignment vertical="center"/>
    </xf>
    <xf numFmtId="0" fontId="60" fillId="0" borderId="7" xfId="0" applyFont="1" applyFill="1" applyBorder="1" applyAlignment="1">
      <alignment vertical="center"/>
    </xf>
    <xf numFmtId="0" fontId="61" fillId="0" borderId="38" xfId="0" applyFont="1" applyFill="1" applyBorder="1" applyAlignment="1">
      <alignment vertical="center"/>
    </xf>
    <xf numFmtId="0" fontId="19" fillId="10" borderId="7" xfId="0" applyNumberFormat="1" applyFont="1" applyFill="1" applyBorder="1" applyAlignment="1">
      <alignment horizontal="center" vertical="center" wrapText="1"/>
    </xf>
    <xf numFmtId="0" fontId="20" fillId="10" borderId="7" xfId="0" applyNumberFormat="1" applyFont="1" applyFill="1" applyBorder="1" applyAlignment="1">
      <alignment horizontal="center" vertical="center" wrapText="1"/>
    </xf>
    <xf numFmtId="186" fontId="76" fillId="0" borderId="7" xfId="0" applyNumberFormat="1" applyFont="1" applyFill="1" applyBorder="1" applyAlignment="1">
      <alignment horizontal="left" vertical="center"/>
    </xf>
    <xf numFmtId="0" fontId="65" fillId="0" borderId="7" xfId="0" applyNumberFormat="1" applyFont="1" applyFill="1" applyBorder="1" applyAlignment="1">
      <alignment horizontal="center"/>
    </xf>
    <xf numFmtId="186" fontId="77" fillId="0" borderId="7" xfId="0" applyNumberFormat="1" applyFont="1" applyFill="1" applyBorder="1" applyAlignment="1">
      <alignment horizontal="left" vertical="center"/>
    </xf>
    <xf numFmtId="0" fontId="68" fillId="0" borderId="7" xfId="0" applyNumberFormat="1" applyFont="1" applyFill="1" applyBorder="1" applyAlignment="1">
      <alignment horizontal="center"/>
    </xf>
    <xf numFmtId="49" fontId="72" fillId="0" borderId="38" xfId="0" applyNumberFormat="1" applyFont="1" applyFill="1" applyBorder="1" applyAlignment="1">
      <alignment horizontal="center" vertical="center"/>
    </xf>
    <xf numFmtId="186" fontId="78" fillId="0" borderId="38" xfId="0" applyNumberFormat="1" applyFont="1" applyFill="1" applyBorder="1" applyAlignment="1">
      <alignment horizontal="left" vertical="center"/>
    </xf>
    <xf numFmtId="0" fontId="72" fillId="0" borderId="38" xfId="0" applyNumberFormat="1" applyFont="1" applyFill="1" applyBorder="1" applyAlignment="1">
      <alignment horizontal="center"/>
    </xf>
    <xf numFmtId="0" fontId="19" fillId="10" borderId="45" xfId="0" applyNumberFormat="1" applyFont="1" applyFill="1" applyBorder="1" applyAlignment="1">
      <alignment horizontal="right" vertical="center"/>
    </xf>
    <xf numFmtId="0" fontId="6" fillId="0" borderId="0" xfId="0" applyNumberFormat="1" applyFont="1" applyFill="1" applyAlignment="1"/>
    <xf numFmtId="0" fontId="79" fillId="10" borderId="10" xfId="0" applyFont="1" applyFill="1" applyBorder="1" applyAlignment="1">
      <alignment horizontal="center" vertical="center" wrapText="1"/>
    </xf>
    <xf numFmtId="4" fontId="26" fillId="0" borderId="7" xfId="0" applyNumberFormat="1" applyFont="1" applyFill="1" applyBorder="1" applyAlignment="1">
      <alignment horizontal="center" vertical="center" wrapText="1"/>
    </xf>
    <xf numFmtId="0" fontId="26" fillId="0" borderId="7" xfId="0" applyNumberFormat="1" applyFont="1" applyFill="1" applyBorder="1" applyAlignment="1">
      <alignment horizontal="center" vertical="center" wrapText="1"/>
    </xf>
    <xf numFmtId="49" fontId="44" fillId="0" borderId="10" xfId="0" applyNumberFormat="1" applyFont="1" applyFill="1" applyBorder="1" applyAlignment="1">
      <alignment horizontal="center"/>
    </xf>
    <xf numFmtId="4" fontId="80" fillId="0" borderId="7" xfId="0" applyNumberFormat="1" applyFont="1" applyFill="1" applyBorder="1" applyAlignment="1">
      <alignment horizontal="center" vertical="center" wrapText="1"/>
    </xf>
    <xf numFmtId="0" fontId="80" fillId="0" borderId="7" xfId="0" applyNumberFormat="1" applyFont="1" applyFill="1" applyBorder="1" applyAlignment="1">
      <alignment horizontal="center" vertical="center" wrapText="1"/>
    </xf>
    <xf numFmtId="49" fontId="81" fillId="0" borderId="10" xfId="0" applyNumberFormat="1" applyFont="1" applyFill="1" applyBorder="1" applyAlignment="1">
      <alignment horizontal="center"/>
    </xf>
    <xf numFmtId="4" fontId="20" fillId="0" borderId="38" xfId="0" applyNumberFormat="1" applyFont="1" applyFill="1" applyBorder="1" applyAlignment="1">
      <alignment horizontal="center" vertical="center" wrapText="1"/>
    </xf>
    <xf numFmtId="4" fontId="20" fillId="0" borderId="37" xfId="0" applyNumberFormat="1" applyFont="1" applyFill="1" applyBorder="1" applyAlignment="1">
      <alignment horizontal="center" vertical="center" wrapText="1"/>
    </xf>
    <xf numFmtId="0" fontId="20" fillId="0" borderId="38" xfId="0" applyNumberFormat="1" applyFont="1" applyFill="1" applyBorder="1" applyAlignment="1">
      <alignment horizontal="center" vertical="center" wrapText="1"/>
    </xf>
    <xf numFmtId="49" fontId="82" fillId="0" borderId="10" xfId="0" applyNumberFormat="1" applyFont="1" applyFill="1" applyBorder="1" applyAlignment="1">
      <alignment horizontal="center"/>
    </xf>
    <xf numFmtId="4" fontId="79" fillId="10" borderId="7" xfId="0" applyNumberFormat="1" applyFont="1" applyFill="1" applyBorder="1" applyAlignment="1">
      <alignment horizontal="right" vertical="center"/>
    </xf>
    <xf numFmtId="4" fontId="19" fillId="10" borderId="38" xfId="0" applyNumberFormat="1" applyFont="1" applyFill="1" applyBorder="1" applyAlignment="1">
      <alignment horizontal="center" vertical="center"/>
    </xf>
    <xf numFmtId="4" fontId="79" fillId="10" borderId="4" xfId="0" applyNumberFormat="1" applyFont="1" applyFill="1" applyBorder="1" applyAlignment="1">
      <alignment horizontal="right" vertical="center"/>
    </xf>
    <xf numFmtId="0" fontId="64" fillId="0" borderId="0" xfId="0" applyFont="1" applyFill="1" applyAlignment="1"/>
    <xf numFmtId="177" fontId="6" fillId="0" borderId="0" xfId="0" applyNumberFormat="1" applyFont="1" applyFill="1" applyAlignment="1">
      <alignment horizontal="center" vertical="center"/>
    </xf>
    <xf numFmtId="177" fontId="6" fillId="0" borderId="0" xfId="0" applyNumberFormat="1" applyFont="1" applyFill="1" applyAlignment="1">
      <alignment vertical="center"/>
    </xf>
    <xf numFmtId="0" fontId="65" fillId="0" borderId="46" xfId="0" applyFont="1" applyFill="1" applyBorder="1" applyAlignment="1">
      <alignment horizontal="center"/>
    </xf>
    <xf numFmtId="0" fontId="65" fillId="0" borderId="47" xfId="0" applyFont="1" applyFill="1" applyBorder="1" applyAlignment="1">
      <alignment horizontal="center"/>
    </xf>
    <xf numFmtId="49" fontId="65" fillId="0" borderId="47" xfId="0" applyNumberFormat="1" applyFont="1" applyFill="1" applyBorder="1" applyAlignment="1">
      <alignment horizontal="center" vertical="center"/>
    </xf>
    <xf numFmtId="0" fontId="34" fillId="0" borderId="0" xfId="0" applyFont="1" applyFill="1" applyAlignment="1">
      <alignment vertical="center"/>
    </xf>
    <xf numFmtId="0" fontId="83" fillId="0" borderId="0" xfId="0" applyFont="1" applyFill="1" applyAlignment="1">
      <alignment vertical="center"/>
    </xf>
    <xf numFmtId="49" fontId="67" fillId="0" borderId="7" xfId="0" applyNumberFormat="1" applyFont="1" applyFill="1" applyBorder="1" applyAlignment="1" quotePrefix="1">
      <alignment horizontal="center" vertical="center"/>
    </xf>
    <xf numFmtId="49" fontId="71" fillId="0" borderId="7" xfId="0" applyNumberFormat="1" applyFont="1" applyFill="1" applyBorder="1" applyAlignment="1" quotePrefix="1">
      <alignment horizontal="center" vertical="center"/>
    </xf>
    <xf numFmtId="0" fontId="0" fillId="0" borderId="0" xfId="0" applyNumberFormat="1" quotePrefix="1">
      <alignment vertical="center"/>
    </xf>
    <xf numFmtId="0" fontId="15" fillId="0" borderId="7" xfId="312" applyFont="1" applyFill="1" applyBorder="1" applyAlignment="1" quotePrefix="1">
      <alignment horizontal="center" vertical="center" wrapText="1"/>
    </xf>
  </cellXfs>
  <cellStyles count="49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强调文字颜色 2 3 2" xfId="49"/>
    <cellStyle name="输出 3" xfId="50"/>
    <cellStyle name="链接单元格 5" xfId="51"/>
    <cellStyle name="强调文字颜色 2 5" xfId="52"/>
    <cellStyle name="汇总 4 2" xfId="53"/>
    <cellStyle name="_ET_STYLE_NoName_-01_ 3 3 3 2" xfId="54"/>
    <cellStyle name="链接单元格 3 2" xfId="55"/>
    <cellStyle name="20% - 强调文字颜色 1 2" xfId="56"/>
    <cellStyle name="常规 3 4 3" xfId="57"/>
    <cellStyle name="常规 7 3" xfId="58"/>
    <cellStyle name="计算 2" xfId="59"/>
    <cellStyle name="60% - 强调文字颜色 6 3 2" xfId="60"/>
    <cellStyle name="常规 6" xfId="61"/>
    <cellStyle name="60% - 强调文字颜色 2 3" xfId="62"/>
    <cellStyle name="20% - 强调文字颜色 4 5" xfId="63"/>
    <cellStyle name="解释性文本 2 2" xfId="64"/>
    <cellStyle name="注释 5" xfId="65"/>
    <cellStyle name="60% - 强调文字颜色 2 2 2" xfId="66"/>
    <cellStyle name="常规 5 2" xfId="67"/>
    <cellStyle name="强调文字颜色 1 2 3" xfId="68"/>
    <cellStyle name="百分比 4" xfId="69"/>
    <cellStyle name="0,0_x000d__x000a_NA_x000d__x000a_" xfId="70"/>
    <cellStyle name="注释 3 2 2" xfId="71"/>
    <cellStyle name="输出 2 4 2" xfId="72"/>
    <cellStyle name="40% - 强调文字颜色 4 2" xfId="73"/>
    <cellStyle name="计算 3 2" xfId="74"/>
    <cellStyle name="常规 8 3" xfId="75"/>
    <cellStyle name="注释 2 3" xfId="76"/>
    <cellStyle name="40% - 强调文字颜色 6 5" xfId="77"/>
    <cellStyle name="60% - 强调文字颜色 4 2 3" xfId="78"/>
    <cellStyle name="20% - 强调文字颜色 3 3" xfId="79"/>
    <cellStyle name="输出 3 3" xfId="80"/>
    <cellStyle name="常规 8 2" xfId="81"/>
    <cellStyle name="输出 5" xfId="82"/>
    <cellStyle name=" 3]_x000d__x000a_Zoomed=1_x000d__x000a_Row=128_x000d__x000a_Column=101_x000d__x000a_Height=300_x000d__x000a_Width=301_x000d__x000a_FontName=System_x000d__x000a_FontStyle=1_x000d__x000a_FontSize=12_x000d__x000a_PrtFontNa" xfId="83"/>
    <cellStyle name="检查单元格 3 2" xfId="84"/>
    <cellStyle name="链接单元格 3" xfId="85"/>
    <cellStyle name="注释 2 3 3" xfId="86"/>
    <cellStyle name="??&amp;O龡&amp;H?_x0008_??_x0007__x0001__x0001_" xfId="87"/>
    <cellStyle name="40% - 强调文字颜色 4 3 2" xfId="88"/>
    <cellStyle name="汇总 3 3" xfId="89"/>
    <cellStyle name="链接单元格 4" xfId="90"/>
    <cellStyle name="输出 2" xfId="91"/>
    <cellStyle name="汇总 3 2 2" xfId="92"/>
    <cellStyle name="输出 4" xfId="93"/>
    <cellStyle name="计算 3" xfId="94"/>
    <cellStyle name="计算 4" xfId="95"/>
    <cellStyle name="注释 3 2 3" xfId="96"/>
    <cellStyle name="20% - 强调文字颜色 3 3 2" xfId="97"/>
    <cellStyle name="计算 5" xfId="98"/>
    <cellStyle name="适中 2" xfId="99"/>
    <cellStyle name="输出 3 3 2" xfId="100"/>
    <cellStyle name="_ET_STYLE_NoName_00_" xfId="101"/>
    <cellStyle name="标题 4 2 2" xfId="102"/>
    <cellStyle name="20% - 强调文字颜色 1 2 3" xfId="103"/>
    <cellStyle name="_ET_STYLE_NoName_00__南区长促工资1004_5" xfId="104"/>
    <cellStyle name="40% - 强调文字颜色 2 2" xfId="105"/>
    <cellStyle name="20% - 强调文字颜色 1 4" xfId="106"/>
    <cellStyle name="20% - 强调文字颜色 1 3" xfId="107"/>
    <cellStyle name="??_x005f_x0011_?_x005f_x0010_?" xfId="108"/>
    <cellStyle name="差 2 3" xfId="109"/>
    <cellStyle name="_ET_STYLE_NoName_00__北区长促工资1004_3" xfId="110"/>
    <cellStyle name="20% - 强调文字颜色 1 3 2" xfId="111"/>
    <cellStyle name="0,0_x000a__x000a_NA_x000a__x000a_" xfId="112"/>
    <cellStyle name="强调文字颜色 5 5" xfId="113"/>
    <cellStyle name="20% - 强调文字颜色 1 2 2" xfId="114"/>
    <cellStyle name="常规 2 3 2 3" xfId="115"/>
    <cellStyle name="20% - 强调文字颜色 1 5" xfId="116"/>
    <cellStyle name="好 2" xfId="117"/>
    <cellStyle name="20% - 强调文字颜色 2 2" xfId="118"/>
    <cellStyle name="输出 2 2" xfId="119"/>
    <cellStyle name="20% - 强调文字颜色 2 2 2" xfId="120"/>
    <cellStyle name="输出 2 2 2" xfId="121"/>
    <cellStyle name="20% - 强调文字颜色 2 2 3" xfId="122"/>
    <cellStyle name="输出 2 2 3" xfId="123"/>
    <cellStyle name="20% - 强调文字颜色 2 3" xfId="124"/>
    <cellStyle name="输出 2 3" xfId="125"/>
    <cellStyle name="20% - 强调文字颜色 2 3 2" xfId="126"/>
    <cellStyle name="输出 2 3 2" xfId="127"/>
    <cellStyle name="20% - 强调文字颜色 2 4" xfId="128"/>
    <cellStyle name="输出 2 4" xfId="129"/>
    <cellStyle name="20% - 强调文字颜色 2 5" xfId="130"/>
    <cellStyle name="输出 2 5" xfId="131"/>
    <cellStyle name="20% - 强调文字颜色 3 2" xfId="132"/>
    <cellStyle name="输出 3 2" xfId="133"/>
    <cellStyle name="20% - 强调文字颜色 3 2 2" xfId="134"/>
    <cellStyle name="输出 3 2 2" xfId="135"/>
    <cellStyle name="20% - 强调文字颜色 3 2 3" xfId="136"/>
    <cellStyle name="输出 3 2 3" xfId="137"/>
    <cellStyle name="20% - 强调文字颜色 3 4" xfId="138"/>
    <cellStyle name="60% - 强调文字颜色 1 2" xfId="139"/>
    <cellStyle name="输出 3 4" xfId="140"/>
    <cellStyle name="20% - 强调文字颜色 3 5" xfId="141"/>
    <cellStyle name="60% - 强调文字颜色 1 3" xfId="142"/>
    <cellStyle name="20% - 强调文字颜色 4 2" xfId="143"/>
    <cellStyle name="常规 3" xfId="144"/>
    <cellStyle name="输出 4 2" xfId="145"/>
    <cellStyle name="20% - 强调文字颜色 4 2 2" xfId="146"/>
    <cellStyle name="常规 3 2" xfId="147"/>
    <cellStyle name="输出 4 2 2" xfId="148"/>
    <cellStyle name="20% - 强调文字颜色 4 2 3" xfId="149"/>
    <cellStyle name="常规 3 3" xfId="150"/>
    <cellStyle name="输入 4 2" xfId="151"/>
    <cellStyle name="20% - 强调文字颜色 4 3" xfId="152"/>
    <cellStyle name="常规 4" xfId="153"/>
    <cellStyle name="输出 4 3" xfId="154"/>
    <cellStyle name="20% - 强调文字颜色 4 3 2" xfId="155"/>
    <cellStyle name="常规 4 2" xfId="156"/>
    <cellStyle name="20% - 强调文字颜色 4 4" xfId="157"/>
    <cellStyle name="60% - 强调文字颜色 2 2" xfId="158"/>
    <cellStyle name="常规 5" xfId="159"/>
    <cellStyle name="20% - 强调文字颜色 5 2" xfId="160"/>
    <cellStyle name="输出 5 2" xfId="161"/>
    <cellStyle name="20% - 强调文字颜色 5 2 2" xfId="162"/>
    <cellStyle name="3232" xfId="163"/>
    <cellStyle name="输出 5 2 2" xfId="164"/>
    <cellStyle name="20% - 强调文字颜色 5 2 3" xfId="165"/>
    <cellStyle name="20% - 强调文字颜色 5 3" xfId="166"/>
    <cellStyle name="输出 5 3" xfId="167"/>
    <cellStyle name="20% - 强调文字颜色 5 3 2" xfId="168"/>
    <cellStyle name="百分比 3" xfId="169"/>
    <cellStyle name="差 5" xfId="170"/>
    <cellStyle name="20% - 强调文字颜色 5 4" xfId="171"/>
    <cellStyle name="60% - 强调文字颜色 3 2" xfId="172"/>
    <cellStyle name="20% - 强调文字颜色 5 5" xfId="173"/>
    <cellStyle name="60% - 强调文字颜色 3 3" xfId="174"/>
    <cellStyle name="20% - 强调文字颜色 6 2" xfId="175"/>
    <cellStyle name="20% - 强调文字颜色 6 2 2" xfId="176"/>
    <cellStyle name="40% - 强调文字颜色 4 4" xfId="177"/>
    <cellStyle name="20% - 强调文字颜色 6 2 3" xfId="178"/>
    <cellStyle name="40% - 强调文字颜色 4 5" xfId="179"/>
    <cellStyle name="20% - 强调文字颜色 6 3" xfId="180"/>
    <cellStyle name="20% - 强调文字颜色 6 3 2" xfId="181"/>
    <cellStyle name="40% - 强调文字颜色 5 4" xfId="182"/>
    <cellStyle name="20% - 强调文字颜色 6 4" xfId="183"/>
    <cellStyle name="60% - 强调文字颜色 4 2" xfId="184"/>
    <cellStyle name="注释 3 2 2 2" xfId="185"/>
    <cellStyle name="20% - 强调文字颜色 6 5" xfId="186"/>
    <cellStyle name="40% - 强调文字颜色 5 2 2" xfId="187"/>
    <cellStyle name="60% - 强调文字颜色 4 3" xfId="188"/>
    <cellStyle name="40% - 强调文字颜色 1 2" xfId="189"/>
    <cellStyle name="40% - 强调文字颜色 1 2 2" xfId="190"/>
    <cellStyle name="40% - 强调文字颜色 1 2 3" xfId="191"/>
    <cellStyle name="40% - 强调文字颜色 1 3" xfId="192"/>
    <cellStyle name="常规 9 2" xfId="193"/>
    <cellStyle name="40% - 强调文字颜色 1 3 2" xfId="194"/>
    <cellStyle name="40% - 强调文字颜色 1 4" xfId="195"/>
    <cellStyle name="40% - 强调文字颜色 1 5" xfId="196"/>
    <cellStyle name="40% - 强调文字颜色 2 2 2" xfId="197"/>
    <cellStyle name="40% - 强调文字颜色 2 2 3" xfId="198"/>
    <cellStyle name="40% - 强调文字颜色 2 3" xfId="199"/>
    <cellStyle name="40% - 强调文字颜色 2 3 2" xfId="200"/>
    <cellStyle name="40% - 强调文字颜色 2 4" xfId="201"/>
    <cellStyle name="40% - 强调文字颜色 2 5" xfId="202"/>
    <cellStyle name="40% - 强调文字颜色 3 2" xfId="203"/>
    <cellStyle name="计算 2 2" xfId="204"/>
    <cellStyle name="40% - 强调文字颜色 3 2 2" xfId="205"/>
    <cellStyle name="计算 2 2 2" xfId="206"/>
    <cellStyle name="40% - 强调文字颜色 3 2 3" xfId="207"/>
    <cellStyle name="40% - 强调文字颜色 3 3" xfId="208"/>
    <cellStyle name="计算 2 3" xfId="209"/>
    <cellStyle name="40% - 强调文字颜色 3 3 2" xfId="210"/>
    <cellStyle name="常规 25" xfId="211"/>
    <cellStyle name="计算 2 3 2" xfId="212"/>
    <cellStyle name="40% - 强调文字颜色 3 4" xfId="213"/>
    <cellStyle name="计算 2 4" xfId="214"/>
    <cellStyle name="40% - 强调文字颜色 3 5" xfId="215"/>
    <cellStyle name="40% - 强调文字颜色 4 2 2" xfId="216"/>
    <cellStyle name="标题 4 4" xfId="217"/>
    <cellStyle name="汇总 2 3" xfId="218"/>
    <cellStyle name="计算 3 2 2" xfId="219"/>
    <cellStyle name="检查单元格 2" xfId="220"/>
    <cellStyle name="40% - 强调文字颜色 4 2 3" xfId="221"/>
    <cellStyle name="标题 4 5" xfId="222"/>
    <cellStyle name="汇总 2 4" xfId="223"/>
    <cellStyle name="检查单元格 3" xfId="224"/>
    <cellStyle name="40% - 强调文字颜色 4 3" xfId="225"/>
    <cellStyle name="计算 3 3" xfId="226"/>
    <cellStyle name="输入 2 2 2" xfId="227"/>
    <cellStyle name="40% - 强调文字颜色 5 2" xfId="228"/>
    <cellStyle name="好 2 3" xfId="229"/>
    <cellStyle name="计算 4 2" xfId="230"/>
    <cellStyle name="40% - 强调文字颜色 5 2 3" xfId="231"/>
    <cellStyle name="60% - 强调文字颜色 4 4" xfId="232"/>
    <cellStyle name="40% - 强调文字颜色 5 3" xfId="233"/>
    <cellStyle name="输入 2 3 2" xfId="234"/>
    <cellStyle name="40% - 强调文字颜色 5 3 2" xfId="235"/>
    <cellStyle name="60% - 强调文字颜色 5 3" xfId="236"/>
    <cellStyle name="40% - 强调文字颜色 5 5" xfId="237"/>
    <cellStyle name="40% - 强调文字颜色 6 2" xfId="238"/>
    <cellStyle name="计算 5 2" xfId="239"/>
    <cellStyle name="适中 2 2" xfId="240"/>
    <cellStyle name="40% - 强调文字颜色 6 2 2" xfId="241"/>
    <cellStyle name="40% - 强调文字颜色 6 2 3" xfId="242"/>
    <cellStyle name="40% - 强调文字颜色 6 3" xfId="243"/>
    <cellStyle name="强调文字颜色 3 2 2" xfId="244"/>
    <cellStyle name="适中 2 3" xfId="245"/>
    <cellStyle name="40% - 强调文字颜色 6 3 2" xfId="246"/>
    <cellStyle name="解释性文本 3" xfId="247"/>
    <cellStyle name="40% - 强调文字颜色 6 4" xfId="248"/>
    <cellStyle name="60% - 强调文字颜色 4 2 2" xfId="249"/>
    <cellStyle name="强调文字颜色 3 2 3" xfId="250"/>
    <cellStyle name="60% - 强调文字颜色 1 2 2" xfId="251"/>
    <cellStyle name="60% - 强调文字颜色 1 2 3" xfId="252"/>
    <cellStyle name="60% - 强调文字颜色 1 3 2" xfId="253"/>
    <cellStyle name="60% - 强调文字颜色 1 4" xfId="254"/>
    <cellStyle name="60% - 强调文字颜色 1 5" xfId="255"/>
    <cellStyle name="警告文本 2 2" xfId="256"/>
    <cellStyle name="注释 5 2 2" xfId="257"/>
    <cellStyle name="60% - 强调文字颜色 2 2 3" xfId="258"/>
    <cellStyle name="60% - 强调文字颜色 2 3 2" xfId="259"/>
    <cellStyle name="常规 6 2" xfId="260"/>
    <cellStyle name="注释 2" xfId="261"/>
    <cellStyle name="60% - 强调文字颜色 2 4" xfId="262"/>
    <cellStyle name="常规 7" xfId="263"/>
    <cellStyle name="60% - 强调文字颜色 2 5" xfId="264"/>
    <cellStyle name="常规 8" xfId="265"/>
    <cellStyle name="警告文本 3 2" xfId="266"/>
    <cellStyle name="60% - 强调文字颜色 3 2 2" xfId="267"/>
    <cellStyle name="强调文字颜色 2 2 3" xfId="268"/>
    <cellStyle name="60% - 强调文字颜色 3 2 3" xfId="269"/>
    <cellStyle name="60% - 强调文字颜色 3 3 2" xfId="270"/>
    <cellStyle name="60% - 强调文字颜色 3 4" xfId="271"/>
    <cellStyle name="60% - 强调文字颜色 3 5" xfId="272"/>
    <cellStyle name="60% - 强调文字颜色 4 3 2" xfId="273"/>
    <cellStyle name="60% - 强调文字颜色 4 5" xfId="274"/>
    <cellStyle name="常规_创联至信12年工资表sn803808" xfId="275"/>
    <cellStyle name="60% - 强调文字颜色 5 2" xfId="276"/>
    <cellStyle name="60% - 强调文字颜色 5 2 2" xfId="277"/>
    <cellStyle name="强调文字颜色 4 2 3" xfId="278"/>
    <cellStyle name="60% - 强调文字颜色 5 2 3" xfId="279"/>
    <cellStyle name="60% - 强调文字颜色 5 3 2" xfId="280"/>
    <cellStyle name="60% - 强调文字颜色 5 4" xfId="281"/>
    <cellStyle name="60% - 强调文字颜色 5 5" xfId="282"/>
    <cellStyle name="60% - 强调文字颜色 6 2" xfId="283"/>
    <cellStyle name="60% - 强调文字颜色 6 2 2" xfId="284"/>
    <cellStyle name="常规 3 5 3" xfId="285"/>
    <cellStyle name="强调文字颜色 5 2 3" xfId="286"/>
    <cellStyle name="60% - 强调文字颜色 6 2 3" xfId="287"/>
    <cellStyle name="Normal_08'前程工资8月" xfId="288"/>
    <cellStyle name="60% - 强调文字颜色 6 3" xfId="289"/>
    <cellStyle name="60% - 强调文字颜色 6 4" xfId="290"/>
    <cellStyle name="60% - 强调文字颜色 6 5" xfId="291"/>
    <cellStyle name="Comma_SALARYBJ" xfId="292"/>
    <cellStyle name="警告文本 2 3" xfId="293"/>
    <cellStyle name="百分比 2" xfId="294"/>
    <cellStyle name="差 4" xfId="295"/>
    <cellStyle name="百分比 2 2" xfId="296"/>
    <cellStyle name="百分比 2 3" xfId="297"/>
    <cellStyle name="标题 1 2" xfId="298"/>
    <cellStyle name="标题 1 2 2" xfId="299"/>
    <cellStyle name="标题 1 2 3" xfId="300"/>
    <cellStyle name="标题 1 3" xfId="301"/>
    <cellStyle name="标题 1 3 2" xfId="302"/>
    <cellStyle name="汇总 3" xfId="303"/>
    <cellStyle name="标题 1 4" xfId="304"/>
    <cellStyle name="标题 1 5" xfId="305"/>
    <cellStyle name="标题 2 2" xfId="306"/>
    <cellStyle name="标题 2 2 2" xfId="307"/>
    <cellStyle name="标题 2 2 3" xfId="308"/>
    <cellStyle name="好 3 2" xfId="309"/>
    <cellStyle name="标题 2 3" xfId="310"/>
    <cellStyle name="标题 2 3 2" xfId="311"/>
    <cellStyle name="常规 11" xfId="312"/>
    <cellStyle name="标题 2 4" xfId="313"/>
    <cellStyle name="标题 2 5" xfId="314"/>
    <cellStyle name="标题 3 2" xfId="315"/>
    <cellStyle name="标题 3 2 2" xfId="316"/>
    <cellStyle name="好 5" xfId="317"/>
    <cellStyle name="标题 3 2 3" xfId="318"/>
    <cellStyle name="标题 3 3" xfId="319"/>
    <cellStyle name="标题 3 3 2" xfId="320"/>
    <cellStyle name="样式 1" xfId="321"/>
    <cellStyle name="标题 3 4" xfId="322"/>
    <cellStyle name="标题 3 5" xfId="323"/>
    <cellStyle name="标题 4 2" xfId="324"/>
    <cellStyle name="千位分隔 3" xfId="325"/>
    <cellStyle name="标题 4 2 3" xfId="326"/>
    <cellStyle name="标题 4 3" xfId="327"/>
    <cellStyle name="汇总 2 2" xfId="328"/>
    <cellStyle name="标题 4 3 2" xfId="329"/>
    <cellStyle name="汇总 2 2 2" xfId="330"/>
    <cellStyle name="标题 5" xfId="331"/>
    <cellStyle name="解释性文本 2 3" xfId="332"/>
    <cellStyle name="标题 5 2" xfId="333"/>
    <cellStyle name="强调文字颜色 1 4" xfId="334"/>
    <cellStyle name="标题 5 3" xfId="335"/>
    <cellStyle name="汇总 3 2" xfId="336"/>
    <cellStyle name="强调文字颜色 1 5" xfId="337"/>
    <cellStyle name="标题 6" xfId="338"/>
    <cellStyle name="标题 6 2" xfId="339"/>
    <cellStyle name="强调文字颜色 2 4" xfId="340"/>
    <cellStyle name="标题 7" xfId="341"/>
    <cellStyle name="注释 2 4 2" xfId="342"/>
    <cellStyle name="标题 8" xfId="343"/>
    <cellStyle name="差 2" xfId="344"/>
    <cellStyle name="解释性文本 5" xfId="345"/>
    <cellStyle name="差 2 2" xfId="346"/>
    <cellStyle name="差 3" xfId="347"/>
    <cellStyle name="差 3 2" xfId="348"/>
    <cellStyle name="常规 10" xfId="349"/>
    <cellStyle name="常规 11 2" xfId="350"/>
    <cellStyle name="常规 11 3" xfId="351"/>
    <cellStyle name="常规 2 3 2 2" xfId="352"/>
    <cellStyle name="常规 12" xfId="353"/>
    <cellStyle name="常规 12 2" xfId="354"/>
    <cellStyle name="常规 12 3" xfId="355"/>
    <cellStyle name="常规 14" xfId="356"/>
    <cellStyle name="强调文字颜色 3 3 2" xfId="357"/>
    <cellStyle name="常规 14 2" xfId="358"/>
    <cellStyle name="常规 14 3" xfId="359"/>
    <cellStyle name="常规 2" xfId="360"/>
    <cellStyle name="常规 2 2" xfId="361"/>
    <cellStyle name="常规 2 2 2" xfId="362"/>
    <cellStyle name="常规 2 2 2 2" xfId="363"/>
    <cellStyle name="常规 2 2 3" xfId="364"/>
    <cellStyle name="常规 2 3" xfId="365"/>
    <cellStyle name="输入 3 2" xfId="366"/>
    <cellStyle name="常规 2 3 2" xfId="367"/>
    <cellStyle name="常规_全国客服表格" xfId="368"/>
    <cellStyle name="输入 3 2 2" xfId="369"/>
    <cellStyle name="常规 2 3 3" xfId="370"/>
    <cellStyle name="常规 2 3 4" xfId="371"/>
    <cellStyle name="常规 2 4" xfId="372"/>
    <cellStyle name="输入 3 3" xfId="373"/>
    <cellStyle name="常规 2 4 2" xfId="374"/>
    <cellStyle name="常规 2 5" xfId="375"/>
    <cellStyle name="强调文字颜色 4 2" xfId="376"/>
    <cellStyle name="常规 2 5 2" xfId="377"/>
    <cellStyle name="强调文字颜色 4 2 2" xfId="378"/>
    <cellStyle name="常规 2 6" xfId="379"/>
    <cellStyle name="强调文字颜色 4 3" xfId="380"/>
    <cellStyle name="常规 2 6 2" xfId="381"/>
    <cellStyle name="强调文字颜色 4 3 2" xfId="382"/>
    <cellStyle name="常规 2 6 2 2" xfId="383"/>
    <cellStyle name="常规 27" xfId="384"/>
    <cellStyle name="常规 3 2 2" xfId="385"/>
    <cellStyle name="适中 4" xfId="386"/>
    <cellStyle name="常规 3 3 2" xfId="387"/>
    <cellStyle name="常规 3 3 3" xfId="388"/>
    <cellStyle name="常规 3 4" xfId="389"/>
    <cellStyle name="常规 3 4 2" xfId="390"/>
    <cellStyle name="常规 3 5" xfId="391"/>
    <cellStyle name="强调文字颜色 5 2" xfId="392"/>
    <cellStyle name="常规 3 5 2" xfId="393"/>
    <cellStyle name="强调文字颜色 5 2 2" xfId="394"/>
    <cellStyle name="常规 4 2 2" xfId="395"/>
    <cellStyle name="常规 4 4" xfId="396"/>
    <cellStyle name="常规 4 3" xfId="397"/>
    <cellStyle name="输入 5 2" xfId="398"/>
    <cellStyle name="常规 7 2" xfId="399"/>
    <cellStyle name="常规 8 4" xfId="400"/>
    <cellStyle name="强调文字颜色 6 3 2" xfId="401"/>
    <cellStyle name="常规 9" xfId="402"/>
    <cellStyle name="常规_0705 UL South CS meeting (chonghua)" xfId="403"/>
    <cellStyle name="常规_Sheet1" xfId="404"/>
    <cellStyle name="汇总 5 2" xfId="405"/>
    <cellStyle name="强调文字颜色 3 5" xfId="406"/>
    <cellStyle name="常规_付款通知书智联（神数系统）" xfId="407"/>
    <cellStyle name="警告文本 2" xfId="408"/>
    <cellStyle name="注释 5 2" xfId="409"/>
    <cellStyle name="好 2 2" xfId="410"/>
    <cellStyle name="好 3" xfId="411"/>
    <cellStyle name="好 4" xfId="412"/>
    <cellStyle name="汇总 2" xfId="413"/>
    <cellStyle name="汇总 2 3 2" xfId="414"/>
    <cellStyle name="检查单元格 2 2" xfId="415"/>
    <cellStyle name="汇总 4" xfId="416"/>
    <cellStyle name="汇总 5" xfId="417"/>
    <cellStyle name="检查单元格 2 3" xfId="418"/>
    <cellStyle name="检查单元格 4" xfId="419"/>
    <cellStyle name="检查单元格 5" xfId="420"/>
    <cellStyle name="解释性文本 2" xfId="421"/>
    <cellStyle name="解释性文本 3 2" xfId="422"/>
    <cellStyle name="解释性文本 4" xfId="423"/>
    <cellStyle name="警告文本 3" xfId="424"/>
    <cellStyle name="注释 5 3" xfId="425"/>
    <cellStyle name="警告文本 4" xfId="426"/>
    <cellStyle name="警告文本 5" xfId="427"/>
    <cellStyle name="链接单元格 2" xfId="428"/>
    <cellStyle name="注释 2 3 2" xfId="429"/>
    <cellStyle name="链接单元格 2 2" xfId="430"/>
    <cellStyle name="注释 2 3 2 2" xfId="431"/>
    <cellStyle name="链接单元格 2 3" xfId="432"/>
    <cellStyle name="千位分隔 2" xfId="433"/>
    <cellStyle name="千位分隔 2 2" xfId="434"/>
    <cellStyle name="强调文字颜色 1 2" xfId="435"/>
    <cellStyle name="强调文字颜色 1 2 2" xfId="436"/>
    <cellStyle name="强调文字颜色 1 3" xfId="437"/>
    <cellStyle name="强调文字颜色 1 3 2" xfId="438"/>
    <cellStyle name="强调文字颜色 2 2" xfId="439"/>
    <cellStyle name="强调文字颜色 2 2 2" xfId="440"/>
    <cellStyle name="强调文字颜色 2 3" xfId="441"/>
    <cellStyle name="强调文字颜色 3 2" xfId="442"/>
    <cellStyle name="输入 2 4" xfId="443"/>
    <cellStyle name="强调文字颜色 3 3" xfId="444"/>
    <cellStyle name="强调文字颜色 3 4" xfId="445"/>
    <cellStyle name="强调文字颜色 4 4" xfId="446"/>
    <cellStyle name="强调文字颜色 4 5" xfId="447"/>
    <cellStyle name="输入 2" xfId="448"/>
    <cellStyle name="强调文字颜色 5 3" xfId="449"/>
    <cellStyle name="强调文字颜色 5 3 2" xfId="450"/>
    <cellStyle name="强调文字颜色 5 4" xfId="451"/>
    <cellStyle name="强调文字颜色 6 2" xfId="452"/>
    <cellStyle name="强调文字颜色 6 2 2" xfId="453"/>
    <cellStyle name="强调文字颜色 6 2 3" xfId="454"/>
    <cellStyle name="强调文字颜色 6 3" xfId="455"/>
    <cellStyle name="强调文字颜色 6 4" xfId="456"/>
    <cellStyle name="强调文字颜色 6 5" xfId="457"/>
    <cellStyle name="适中 3" xfId="458"/>
    <cellStyle name="适中 3 2" xfId="459"/>
    <cellStyle name="适中 5" xfId="460"/>
    <cellStyle name="输出 2 2 2 2" xfId="461"/>
    <cellStyle name="输出 2 3 2 2" xfId="462"/>
    <cellStyle name="输出 2 3 3" xfId="463"/>
    <cellStyle name="输出 3 2 2 2" xfId="464"/>
    <cellStyle name="输入 2 2" xfId="465"/>
    <cellStyle name="样式 2 4" xfId="466"/>
    <cellStyle name="输入 2 3" xfId="467"/>
    <cellStyle name="样式 2 5" xfId="468"/>
    <cellStyle name="输入 3" xfId="469"/>
    <cellStyle name="输入 4" xfId="470"/>
    <cellStyle name="输入 5" xfId="471"/>
    <cellStyle name="㼿㼿㼿㼿? 2" xfId="472"/>
    <cellStyle name="㼿㼿㼿㼿㼿" xfId="473"/>
    <cellStyle name="㼿㼿㼿㼿㼿㼿㼿" xfId="474"/>
    <cellStyle name="样式 1 2" xfId="475"/>
    <cellStyle name="样式 2" xfId="476"/>
    <cellStyle name="样式 2 2" xfId="477"/>
    <cellStyle name="样式 2 3" xfId="478"/>
    <cellStyle name="注释 2 2" xfId="479"/>
    <cellStyle name="注释 2 2 2" xfId="480"/>
    <cellStyle name="注释 2 2 2 2" xfId="481"/>
    <cellStyle name="注释 2 2 3" xfId="482"/>
    <cellStyle name="注释 2 4" xfId="483"/>
    <cellStyle name="注释 2 5" xfId="484"/>
    <cellStyle name="注释 3" xfId="485"/>
    <cellStyle name="注释 3 2" xfId="486"/>
    <cellStyle name="注释 3 3" xfId="487"/>
    <cellStyle name="注释 3 3 2" xfId="488"/>
    <cellStyle name="注释 3 4" xfId="489"/>
    <cellStyle name="注释 4" xfId="490"/>
    <cellStyle name="注释 4 2" xfId="491"/>
    <cellStyle name="注释 4 2 2" xfId="492"/>
    <cellStyle name="注释 4 3" xfId="493"/>
  </cellStyles>
  <dxfs count="7">
    <dxf>
      <font>
        <b val="0"/>
        <color indexed="20"/>
      </font>
      <fill>
        <patternFill patternType="solid">
          <bgColor indexed="45"/>
        </patternFill>
      </fill>
    </dxf>
    <dxf>
      <font>
        <b val="0"/>
        <color indexed="20"/>
      </font>
      <fill>
        <patternFill patternType="solid">
          <bgColor indexed="45"/>
        </patternFill>
      </fill>
    </dxf>
    <dxf>
      <fill>
        <patternFill patternType="solid">
          <bgColor indexed="45"/>
        </patternFill>
      </fill>
    </dxf>
    <dxf>
      <fill>
        <patternFill patternType="solid">
          <bgColor indexed="43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name val="Arial"/>
        <scheme val="none"/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</dxfs>
  <tableStyles count="0" defaultTableStyle="TableStyleMedium2" defaultPivotStyle="PivotStyleLight16"/>
  <colors>
    <mruColors>
      <color rgb="0079EBA7"/>
      <color rgb="00FF0000"/>
      <color rgb="00FFC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3" Type="http://schemas.openxmlformats.org/officeDocument/2006/relationships/styles" Target="styles.xml"/><Relationship Id="rId22" Type="http://schemas.openxmlformats.org/officeDocument/2006/relationships/sharedStrings" Target="sharedStrings.xml"/><Relationship Id="rId21" Type="http://schemas.openxmlformats.org/officeDocument/2006/relationships/theme" Target="theme/theme1.xml"/><Relationship Id="rId20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2.xml"/><Relationship Id="rId18" Type="http://schemas.openxmlformats.org/officeDocument/2006/relationships/externalLink" Target="externalLinks/externalLink1.xml"/><Relationship Id="rId17" Type="http://schemas.openxmlformats.org/officeDocument/2006/relationships/customXml" Target="../customXml/item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219075</xdr:colOff>
      <xdr:row>2</xdr:row>
      <xdr:rowOff>95250</xdr:rowOff>
    </xdr:to>
    <xdr:pic>
      <xdr:nvPicPr>
        <xdr:cNvPr id="2" name="图片 4" descr="cid:_Foxmail.1@6377c9cf-32a5-0363-4d93-1ccf8febe018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240792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\WeChat%20Files\wxid_elo7r87urzkt22\FileStorage\File\2024-04\&#26131;&#25165;&#20010;&#31246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\WeChat%20Files\wxid_elo7r87urzkt22\FileStorage\File\2024-05\&#26131;&#25165;&#20010;&#31246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\WeChat%20Files\wxid_elo7r87urzkt22\FileStorage\File\2024-12\&#26131;&#25165;&#20010;&#31246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孙海娟</v>
          </cell>
          <cell r="C2">
            <v>6000</v>
          </cell>
          <cell r="D2">
            <v>4525.84</v>
          </cell>
        </row>
        <row r="3">
          <cell r="B3" t="str">
            <v>赵亮</v>
          </cell>
          <cell r="C3">
            <v>4800</v>
          </cell>
          <cell r="D3">
            <v>8000</v>
          </cell>
        </row>
        <row r="4">
          <cell r="B4" t="str">
            <v>梁敏霞</v>
          </cell>
          <cell r="C4">
            <v>3420</v>
          </cell>
          <cell r="D4">
            <v>5700</v>
          </cell>
        </row>
        <row r="5">
          <cell r="B5" t="str">
            <v>徐明龙</v>
          </cell>
          <cell r="C5">
            <v>4800</v>
          </cell>
          <cell r="D5">
            <v>8000</v>
          </cell>
        </row>
        <row r="6">
          <cell r="B6" t="str">
            <v>陈佳文</v>
          </cell>
          <cell r="C6">
            <v>5700</v>
          </cell>
          <cell r="D6">
            <v>10500</v>
          </cell>
        </row>
        <row r="7">
          <cell r="B7" t="str">
            <v>龙治旺</v>
          </cell>
          <cell r="C7">
            <v>3900</v>
          </cell>
          <cell r="D7">
            <v>6500</v>
          </cell>
        </row>
        <row r="8">
          <cell r="B8" t="str">
            <v>冯玉</v>
          </cell>
          <cell r="C8">
            <v>18000</v>
          </cell>
          <cell r="D8">
            <v>30060</v>
          </cell>
        </row>
        <row r="9">
          <cell r="B9" t="str">
            <v>汤祥文</v>
          </cell>
          <cell r="C9">
            <v>5100</v>
          </cell>
          <cell r="D9">
            <v>8500</v>
          </cell>
        </row>
        <row r="10">
          <cell r="B10" t="str">
            <v>杨旭</v>
          </cell>
          <cell r="C10">
            <v>4200</v>
          </cell>
          <cell r="D10">
            <v>7000</v>
          </cell>
        </row>
        <row r="11">
          <cell r="B11" t="str">
            <v>任志伟</v>
          </cell>
          <cell r="C11">
            <v>4200</v>
          </cell>
          <cell r="D11">
            <v>7000</v>
          </cell>
        </row>
        <row r="12">
          <cell r="B12" t="str">
            <v>朱必丰</v>
          </cell>
          <cell r="C12">
            <v>4200</v>
          </cell>
          <cell r="D12">
            <v>7000</v>
          </cell>
        </row>
        <row r="13">
          <cell r="B13" t="str">
            <v>周阳阳</v>
          </cell>
          <cell r="C13">
            <v>3600</v>
          </cell>
          <cell r="D13">
            <v>6300</v>
          </cell>
        </row>
        <row r="14">
          <cell r="B14" t="str">
            <v>张莉</v>
          </cell>
          <cell r="C14">
            <v>3600</v>
          </cell>
          <cell r="D14">
            <v>6000</v>
          </cell>
        </row>
        <row r="15">
          <cell r="B15" t="str">
            <v>倪绍帅</v>
          </cell>
          <cell r="C15">
            <v>6000</v>
          </cell>
          <cell r="D15">
            <v>10000</v>
          </cell>
        </row>
        <row r="16">
          <cell r="B16" t="str">
            <v>吕阳</v>
          </cell>
          <cell r="C16">
            <v>1216</v>
          </cell>
          <cell r="D16">
            <v>2026.67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>
        <row r="1">
          <cell r="B1" t="str">
            <v>姓名</v>
          </cell>
          <cell r="C1" t="str">
            <v>本月应发工资小计</v>
          </cell>
          <cell r="D1" t="str">
            <v>养老保险（当月+补缴）</v>
          </cell>
          <cell r="E1" t="str">
            <v>失业保险（当月+补缴）</v>
          </cell>
        </row>
        <row r="2">
          <cell r="B2" t="str">
            <v>孙海娟</v>
          </cell>
          <cell r="C2">
            <v>4525.84</v>
          </cell>
          <cell r="D2">
            <v>380.08</v>
          </cell>
          <cell r="E2">
            <v>23.76</v>
          </cell>
          <cell r="F2">
            <v>117.02</v>
          </cell>
          <cell r="G2">
            <v>520.86</v>
          </cell>
          <cell r="H2">
            <v>109</v>
          </cell>
        </row>
        <row r="3">
          <cell r="B3" t="str">
            <v>赵亮</v>
          </cell>
          <cell r="C3">
            <v>8000</v>
          </cell>
          <cell r="D3">
            <v>319.46</v>
          </cell>
          <cell r="E3">
            <v>11.98</v>
          </cell>
          <cell r="F3">
            <v>79.86</v>
          </cell>
          <cell r="G3">
            <v>411.3</v>
          </cell>
          <cell r="H3">
            <v>177.4</v>
          </cell>
        </row>
        <row r="4">
          <cell r="B4" t="str">
            <v>梁敏霞</v>
          </cell>
          <cell r="C4">
            <v>5700</v>
          </cell>
          <cell r="D4">
            <v>422.72</v>
          </cell>
          <cell r="E4">
            <v>4.6</v>
          </cell>
          <cell r="F4">
            <v>119.92</v>
          </cell>
          <cell r="G4">
            <v>547.24</v>
          </cell>
          <cell r="H4">
            <v>115</v>
          </cell>
        </row>
        <row r="5">
          <cell r="B5" t="str">
            <v>徐明龙</v>
          </cell>
          <cell r="C5">
            <v>9000</v>
          </cell>
          <cell r="D5">
            <v>321.52</v>
          </cell>
          <cell r="E5">
            <v>20.1</v>
          </cell>
          <cell r="F5">
            <v>89.09</v>
          </cell>
          <cell r="G5">
            <v>430.71</v>
          </cell>
          <cell r="H5">
            <v>97</v>
          </cell>
        </row>
        <row r="6">
          <cell r="B6" t="str">
            <v>陈佳文</v>
          </cell>
          <cell r="C6">
            <v>10500</v>
          </cell>
          <cell r="D6">
            <v>321.52</v>
          </cell>
          <cell r="E6">
            <v>20.1</v>
          </cell>
          <cell r="F6">
            <v>86.38</v>
          </cell>
          <cell r="G6">
            <v>428</v>
          </cell>
          <cell r="H6">
            <v>344</v>
          </cell>
        </row>
        <row r="7">
          <cell r="B7" t="str">
            <v>龙治旺</v>
          </cell>
          <cell r="C7">
            <v>6500</v>
          </cell>
          <cell r="D7">
            <v>324.24</v>
          </cell>
          <cell r="E7">
            <v>12.16</v>
          </cell>
          <cell r="F7">
            <v>90.4</v>
          </cell>
          <cell r="G7">
            <v>426.8</v>
          </cell>
          <cell r="H7">
            <v>100</v>
          </cell>
        </row>
        <row r="8">
          <cell r="B8" t="str">
            <v>冯玉</v>
          </cell>
          <cell r="C8">
            <v>30060</v>
          </cell>
          <cell r="D8">
            <v>584.8</v>
          </cell>
          <cell r="E8">
            <v>36.55</v>
          </cell>
          <cell r="F8">
            <v>146.2</v>
          </cell>
          <cell r="G8">
            <v>767.55</v>
          </cell>
          <cell r="H8">
            <v>181</v>
          </cell>
        </row>
        <row r="9">
          <cell r="B9" t="str">
            <v>汤祥文</v>
          </cell>
          <cell r="C9">
            <v>8500</v>
          </cell>
          <cell r="D9">
            <v>321.52</v>
          </cell>
          <cell r="E9">
            <v>20.1</v>
          </cell>
          <cell r="F9">
            <v>120.38</v>
          </cell>
          <cell r="G9">
            <v>462</v>
          </cell>
          <cell r="H9">
            <v>97</v>
          </cell>
        </row>
        <row r="10">
          <cell r="B10" t="str">
            <v>杨旭</v>
          </cell>
          <cell r="C10">
            <v>7000</v>
          </cell>
          <cell r="D10">
            <v>321.52</v>
          </cell>
          <cell r="E10">
            <v>20.1</v>
          </cell>
          <cell r="F10">
            <v>86.38</v>
          </cell>
          <cell r="G10">
            <v>428</v>
          </cell>
          <cell r="H10">
            <v>344</v>
          </cell>
        </row>
        <row r="11">
          <cell r="B11" t="str">
            <v>任志伟</v>
          </cell>
          <cell r="C11">
            <v>7000</v>
          </cell>
          <cell r="D11">
            <v>321.52</v>
          </cell>
          <cell r="E11">
            <v>20.1</v>
          </cell>
          <cell r="F11">
            <v>86.38</v>
          </cell>
          <cell r="G11">
            <v>428</v>
          </cell>
          <cell r="H11">
            <v>344</v>
          </cell>
        </row>
        <row r="12">
          <cell r="B12" t="str">
            <v>朱必丰</v>
          </cell>
          <cell r="C12">
            <v>7000</v>
          </cell>
          <cell r="D12">
            <v>321.52</v>
          </cell>
          <cell r="E12">
            <v>20.1</v>
          </cell>
          <cell r="F12">
            <v>120.38</v>
          </cell>
          <cell r="G12">
            <v>462</v>
          </cell>
          <cell r="H12">
            <v>97</v>
          </cell>
        </row>
        <row r="13">
          <cell r="B13" t="str">
            <v>周阳阳</v>
          </cell>
          <cell r="C13">
            <v>6060</v>
          </cell>
          <cell r="D13">
            <v>321.52</v>
          </cell>
          <cell r="E13">
            <v>20.1</v>
          </cell>
          <cell r="F13">
            <v>89.09</v>
          </cell>
          <cell r="G13">
            <v>430.71</v>
          </cell>
          <cell r="H13">
            <v>97</v>
          </cell>
        </row>
        <row r="14">
          <cell r="B14" t="str">
            <v>张莉</v>
          </cell>
          <cell r="C14">
            <v>6000</v>
          </cell>
          <cell r="D14">
            <v>321.52</v>
          </cell>
          <cell r="E14">
            <v>20.1</v>
          </cell>
          <cell r="F14">
            <v>80.38</v>
          </cell>
          <cell r="G14">
            <v>422</v>
          </cell>
          <cell r="H14">
            <v>103</v>
          </cell>
        </row>
        <row r="15">
          <cell r="B15" t="str">
            <v>倪绍帅</v>
          </cell>
          <cell r="C15">
            <v>10000</v>
          </cell>
          <cell r="D15">
            <v>321.52</v>
          </cell>
          <cell r="E15">
            <v>20.1</v>
          </cell>
          <cell r="F15">
            <v>89.09</v>
          </cell>
          <cell r="G15">
            <v>430.71</v>
          </cell>
          <cell r="H15">
            <v>97</v>
          </cell>
        </row>
        <row r="16">
          <cell r="B16" t="str">
            <v>吕阳</v>
          </cell>
          <cell r="C16">
            <v>6080</v>
          </cell>
          <cell r="D16">
            <v>337.92</v>
          </cell>
          <cell r="E16">
            <v>12.67</v>
          </cell>
          <cell r="F16">
            <v>91.48</v>
          </cell>
          <cell r="G16">
            <v>442.07</v>
          </cell>
          <cell r="H16">
            <v>110.5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孙海娟</v>
          </cell>
          <cell r="C2" t="str">
            <v>创联/易才/天津代缴</v>
          </cell>
          <cell r="D2">
            <v>4447.97</v>
          </cell>
          <cell r="E2">
            <v>401.04</v>
          </cell>
          <cell r="F2">
            <v>25.07</v>
          </cell>
        </row>
        <row r="3">
          <cell r="B3" t="str">
            <v>赵亮</v>
          </cell>
          <cell r="C3" t="str">
            <v>创联/易才/四平</v>
          </cell>
          <cell r="D3">
            <v>8000</v>
          </cell>
          <cell r="E3">
            <v>344.57</v>
          </cell>
          <cell r="F3">
            <v>12.92</v>
          </cell>
        </row>
        <row r="4">
          <cell r="B4" t="str">
            <v>梁敏霞</v>
          </cell>
          <cell r="C4" t="str">
            <v>创联/易才/广州</v>
          </cell>
          <cell r="D4">
            <v>6100</v>
          </cell>
          <cell r="E4">
            <v>422.72</v>
          </cell>
          <cell r="F4">
            <v>4.6</v>
          </cell>
        </row>
        <row r="5">
          <cell r="B5" t="str">
            <v>徐明龙</v>
          </cell>
          <cell r="C5" t="str">
            <v>创联/湖南（蚌埠）易才</v>
          </cell>
          <cell r="D5">
            <v>9000</v>
          </cell>
          <cell r="E5">
            <v>338.16</v>
          </cell>
          <cell r="F5">
            <v>21.14</v>
          </cell>
        </row>
        <row r="6">
          <cell r="B6" t="str">
            <v>陈佳文</v>
          </cell>
          <cell r="C6" t="str">
            <v>创联/湖南（阜阳）易才</v>
          </cell>
          <cell r="D6">
            <v>10500</v>
          </cell>
          <cell r="E6">
            <v>338.16</v>
          </cell>
          <cell r="F6">
            <v>21.14</v>
          </cell>
        </row>
        <row r="7">
          <cell r="B7" t="str">
            <v>龙治旺</v>
          </cell>
          <cell r="C7" t="str">
            <v>创联/湖南（常德）易才</v>
          </cell>
          <cell r="D7">
            <v>6500</v>
          </cell>
          <cell r="E7">
            <v>322.16</v>
          </cell>
          <cell r="F7">
            <v>12.08</v>
          </cell>
        </row>
        <row r="8">
          <cell r="B8" t="str">
            <v>冯玉</v>
          </cell>
          <cell r="C8" t="str">
            <v>创联/易才/上海</v>
          </cell>
          <cell r="D8">
            <v>30060</v>
          </cell>
          <cell r="E8">
            <v>590.72</v>
          </cell>
          <cell r="F8">
            <v>36.92</v>
          </cell>
        </row>
        <row r="9">
          <cell r="B9" t="str">
            <v>汤祥文</v>
          </cell>
          <cell r="C9" t="str">
            <v>创联/湖南（芜湖）易才</v>
          </cell>
          <cell r="D9">
            <v>9000</v>
          </cell>
          <cell r="E9">
            <v>338.16</v>
          </cell>
          <cell r="F9">
            <v>21.14</v>
          </cell>
        </row>
        <row r="10">
          <cell r="B10" t="str">
            <v>杨旭</v>
          </cell>
          <cell r="C10" t="str">
            <v>创联/湖南（阜阳）易才</v>
          </cell>
          <cell r="D10">
            <v>7500</v>
          </cell>
          <cell r="E10">
            <v>338.16</v>
          </cell>
          <cell r="F10">
            <v>21.14</v>
          </cell>
        </row>
        <row r="11">
          <cell r="B11" t="str">
            <v>任志伟</v>
          </cell>
          <cell r="C11" t="str">
            <v>创联/湖南（阜阳）易才</v>
          </cell>
          <cell r="D11">
            <v>8000</v>
          </cell>
          <cell r="E11">
            <v>338.16</v>
          </cell>
          <cell r="F11">
            <v>21.14</v>
          </cell>
        </row>
        <row r="12">
          <cell r="B12" t="str">
            <v>张莉</v>
          </cell>
          <cell r="C12" t="str">
            <v>创联/湖南（合肥）易才</v>
          </cell>
          <cell r="D12">
            <v>6000</v>
          </cell>
          <cell r="E12">
            <v>338.16</v>
          </cell>
          <cell r="F12">
            <v>21.14</v>
          </cell>
        </row>
        <row r="13">
          <cell r="B13" t="str">
            <v>倪绍帅</v>
          </cell>
          <cell r="C13" t="str">
            <v>创联/易才/蚌埠</v>
          </cell>
          <cell r="D13">
            <v>10000</v>
          </cell>
          <cell r="E13">
            <v>338.16</v>
          </cell>
          <cell r="F13">
            <v>21.14</v>
          </cell>
        </row>
        <row r="14">
          <cell r="B14" t="str">
            <v>吕阳</v>
          </cell>
          <cell r="C14" t="str">
            <v>创联/易才/武汉</v>
          </cell>
          <cell r="D14">
            <v>7600</v>
          </cell>
          <cell r="E14">
            <v>337.92</v>
          </cell>
          <cell r="F14">
            <v>12.67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comments" Target="../comments9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comments" Target="../comments10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comments" Target="../comments11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comments" Target="../comments12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comments" Target="../comments13.x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comments" Target="../comments14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comments" Target="../comments4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comments" Target="../comments5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comments" Target="../comments6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comments" Target="../comments7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comments" Target="../comments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BH22"/>
  <sheetViews>
    <sheetView workbookViewId="0">
      <selection activeCell="C27" sqref="C27"/>
    </sheetView>
  </sheetViews>
  <sheetFormatPr defaultColWidth="9" defaultRowHeight="16.5"/>
  <cols>
    <col min="1" max="1" width="5" style="268" customWidth="1"/>
    <col min="2" max="2" width="25" style="268" customWidth="1"/>
    <col min="3" max="3" width="7.36666666666667" style="268" customWidth="1"/>
    <col min="4" max="4" width="9.45" style="268" customWidth="1"/>
    <col min="5" max="5" width="8.26666666666667" style="268" customWidth="1"/>
    <col min="6" max="6" width="11.9083333333333" style="268" customWidth="1"/>
    <col min="7" max="7" width="16.3666666666667" style="268" customWidth="1"/>
    <col min="8" max="11" width="8.45" style="268" customWidth="1"/>
    <col min="12" max="12" width="9.09166666666667" style="268" customWidth="1"/>
    <col min="13" max="14" width="9.26666666666667" style="268" customWidth="1"/>
    <col min="15" max="15" width="7.45" style="268" customWidth="1"/>
    <col min="16" max="16" width="11.2666666666667" style="268" customWidth="1"/>
    <col min="17" max="17" width="9.09166666666667" style="268" customWidth="1"/>
    <col min="18" max="21" width="9.26666666666667" style="268" customWidth="1"/>
    <col min="22" max="22" width="9.09166666666667" style="268" customWidth="1"/>
    <col min="23" max="26" width="9.26666666666667" style="268" customWidth="1"/>
    <col min="27" max="28" width="9.09166666666667" style="268" customWidth="1"/>
    <col min="29" max="29" width="9" style="268" customWidth="1"/>
    <col min="30" max="30" width="9.09166666666667" style="268" customWidth="1"/>
    <col min="31" max="31" width="9.26666666666667" style="268" customWidth="1"/>
    <col min="32" max="32" width="8.90833333333333" style="268" customWidth="1"/>
    <col min="33" max="33" width="9.09166666666667" style="268" customWidth="1"/>
    <col min="34" max="34" width="9.26666666666667" style="268" customWidth="1"/>
    <col min="35" max="35" width="11.0916666666667" style="268" customWidth="1"/>
    <col min="36" max="36" width="9.26666666666667" style="268" customWidth="1"/>
    <col min="37" max="37" width="8.45" style="268" customWidth="1"/>
    <col min="38" max="38" width="9.09166666666667" style="268" hidden="1" customWidth="1"/>
    <col min="39" max="42" width="9.26666666666667" style="268" hidden="1" customWidth="1"/>
    <col min="43" max="43" width="9.90833333333333" style="268" customWidth="1"/>
    <col min="44" max="44" width="9.36666666666667" style="268" customWidth="1"/>
    <col min="45" max="45" width="10.2666666666667" style="269" customWidth="1"/>
    <col min="46" max="46" width="10" style="269" customWidth="1"/>
    <col min="47" max="49" width="9.26666666666667" style="269" customWidth="1"/>
    <col min="50" max="50" width="9.26666666666667" style="268" customWidth="1"/>
    <col min="51" max="51" width="5.90833333333333" style="268" customWidth="1"/>
    <col min="52" max="52" width="8.36666666666667" style="268" customWidth="1"/>
    <col min="53" max="53" width="5.90833333333333" style="268" customWidth="1"/>
    <col min="54" max="54" width="8.90833333333333" style="268" customWidth="1"/>
    <col min="55" max="55" width="10.9083333333333" style="268" customWidth="1"/>
    <col min="56" max="56" width="40.2666666666667" style="270" customWidth="1"/>
    <col min="57" max="57" width="10.6333333333333" style="268" customWidth="1"/>
    <col min="58" max="16384" width="9" style="268"/>
  </cols>
  <sheetData>
    <row r="1" s="262" customFormat="1" ht="22.5" customHeight="1" spans="1:56">
      <c r="A1" s="271" t="s">
        <v>0</v>
      </c>
      <c r="B1" s="272" t="s">
        <v>1</v>
      </c>
      <c r="C1" s="272" t="s">
        <v>2</v>
      </c>
      <c r="D1" s="271" t="s">
        <v>3</v>
      </c>
      <c r="E1" s="272" t="s">
        <v>4</v>
      </c>
      <c r="F1" s="272" t="s">
        <v>5</v>
      </c>
      <c r="G1" s="272" t="s">
        <v>6</v>
      </c>
      <c r="H1" s="272" t="s">
        <v>7</v>
      </c>
      <c r="I1" s="272" t="s">
        <v>8</v>
      </c>
      <c r="J1" s="272" t="s">
        <v>9</v>
      </c>
      <c r="K1" s="272" t="s">
        <v>10</v>
      </c>
      <c r="L1" s="305" t="s">
        <v>11</v>
      </c>
      <c r="M1" s="305"/>
      <c r="N1" s="305"/>
      <c r="O1" s="305"/>
      <c r="P1" s="305"/>
      <c r="Q1" s="305" t="s">
        <v>12</v>
      </c>
      <c r="R1" s="305"/>
      <c r="S1" s="305"/>
      <c r="T1" s="305"/>
      <c r="U1" s="305"/>
      <c r="V1" s="305" t="s">
        <v>13</v>
      </c>
      <c r="W1" s="305"/>
      <c r="X1" s="305"/>
      <c r="Y1" s="305"/>
      <c r="Z1" s="305"/>
      <c r="AA1" s="271" t="s">
        <v>14</v>
      </c>
      <c r="AB1" s="271"/>
      <c r="AC1" s="271"/>
      <c r="AD1" s="271" t="s">
        <v>15</v>
      </c>
      <c r="AE1" s="271"/>
      <c r="AF1" s="271"/>
      <c r="AG1" s="305" t="s">
        <v>16</v>
      </c>
      <c r="AH1" s="305"/>
      <c r="AI1" s="305"/>
      <c r="AJ1" s="305"/>
      <c r="AK1" s="305"/>
      <c r="AL1" s="271" t="s">
        <v>17</v>
      </c>
      <c r="AM1" s="271"/>
      <c r="AN1" s="271"/>
      <c r="AO1" s="271"/>
      <c r="AP1" s="271"/>
      <c r="AQ1" s="271" t="s">
        <v>18</v>
      </c>
      <c r="AR1" s="271"/>
      <c r="AS1" s="316" t="s">
        <v>19</v>
      </c>
      <c r="AT1" s="316"/>
      <c r="AU1" s="316"/>
      <c r="AV1" s="316"/>
      <c r="AW1" s="316"/>
      <c r="AX1" s="271" t="s">
        <v>20</v>
      </c>
      <c r="AY1" s="271"/>
      <c r="AZ1" s="271" t="s">
        <v>21</v>
      </c>
      <c r="BA1" s="271"/>
      <c r="BB1" s="271" t="s">
        <v>22</v>
      </c>
      <c r="BC1" s="271" t="s">
        <v>23</v>
      </c>
      <c r="BD1" s="327" t="s">
        <v>24</v>
      </c>
    </row>
    <row r="2" ht="22.5" customHeight="1" spans="1:56">
      <c r="A2" s="271"/>
      <c r="B2" s="273"/>
      <c r="C2" s="272"/>
      <c r="D2" s="271"/>
      <c r="E2" s="272"/>
      <c r="F2" s="274"/>
      <c r="G2" s="274"/>
      <c r="H2" s="272"/>
      <c r="I2" s="272"/>
      <c r="J2" s="272"/>
      <c r="K2" s="272"/>
      <c r="L2" s="306" t="s">
        <v>25</v>
      </c>
      <c r="M2" s="306" t="s">
        <v>26</v>
      </c>
      <c r="N2" s="306" t="s">
        <v>27</v>
      </c>
      <c r="O2" s="306" t="s">
        <v>28</v>
      </c>
      <c r="P2" s="306" t="s">
        <v>29</v>
      </c>
      <c r="Q2" s="306" t="s">
        <v>25</v>
      </c>
      <c r="R2" s="306" t="s">
        <v>26</v>
      </c>
      <c r="S2" s="306" t="s">
        <v>27</v>
      </c>
      <c r="T2" s="306" t="s">
        <v>28</v>
      </c>
      <c r="U2" s="306" t="s">
        <v>29</v>
      </c>
      <c r="V2" s="306" t="s">
        <v>25</v>
      </c>
      <c r="W2" s="306" t="s">
        <v>26</v>
      </c>
      <c r="X2" s="306" t="s">
        <v>27</v>
      </c>
      <c r="Y2" s="306" t="s">
        <v>28</v>
      </c>
      <c r="Z2" s="306" t="s">
        <v>29</v>
      </c>
      <c r="AA2" s="306" t="s">
        <v>25</v>
      </c>
      <c r="AB2" s="306" t="s">
        <v>30</v>
      </c>
      <c r="AC2" s="306" t="s">
        <v>31</v>
      </c>
      <c r="AD2" s="306" t="s">
        <v>25</v>
      </c>
      <c r="AE2" s="306" t="s">
        <v>30</v>
      </c>
      <c r="AF2" s="306" t="s">
        <v>31</v>
      </c>
      <c r="AG2" s="306" t="s">
        <v>25</v>
      </c>
      <c r="AH2" s="306" t="s">
        <v>26</v>
      </c>
      <c r="AI2" s="306" t="s">
        <v>27</v>
      </c>
      <c r="AJ2" s="306" t="s">
        <v>28</v>
      </c>
      <c r="AK2" s="306" t="s">
        <v>29</v>
      </c>
      <c r="AL2" s="306" t="s">
        <v>25</v>
      </c>
      <c r="AM2" s="306" t="s">
        <v>26</v>
      </c>
      <c r="AN2" s="306" t="s">
        <v>27</v>
      </c>
      <c r="AO2" s="306" t="s">
        <v>28</v>
      </c>
      <c r="AP2" s="306" t="s">
        <v>29</v>
      </c>
      <c r="AQ2" s="306" t="s">
        <v>32</v>
      </c>
      <c r="AR2" s="306" t="s">
        <v>33</v>
      </c>
      <c r="AS2" s="317" t="s">
        <v>34</v>
      </c>
      <c r="AT2" s="317" t="s">
        <v>35</v>
      </c>
      <c r="AU2" s="317" t="s">
        <v>36</v>
      </c>
      <c r="AV2" s="317" t="s">
        <v>37</v>
      </c>
      <c r="AW2" s="317" t="s">
        <v>38</v>
      </c>
      <c r="AX2" s="271"/>
      <c r="AY2" s="271"/>
      <c r="AZ2" s="271"/>
      <c r="BA2" s="271"/>
      <c r="BB2" s="271"/>
      <c r="BC2" s="271"/>
      <c r="BD2" s="327"/>
    </row>
    <row r="3" s="263" customFormat="1" ht="18" customHeight="1" spans="1:60">
      <c r="A3" s="275">
        <v>1</v>
      </c>
      <c r="B3" s="276" t="s">
        <v>39</v>
      </c>
      <c r="C3" s="277" t="s">
        <v>40</v>
      </c>
      <c r="D3" s="278" t="s">
        <v>41</v>
      </c>
      <c r="E3" s="276" t="s">
        <v>42</v>
      </c>
      <c r="F3" s="279" t="s">
        <v>43</v>
      </c>
      <c r="G3" s="280" t="s">
        <v>44</v>
      </c>
      <c r="H3" s="278" t="s">
        <v>45</v>
      </c>
      <c r="I3" s="278" t="s">
        <v>45</v>
      </c>
      <c r="J3" s="278" t="s">
        <v>46</v>
      </c>
      <c r="K3" s="278" t="s">
        <v>46</v>
      </c>
      <c r="L3" s="275">
        <v>3300</v>
      </c>
      <c r="M3" s="275">
        <v>0.16</v>
      </c>
      <c r="N3" s="275">
        <f t="shared" ref="N3:N8" si="0">ROUND(L3*M3,2)</f>
        <v>528</v>
      </c>
      <c r="O3" s="275">
        <v>0.08</v>
      </c>
      <c r="P3" s="275">
        <f t="shared" ref="P3:P8" si="1">ROUND(L3*O3,2)</f>
        <v>264</v>
      </c>
      <c r="Q3" s="275">
        <v>3300</v>
      </c>
      <c r="R3" s="275">
        <v>0.08</v>
      </c>
      <c r="S3" s="275">
        <f t="shared" ref="S3:S8" si="2">ROUND(Q3*R3,2)</f>
        <v>264</v>
      </c>
      <c r="T3" s="275">
        <v>0.02</v>
      </c>
      <c r="U3" s="275">
        <f t="shared" ref="U3:U8" si="3">ROUND(Q3*T3,2)</f>
        <v>66</v>
      </c>
      <c r="V3" s="275">
        <v>3300</v>
      </c>
      <c r="W3" s="275">
        <v>0.007</v>
      </c>
      <c r="X3" s="275">
        <f t="shared" ref="X3:X8" si="4">ROUND(V3*W3,2)</f>
        <v>23.1</v>
      </c>
      <c r="Y3" s="275">
        <v>0.003</v>
      </c>
      <c r="Z3" s="275">
        <f t="shared" ref="Z3:Z8" si="5">ROUND(V3*Y3,2)</f>
        <v>9.9</v>
      </c>
      <c r="AA3" s="275"/>
      <c r="AB3" s="275"/>
      <c r="AC3" s="275"/>
      <c r="AD3" s="275">
        <v>3300</v>
      </c>
      <c r="AE3" s="275">
        <v>0.002</v>
      </c>
      <c r="AF3" s="275">
        <f t="shared" ref="AF3:AF15" si="6">ROUND(AD3*AE3,2)</f>
        <v>6.6</v>
      </c>
      <c r="AG3" s="275">
        <v>3000</v>
      </c>
      <c r="AH3" s="275">
        <v>0.1</v>
      </c>
      <c r="AI3" s="275">
        <f>ROUND(AG3*AH3,2)</f>
        <v>300</v>
      </c>
      <c r="AJ3" s="275">
        <v>0.06</v>
      </c>
      <c r="AK3" s="275">
        <f>ROUND(AG3*AJ3,2)</f>
        <v>180</v>
      </c>
      <c r="AL3" s="313"/>
      <c r="AM3" s="275"/>
      <c r="AN3" s="275"/>
      <c r="AO3" s="275"/>
      <c r="AP3" s="276" t="s">
        <v>47</v>
      </c>
      <c r="AQ3" s="318">
        <v>5</v>
      </c>
      <c r="AR3" s="275"/>
      <c r="AS3" s="319">
        <f t="shared" ref="AS3:AS15" si="7">N3+S3+X3+AC3+AF3+AN3+AQ3</f>
        <v>826.7</v>
      </c>
      <c r="AT3" s="319">
        <f t="shared" ref="AT3:AT15" si="8">P3+U3+Z3</f>
        <v>339.9</v>
      </c>
      <c r="AU3" s="319">
        <f t="shared" ref="AU3:AU15" si="9">AI3</f>
        <v>300</v>
      </c>
      <c r="AV3" s="319">
        <f t="shared" ref="AV3:AV15" si="10">AK3</f>
        <v>180</v>
      </c>
      <c r="AW3" s="319">
        <f t="shared" ref="AW3:AW15" si="11">AV3+AS3+AT3+AU3</f>
        <v>1646.6</v>
      </c>
      <c r="AX3" s="328">
        <f t="shared" ref="AX3:AX15" si="12">AS3+AT3</f>
        <v>1166.6</v>
      </c>
      <c r="AY3" s="328"/>
      <c r="AZ3" s="328">
        <f t="shared" ref="AZ3:AZ8" si="13">AU3+AV3</f>
        <v>480</v>
      </c>
      <c r="BA3" s="328"/>
      <c r="BB3" s="329">
        <v>80</v>
      </c>
      <c r="BC3" s="328">
        <f t="shared" ref="BC3:BC15" si="14">AX3+AZ3+BB3</f>
        <v>1726.6</v>
      </c>
      <c r="BD3" s="330"/>
      <c r="BE3" s="344"/>
      <c r="BF3" s="345"/>
      <c r="BG3" s="345"/>
      <c r="BH3" s="346" t="s">
        <v>47</v>
      </c>
    </row>
    <row r="4" s="263" customFormat="1" ht="18" customHeight="1" spans="1:60">
      <c r="A4" s="275"/>
      <c r="B4" s="276" t="s">
        <v>39</v>
      </c>
      <c r="C4" s="277" t="s">
        <v>40</v>
      </c>
      <c r="D4" s="278" t="s">
        <v>41</v>
      </c>
      <c r="E4" s="276" t="s">
        <v>42</v>
      </c>
      <c r="F4" s="279" t="s">
        <v>43</v>
      </c>
      <c r="G4" s="280" t="s">
        <v>44</v>
      </c>
      <c r="H4" s="278" t="s">
        <v>45</v>
      </c>
      <c r="I4" s="278" t="s">
        <v>45</v>
      </c>
      <c r="J4" s="278" t="s">
        <v>48</v>
      </c>
      <c r="K4" s="278" t="s">
        <v>48</v>
      </c>
      <c r="L4" s="275">
        <v>3300</v>
      </c>
      <c r="M4" s="275">
        <v>0.16</v>
      </c>
      <c r="N4" s="275">
        <f t="shared" si="0"/>
        <v>528</v>
      </c>
      <c r="O4" s="275">
        <v>0.08</v>
      </c>
      <c r="P4" s="275">
        <f t="shared" si="1"/>
        <v>264</v>
      </c>
      <c r="Q4" s="275">
        <v>3300</v>
      </c>
      <c r="R4" s="275">
        <v>0.08</v>
      </c>
      <c r="S4" s="275">
        <f t="shared" si="2"/>
        <v>264</v>
      </c>
      <c r="T4" s="275">
        <v>0.02</v>
      </c>
      <c r="U4" s="275">
        <f t="shared" si="3"/>
        <v>66</v>
      </c>
      <c r="V4" s="275">
        <v>3300</v>
      </c>
      <c r="W4" s="275">
        <v>0.007</v>
      </c>
      <c r="X4" s="275">
        <f t="shared" si="4"/>
        <v>23.1</v>
      </c>
      <c r="Y4" s="275">
        <v>0.003</v>
      </c>
      <c r="Z4" s="275">
        <f t="shared" si="5"/>
        <v>9.9</v>
      </c>
      <c r="AA4" s="275"/>
      <c r="AB4" s="275"/>
      <c r="AC4" s="275"/>
      <c r="AD4" s="275">
        <v>3300</v>
      </c>
      <c r="AE4" s="275">
        <v>0.002</v>
      </c>
      <c r="AF4" s="275">
        <f t="shared" si="6"/>
        <v>6.6</v>
      </c>
      <c r="AG4" s="275">
        <v>3000</v>
      </c>
      <c r="AH4" s="275">
        <v>0.1</v>
      </c>
      <c r="AI4" s="275">
        <f>ROUND(AG4*AH4,2)</f>
        <v>300</v>
      </c>
      <c r="AJ4" s="275">
        <v>0.06</v>
      </c>
      <c r="AK4" s="275">
        <f>ROUND(AG4*AJ4,2)</f>
        <v>180</v>
      </c>
      <c r="AL4" s="313"/>
      <c r="AM4" s="275"/>
      <c r="AN4" s="275"/>
      <c r="AO4" s="275"/>
      <c r="AP4" s="276" t="s">
        <v>47</v>
      </c>
      <c r="AQ4" s="318">
        <v>5</v>
      </c>
      <c r="AR4" s="275"/>
      <c r="AS4" s="319">
        <f t="shared" si="7"/>
        <v>826.7</v>
      </c>
      <c r="AT4" s="319">
        <f t="shared" si="8"/>
        <v>339.9</v>
      </c>
      <c r="AU4" s="319">
        <f t="shared" si="9"/>
        <v>300</v>
      </c>
      <c r="AV4" s="319">
        <f t="shared" si="10"/>
        <v>180</v>
      </c>
      <c r="AW4" s="319">
        <f t="shared" si="11"/>
        <v>1646.6</v>
      </c>
      <c r="AX4" s="328">
        <f t="shared" si="12"/>
        <v>1166.6</v>
      </c>
      <c r="AY4" s="328"/>
      <c r="AZ4" s="328">
        <f t="shared" si="13"/>
        <v>480</v>
      </c>
      <c r="BA4" s="328"/>
      <c r="BB4" s="329">
        <v>80</v>
      </c>
      <c r="BC4" s="328">
        <f t="shared" si="14"/>
        <v>1726.6</v>
      </c>
      <c r="BD4" s="330"/>
      <c r="BE4" s="344"/>
      <c r="BF4" s="345"/>
      <c r="BG4" s="345"/>
      <c r="BH4" s="346" t="s">
        <v>47</v>
      </c>
    </row>
    <row r="5" s="263" customFormat="1" ht="18" customHeight="1" spans="1:60">
      <c r="A5" s="275"/>
      <c r="B5" s="276" t="s">
        <v>39</v>
      </c>
      <c r="C5" s="277" t="s">
        <v>40</v>
      </c>
      <c r="D5" s="278" t="s">
        <v>41</v>
      </c>
      <c r="E5" s="276" t="s">
        <v>42</v>
      </c>
      <c r="F5" s="279" t="s">
        <v>43</v>
      </c>
      <c r="G5" s="280" t="s">
        <v>44</v>
      </c>
      <c r="H5" s="278" t="s">
        <v>45</v>
      </c>
      <c r="I5" s="278" t="s">
        <v>45</v>
      </c>
      <c r="J5" s="278" t="s">
        <v>49</v>
      </c>
      <c r="K5" s="278" t="s">
        <v>49</v>
      </c>
      <c r="L5" s="275">
        <v>3300</v>
      </c>
      <c r="M5" s="275">
        <v>0.16</v>
      </c>
      <c r="N5" s="275">
        <f t="shared" si="0"/>
        <v>528</v>
      </c>
      <c r="O5" s="275">
        <v>0.08</v>
      </c>
      <c r="P5" s="275">
        <f t="shared" si="1"/>
        <v>264</v>
      </c>
      <c r="Q5" s="275">
        <v>3300</v>
      </c>
      <c r="R5" s="275">
        <v>0.08</v>
      </c>
      <c r="S5" s="275">
        <f t="shared" si="2"/>
        <v>264</v>
      </c>
      <c r="T5" s="275">
        <v>0.02</v>
      </c>
      <c r="U5" s="275">
        <f t="shared" si="3"/>
        <v>66</v>
      </c>
      <c r="V5" s="275">
        <v>3300</v>
      </c>
      <c r="W5" s="275">
        <v>0.007</v>
      </c>
      <c r="X5" s="275">
        <f t="shared" si="4"/>
        <v>23.1</v>
      </c>
      <c r="Y5" s="275">
        <v>0.003</v>
      </c>
      <c r="Z5" s="275">
        <f t="shared" si="5"/>
        <v>9.9</v>
      </c>
      <c r="AA5" s="275"/>
      <c r="AB5" s="275"/>
      <c r="AC5" s="275"/>
      <c r="AD5" s="275">
        <v>3300</v>
      </c>
      <c r="AE5" s="275">
        <v>0.002</v>
      </c>
      <c r="AF5" s="275">
        <f t="shared" si="6"/>
        <v>6.6</v>
      </c>
      <c r="AG5" s="275">
        <v>3000</v>
      </c>
      <c r="AH5" s="275">
        <v>0.1</v>
      </c>
      <c r="AI5" s="275">
        <f>ROUND(AG5*AH5,2)</f>
        <v>300</v>
      </c>
      <c r="AJ5" s="275">
        <v>0.06</v>
      </c>
      <c r="AK5" s="275">
        <f>ROUND(AG5*AJ5,2)</f>
        <v>180</v>
      </c>
      <c r="AL5" s="313"/>
      <c r="AM5" s="275"/>
      <c r="AN5" s="275"/>
      <c r="AO5" s="275"/>
      <c r="AP5" s="276" t="s">
        <v>47</v>
      </c>
      <c r="AQ5" s="318">
        <v>5</v>
      </c>
      <c r="AR5" s="275"/>
      <c r="AS5" s="319">
        <f t="shared" si="7"/>
        <v>826.7</v>
      </c>
      <c r="AT5" s="319">
        <f t="shared" si="8"/>
        <v>339.9</v>
      </c>
      <c r="AU5" s="319">
        <f t="shared" si="9"/>
        <v>300</v>
      </c>
      <c r="AV5" s="319">
        <f t="shared" si="10"/>
        <v>180</v>
      </c>
      <c r="AW5" s="319">
        <f t="shared" si="11"/>
        <v>1646.6</v>
      </c>
      <c r="AX5" s="328">
        <f t="shared" si="12"/>
        <v>1166.6</v>
      </c>
      <c r="AY5" s="328"/>
      <c r="AZ5" s="328">
        <f t="shared" si="13"/>
        <v>480</v>
      </c>
      <c r="BA5" s="328"/>
      <c r="BB5" s="329">
        <v>80</v>
      </c>
      <c r="BC5" s="328">
        <f t="shared" si="14"/>
        <v>1726.6</v>
      </c>
      <c r="BD5" s="330"/>
      <c r="BE5" s="344"/>
      <c r="BF5" s="345"/>
      <c r="BG5" s="345"/>
      <c r="BH5" s="346" t="s">
        <v>47</v>
      </c>
    </row>
    <row r="6" s="263" customFormat="1" ht="18" customHeight="1" spans="1:60">
      <c r="A6" s="275">
        <v>2</v>
      </c>
      <c r="B6" s="276" t="s">
        <v>39</v>
      </c>
      <c r="C6" s="277" t="s">
        <v>50</v>
      </c>
      <c r="D6" s="278" t="s">
        <v>41</v>
      </c>
      <c r="E6" s="276" t="s">
        <v>51</v>
      </c>
      <c r="F6" s="279" t="s">
        <v>52</v>
      </c>
      <c r="G6" s="349" t="s">
        <v>53</v>
      </c>
      <c r="H6" s="278" t="s">
        <v>45</v>
      </c>
      <c r="I6" s="278" t="s">
        <v>54</v>
      </c>
      <c r="J6" s="278" t="s">
        <v>46</v>
      </c>
      <c r="K6" s="278" t="s">
        <v>54</v>
      </c>
      <c r="L6" s="275">
        <v>3803</v>
      </c>
      <c r="M6" s="275">
        <v>0.14</v>
      </c>
      <c r="N6" s="275">
        <f t="shared" si="0"/>
        <v>532.42</v>
      </c>
      <c r="O6" s="275">
        <v>0.08</v>
      </c>
      <c r="P6" s="275">
        <f t="shared" si="1"/>
        <v>304.24</v>
      </c>
      <c r="Q6" s="275">
        <v>6175</v>
      </c>
      <c r="R6" s="275">
        <v>0.055</v>
      </c>
      <c r="S6" s="275">
        <f t="shared" si="2"/>
        <v>339.63</v>
      </c>
      <c r="T6" s="275">
        <v>0.02</v>
      </c>
      <c r="U6" s="275">
        <f t="shared" si="3"/>
        <v>123.5</v>
      </c>
      <c r="V6" s="275">
        <v>3803</v>
      </c>
      <c r="W6" s="275">
        <v>0.0032</v>
      </c>
      <c r="X6" s="275">
        <f t="shared" si="4"/>
        <v>12.17</v>
      </c>
      <c r="Y6" s="275">
        <v>0.002</v>
      </c>
      <c r="Z6" s="275">
        <f t="shared" si="5"/>
        <v>7.61</v>
      </c>
      <c r="AA6" s="275">
        <v>6175</v>
      </c>
      <c r="AB6" s="275">
        <v>0.0085</v>
      </c>
      <c r="AC6" s="275">
        <f t="shared" ref="AC6:AC8" si="15">ROUND(AA6*AB6,2)</f>
        <v>52.49</v>
      </c>
      <c r="AD6" s="275">
        <v>3803</v>
      </c>
      <c r="AE6" s="275">
        <v>0.0016</v>
      </c>
      <c r="AF6" s="275">
        <f t="shared" si="6"/>
        <v>6.08</v>
      </c>
      <c r="AG6" s="275"/>
      <c r="AH6" s="275"/>
      <c r="AI6" s="275"/>
      <c r="AJ6" s="275"/>
      <c r="AK6" s="275"/>
      <c r="AL6" s="313"/>
      <c r="AM6" s="275"/>
      <c r="AN6" s="275"/>
      <c r="AO6" s="275"/>
      <c r="AP6" s="276"/>
      <c r="AQ6" s="318">
        <v>26.76</v>
      </c>
      <c r="AR6" s="275"/>
      <c r="AS6" s="319">
        <f t="shared" si="7"/>
        <v>969.55</v>
      </c>
      <c r="AT6" s="319">
        <f t="shared" si="8"/>
        <v>435.35</v>
      </c>
      <c r="AU6" s="319">
        <f t="shared" si="9"/>
        <v>0</v>
      </c>
      <c r="AV6" s="319">
        <f t="shared" si="10"/>
        <v>0</v>
      </c>
      <c r="AW6" s="319">
        <f t="shared" si="11"/>
        <v>1404.9</v>
      </c>
      <c r="AX6" s="328">
        <f t="shared" si="12"/>
        <v>1404.9</v>
      </c>
      <c r="AY6" s="328"/>
      <c r="AZ6" s="328">
        <f t="shared" si="13"/>
        <v>0</v>
      </c>
      <c r="BA6" s="328"/>
      <c r="BB6" s="329">
        <v>80</v>
      </c>
      <c r="BC6" s="328">
        <f t="shared" si="14"/>
        <v>1484.9</v>
      </c>
      <c r="BD6" s="330"/>
      <c r="BE6" s="347"/>
      <c r="BF6" s="347"/>
      <c r="BG6" s="347"/>
      <c r="BH6" s="347"/>
    </row>
    <row r="7" s="263" customFormat="1" ht="18" customHeight="1" spans="1:60">
      <c r="A7" s="275"/>
      <c r="B7" s="276" t="s">
        <v>39</v>
      </c>
      <c r="C7" s="277" t="s">
        <v>50</v>
      </c>
      <c r="D7" s="278" t="s">
        <v>41</v>
      </c>
      <c r="E7" s="276" t="s">
        <v>51</v>
      </c>
      <c r="F7" s="279" t="s">
        <v>52</v>
      </c>
      <c r="G7" s="349" t="s">
        <v>53</v>
      </c>
      <c r="H7" s="278" t="s">
        <v>45</v>
      </c>
      <c r="I7" s="278" t="s">
        <v>54</v>
      </c>
      <c r="J7" s="278" t="s">
        <v>48</v>
      </c>
      <c r="K7" s="278" t="s">
        <v>54</v>
      </c>
      <c r="L7" s="275">
        <v>3803</v>
      </c>
      <c r="M7" s="275">
        <v>0.14</v>
      </c>
      <c r="N7" s="275">
        <f t="shared" si="0"/>
        <v>532.42</v>
      </c>
      <c r="O7" s="275">
        <v>0.08</v>
      </c>
      <c r="P7" s="275">
        <f t="shared" si="1"/>
        <v>304.24</v>
      </c>
      <c r="Q7" s="275">
        <v>6175</v>
      </c>
      <c r="R7" s="275">
        <v>0.055</v>
      </c>
      <c r="S7" s="275">
        <f t="shared" si="2"/>
        <v>339.63</v>
      </c>
      <c r="T7" s="275">
        <v>0.02</v>
      </c>
      <c r="U7" s="275">
        <f t="shared" si="3"/>
        <v>123.5</v>
      </c>
      <c r="V7" s="275">
        <v>3803</v>
      </c>
      <c r="W7" s="275">
        <v>0.0032</v>
      </c>
      <c r="X7" s="275">
        <f t="shared" si="4"/>
        <v>12.17</v>
      </c>
      <c r="Y7" s="275">
        <v>0.002</v>
      </c>
      <c r="Z7" s="275">
        <f t="shared" si="5"/>
        <v>7.61</v>
      </c>
      <c r="AA7" s="275">
        <v>6175</v>
      </c>
      <c r="AB7" s="275">
        <v>0.0085</v>
      </c>
      <c r="AC7" s="275">
        <f t="shared" si="15"/>
        <v>52.49</v>
      </c>
      <c r="AD7" s="275">
        <v>3803</v>
      </c>
      <c r="AE7" s="275">
        <v>0.0016</v>
      </c>
      <c r="AF7" s="275">
        <f t="shared" si="6"/>
        <v>6.08</v>
      </c>
      <c r="AG7" s="275"/>
      <c r="AH7" s="275"/>
      <c r="AI7" s="275"/>
      <c r="AJ7" s="275"/>
      <c r="AK7" s="275"/>
      <c r="AL7" s="313"/>
      <c r="AM7" s="275"/>
      <c r="AN7" s="275"/>
      <c r="AO7" s="275"/>
      <c r="AP7" s="276"/>
      <c r="AQ7" s="318">
        <v>26.76</v>
      </c>
      <c r="AR7" s="275"/>
      <c r="AS7" s="319">
        <f t="shared" si="7"/>
        <v>969.55</v>
      </c>
      <c r="AT7" s="319">
        <f t="shared" si="8"/>
        <v>435.35</v>
      </c>
      <c r="AU7" s="319">
        <f t="shared" si="9"/>
        <v>0</v>
      </c>
      <c r="AV7" s="319">
        <f t="shared" si="10"/>
        <v>0</v>
      </c>
      <c r="AW7" s="319">
        <f t="shared" si="11"/>
        <v>1404.9</v>
      </c>
      <c r="AX7" s="328">
        <f t="shared" si="12"/>
        <v>1404.9</v>
      </c>
      <c r="AY7" s="328"/>
      <c r="AZ7" s="328">
        <f t="shared" si="13"/>
        <v>0</v>
      </c>
      <c r="BA7" s="328"/>
      <c r="BB7" s="329">
        <v>80</v>
      </c>
      <c r="BC7" s="328">
        <f t="shared" si="14"/>
        <v>1484.9</v>
      </c>
      <c r="BD7" s="330"/>
      <c r="BE7" s="347"/>
      <c r="BF7" s="347"/>
      <c r="BG7" s="347"/>
      <c r="BH7" s="347"/>
    </row>
    <row r="8" s="263" customFormat="1" ht="18" customHeight="1" spans="1:60">
      <c r="A8" s="275"/>
      <c r="B8" s="276" t="s">
        <v>39</v>
      </c>
      <c r="C8" s="277" t="s">
        <v>50</v>
      </c>
      <c r="D8" s="278" t="s">
        <v>41</v>
      </c>
      <c r="E8" s="276" t="s">
        <v>51</v>
      </c>
      <c r="F8" s="279" t="s">
        <v>52</v>
      </c>
      <c r="G8" s="349" t="s">
        <v>53</v>
      </c>
      <c r="H8" s="278" t="s">
        <v>45</v>
      </c>
      <c r="I8" s="278" t="s">
        <v>54</v>
      </c>
      <c r="J8" s="278" t="s">
        <v>49</v>
      </c>
      <c r="K8" s="278" t="s">
        <v>54</v>
      </c>
      <c r="L8" s="275">
        <v>3803</v>
      </c>
      <c r="M8" s="275">
        <v>0.14</v>
      </c>
      <c r="N8" s="275">
        <f t="shared" si="0"/>
        <v>532.42</v>
      </c>
      <c r="O8" s="275">
        <v>0.08</v>
      </c>
      <c r="P8" s="275">
        <f t="shared" si="1"/>
        <v>304.24</v>
      </c>
      <c r="Q8" s="275">
        <v>6175</v>
      </c>
      <c r="R8" s="275">
        <v>0.055</v>
      </c>
      <c r="S8" s="275">
        <f t="shared" si="2"/>
        <v>339.63</v>
      </c>
      <c r="T8" s="275">
        <v>0.02</v>
      </c>
      <c r="U8" s="275">
        <f t="shared" si="3"/>
        <v>123.5</v>
      </c>
      <c r="V8" s="275">
        <v>3803</v>
      </c>
      <c r="W8" s="275">
        <v>0.0032</v>
      </c>
      <c r="X8" s="275">
        <f t="shared" si="4"/>
        <v>12.17</v>
      </c>
      <c r="Y8" s="275">
        <v>0.002</v>
      </c>
      <c r="Z8" s="275">
        <f t="shared" si="5"/>
        <v>7.61</v>
      </c>
      <c r="AA8" s="275">
        <v>6175</v>
      </c>
      <c r="AB8" s="275">
        <v>0.0085</v>
      </c>
      <c r="AC8" s="275">
        <f t="shared" si="15"/>
        <v>52.49</v>
      </c>
      <c r="AD8" s="275">
        <v>3803</v>
      </c>
      <c r="AE8" s="275">
        <v>0.0016</v>
      </c>
      <c r="AF8" s="275">
        <f t="shared" si="6"/>
        <v>6.08</v>
      </c>
      <c r="AG8" s="275"/>
      <c r="AH8" s="275"/>
      <c r="AI8" s="275"/>
      <c r="AJ8" s="275"/>
      <c r="AK8" s="275"/>
      <c r="AL8" s="313"/>
      <c r="AM8" s="275"/>
      <c r="AN8" s="275"/>
      <c r="AO8" s="275"/>
      <c r="AP8" s="276"/>
      <c r="AQ8" s="318">
        <v>26.76</v>
      </c>
      <c r="AR8" s="275"/>
      <c r="AS8" s="319">
        <f t="shared" si="7"/>
        <v>969.55</v>
      </c>
      <c r="AT8" s="319">
        <f t="shared" si="8"/>
        <v>435.35</v>
      </c>
      <c r="AU8" s="319">
        <f t="shared" si="9"/>
        <v>0</v>
      </c>
      <c r="AV8" s="319">
        <f t="shared" si="10"/>
        <v>0</v>
      </c>
      <c r="AW8" s="319">
        <f t="shared" si="11"/>
        <v>1404.9</v>
      </c>
      <c r="AX8" s="328">
        <f t="shared" si="12"/>
        <v>1404.9</v>
      </c>
      <c r="AY8" s="328"/>
      <c r="AZ8" s="328">
        <f t="shared" si="13"/>
        <v>0</v>
      </c>
      <c r="BA8" s="328"/>
      <c r="BB8" s="329">
        <v>80</v>
      </c>
      <c r="BC8" s="328">
        <f t="shared" si="14"/>
        <v>1484.9</v>
      </c>
      <c r="BD8" s="330"/>
      <c r="BE8" s="347"/>
      <c r="BF8" s="347"/>
      <c r="BG8" s="347"/>
      <c r="BH8" s="347"/>
    </row>
    <row r="9" s="264" customFormat="1" ht="18" customHeight="1" spans="1:60">
      <c r="A9" s="281" t="s">
        <v>55</v>
      </c>
      <c r="B9" s="282" t="s">
        <v>39</v>
      </c>
      <c r="C9" s="283" t="s">
        <v>50</v>
      </c>
      <c r="D9" s="284" t="s">
        <v>41</v>
      </c>
      <c r="E9" s="282" t="s">
        <v>51</v>
      </c>
      <c r="F9" s="285" t="s">
        <v>52</v>
      </c>
      <c r="G9" s="350" t="s">
        <v>53</v>
      </c>
      <c r="H9" s="284" t="s">
        <v>45</v>
      </c>
      <c r="I9" s="284" t="s">
        <v>54</v>
      </c>
      <c r="J9" s="284" t="s">
        <v>56</v>
      </c>
      <c r="K9" s="284" t="s">
        <v>54</v>
      </c>
      <c r="L9" s="281"/>
      <c r="M9" s="281"/>
      <c r="N9" s="281"/>
      <c r="O9" s="281"/>
      <c r="P9" s="281"/>
      <c r="Q9" s="281"/>
      <c r="R9" s="281"/>
      <c r="S9" s="281"/>
      <c r="T9" s="281"/>
      <c r="U9" s="281"/>
      <c r="V9" s="281"/>
      <c r="W9" s="281"/>
      <c r="X9" s="281"/>
      <c r="Y9" s="281"/>
      <c r="Z9" s="281"/>
      <c r="AA9" s="281"/>
      <c r="AB9" s="281"/>
      <c r="AC9" s="281"/>
      <c r="AD9" s="312">
        <f t="shared" ref="AD9:AD11" si="16">3803-3000</f>
        <v>803</v>
      </c>
      <c r="AE9" s="312">
        <v>0.0016</v>
      </c>
      <c r="AF9" s="312">
        <f t="shared" si="6"/>
        <v>1.28</v>
      </c>
      <c r="AG9" s="281"/>
      <c r="AH9" s="281"/>
      <c r="AI9" s="281"/>
      <c r="AJ9" s="281"/>
      <c r="AK9" s="281"/>
      <c r="AL9" s="314"/>
      <c r="AM9" s="281"/>
      <c r="AN9" s="281"/>
      <c r="AO9" s="281"/>
      <c r="AP9" s="282"/>
      <c r="AQ9" s="320"/>
      <c r="AR9" s="281"/>
      <c r="AS9" s="321">
        <f t="shared" si="7"/>
        <v>1.28</v>
      </c>
      <c r="AT9" s="321">
        <f t="shared" si="8"/>
        <v>0</v>
      </c>
      <c r="AU9" s="321">
        <f t="shared" si="9"/>
        <v>0</v>
      </c>
      <c r="AV9" s="321">
        <f t="shared" si="10"/>
        <v>0</v>
      </c>
      <c r="AW9" s="321">
        <f t="shared" si="11"/>
        <v>1.28</v>
      </c>
      <c r="AX9" s="331">
        <f t="shared" si="12"/>
        <v>1.28</v>
      </c>
      <c r="AY9" s="331"/>
      <c r="AZ9" s="331"/>
      <c r="BA9" s="331"/>
      <c r="BB9" s="332"/>
      <c r="BC9" s="331">
        <f t="shared" si="14"/>
        <v>1.28</v>
      </c>
      <c r="BD9" s="333" t="s">
        <v>57</v>
      </c>
      <c r="BE9" s="348"/>
      <c r="BF9" s="348"/>
      <c r="BG9" s="348"/>
      <c r="BH9" s="348"/>
    </row>
    <row r="10" s="264" customFormat="1" ht="18" customHeight="1" spans="1:60">
      <c r="A10" s="281" t="s">
        <v>55</v>
      </c>
      <c r="B10" s="282" t="s">
        <v>39</v>
      </c>
      <c r="C10" s="283" t="s">
        <v>50</v>
      </c>
      <c r="D10" s="284" t="s">
        <v>41</v>
      </c>
      <c r="E10" s="282" t="s">
        <v>51</v>
      </c>
      <c r="F10" s="285" t="s">
        <v>52</v>
      </c>
      <c r="G10" s="350" t="s">
        <v>53</v>
      </c>
      <c r="H10" s="284" t="s">
        <v>45</v>
      </c>
      <c r="I10" s="284" t="s">
        <v>54</v>
      </c>
      <c r="J10" s="284" t="s">
        <v>58</v>
      </c>
      <c r="K10" s="284" t="s">
        <v>54</v>
      </c>
      <c r="L10" s="281"/>
      <c r="M10" s="281"/>
      <c r="N10" s="281"/>
      <c r="O10" s="281"/>
      <c r="P10" s="281"/>
      <c r="Q10" s="281"/>
      <c r="R10" s="281"/>
      <c r="S10" s="281"/>
      <c r="T10" s="281"/>
      <c r="U10" s="281"/>
      <c r="V10" s="281"/>
      <c r="W10" s="281"/>
      <c r="X10" s="281"/>
      <c r="Y10" s="281"/>
      <c r="Z10" s="281"/>
      <c r="AA10" s="281"/>
      <c r="AB10" s="281"/>
      <c r="AC10" s="281"/>
      <c r="AD10" s="312">
        <f t="shared" si="16"/>
        <v>803</v>
      </c>
      <c r="AE10" s="312">
        <v>0.0016</v>
      </c>
      <c r="AF10" s="312">
        <f t="shared" si="6"/>
        <v>1.28</v>
      </c>
      <c r="AG10" s="281"/>
      <c r="AH10" s="281"/>
      <c r="AI10" s="281"/>
      <c r="AJ10" s="281"/>
      <c r="AK10" s="281"/>
      <c r="AL10" s="314"/>
      <c r="AM10" s="281"/>
      <c r="AN10" s="281"/>
      <c r="AO10" s="281"/>
      <c r="AP10" s="282"/>
      <c r="AQ10" s="320"/>
      <c r="AR10" s="281"/>
      <c r="AS10" s="321">
        <f t="shared" si="7"/>
        <v>1.28</v>
      </c>
      <c r="AT10" s="321">
        <f t="shared" si="8"/>
        <v>0</v>
      </c>
      <c r="AU10" s="321">
        <f t="shared" si="9"/>
        <v>0</v>
      </c>
      <c r="AV10" s="321">
        <f t="shared" si="10"/>
        <v>0</v>
      </c>
      <c r="AW10" s="321">
        <f t="shared" si="11"/>
        <v>1.28</v>
      </c>
      <c r="AX10" s="331">
        <f t="shared" si="12"/>
        <v>1.28</v>
      </c>
      <c r="AY10" s="331"/>
      <c r="AZ10" s="331"/>
      <c r="BA10" s="331"/>
      <c r="BB10" s="332"/>
      <c r="BC10" s="331">
        <f t="shared" si="14"/>
        <v>1.28</v>
      </c>
      <c r="BD10" s="333" t="s">
        <v>57</v>
      </c>
      <c r="BE10" s="348"/>
      <c r="BF10" s="348"/>
      <c r="BG10" s="348"/>
      <c r="BH10" s="348"/>
    </row>
    <row r="11" s="264" customFormat="1" ht="18" customHeight="1" spans="1:60">
      <c r="A11" s="281" t="s">
        <v>55</v>
      </c>
      <c r="B11" s="282" t="s">
        <v>39</v>
      </c>
      <c r="C11" s="283" t="s">
        <v>50</v>
      </c>
      <c r="D11" s="284" t="s">
        <v>41</v>
      </c>
      <c r="E11" s="282" t="s">
        <v>51</v>
      </c>
      <c r="F11" s="285" t="s">
        <v>52</v>
      </c>
      <c r="G11" s="350" t="s">
        <v>53</v>
      </c>
      <c r="H11" s="284" t="s">
        <v>45</v>
      </c>
      <c r="I11" s="284" t="s">
        <v>54</v>
      </c>
      <c r="J11" s="284" t="s">
        <v>59</v>
      </c>
      <c r="K11" s="284" t="s">
        <v>54</v>
      </c>
      <c r="L11" s="281"/>
      <c r="M11" s="281"/>
      <c r="N11" s="281"/>
      <c r="O11" s="281"/>
      <c r="P11" s="281"/>
      <c r="Q11" s="281"/>
      <c r="R11" s="281"/>
      <c r="S11" s="281"/>
      <c r="T11" s="281"/>
      <c r="U11" s="281"/>
      <c r="V11" s="281"/>
      <c r="W11" s="281"/>
      <c r="X11" s="281"/>
      <c r="Y11" s="281"/>
      <c r="Z11" s="281"/>
      <c r="AA11" s="281"/>
      <c r="AB11" s="281"/>
      <c r="AC11" s="281"/>
      <c r="AD11" s="312">
        <f t="shared" si="16"/>
        <v>803</v>
      </c>
      <c r="AE11" s="312">
        <v>0.0016</v>
      </c>
      <c r="AF11" s="312">
        <f t="shared" si="6"/>
        <v>1.28</v>
      </c>
      <c r="AG11" s="281"/>
      <c r="AH11" s="281"/>
      <c r="AI11" s="281"/>
      <c r="AJ11" s="281"/>
      <c r="AK11" s="281"/>
      <c r="AL11" s="314"/>
      <c r="AM11" s="281"/>
      <c r="AN11" s="281"/>
      <c r="AO11" s="281"/>
      <c r="AP11" s="282"/>
      <c r="AQ11" s="320"/>
      <c r="AR11" s="281"/>
      <c r="AS11" s="321">
        <f t="shared" si="7"/>
        <v>1.28</v>
      </c>
      <c r="AT11" s="321">
        <f t="shared" si="8"/>
        <v>0</v>
      </c>
      <c r="AU11" s="321">
        <f t="shared" si="9"/>
        <v>0</v>
      </c>
      <c r="AV11" s="321">
        <f t="shared" si="10"/>
        <v>0</v>
      </c>
      <c r="AW11" s="321">
        <f t="shared" si="11"/>
        <v>1.28</v>
      </c>
      <c r="AX11" s="331">
        <f t="shared" si="12"/>
        <v>1.28</v>
      </c>
      <c r="AY11" s="331"/>
      <c r="AZ11" s="331"/>
      <c r="BA11" s="331"/>
      <c r="BB11" s="332"/>
      <c r="BC11" s="331">
        <f t="shared" si="14"/>
        <v>1.28</v>
      </c>
      <c r="BD11" s="333" t="s">
        <v>57</v>
      </c>
      <c r="BE11" s="348"/>
      <c r="BF11" s="348"/>
      <c r="BG11" s="348"/>
      <c r="BH11" s="348"/>
    </row>
    <row r="12" s="263" customFormat="1" ht="18" customHeight="1" spans="1:60">
      <c r="A12" s="275">
        <v>3</v>
      </c>
      <c r="B12" s="276" t="s">
        <v>39</v>
      </c>
      <c r="C12" s="277" t="s">
        <v>60</v>
      </c>
      <c r="D12" s="278" t="s">
        <v>41</v>
      </c>
      <c r="E12" s="276" t="s">
        <v>51</v>
      </c>
      <c r="F12" s="279" t="s">
        <v>61</v>
      </c>
      <c r="G12" s="280" t="s">
        <v>62</v>
      </c>
      <c r="H12" s="278" t="s">
        <v>63</v>
      </c>
      <c r="I12" s="278" t="s">
        <v>63</v>
      </c>
      <c r="J12" s="278" t="s">
        <v>48</v>
      </c>
      <c r="K12" s="278" t="s">
        <v>48</v>
      </c>
      <c r="L12" s="275">
        <v>3053.05</v>
      </c>
      <c r="M12" s="275">
        <v>0.16</v>
      </c>
      <c r="N12" s="275">
        <f t="shared" ref="N12:N15" si="17">ROUND(L12*M12,2)</f>
        <v>488.49</v>
      </c>
      <c r="O12" s="275">
        <v>0.08</v>
      </c>
      <c r="P12" s="275">
        <f t="shared" ref="P12:P15" si="18">ROUND(L12*O12,2)</f>
        <v>244.24</v>
      </c>
      <c r="Q12" s="275">
        <v>3053.05</v>
      </c>
      <c r="R12" s="275">
        <v>0.06</v>
      </c>
      <c r="S12" s="275">
        <f t="shared" ref="S12:S15" si="19">ROUND(Q12*R12,2)</f>
        <v>183.18</v>
      </c>
      <c r="T12" s="275">
        <v>0.02</v>
      </c>
      <c r="U12" s="275">
        <f t="shared" ref="U12:U15" si="20">ROUND(Q12*T12,2)</f>
        <v>61.06</v>
      </c>
      <c r="V12" s="275">
        <v>3053.05</v>
      </c>
      <c r="W12" s="275">
        <v>0.007</v>
      </c>
      <c r="X12" s="275">
        <f t="shared" ref="X12:X15" si="21">ROUND(V12*W12,2)</f>
        <v>21.37</v>
      </c>
      <c r="Y12" s="275">
        <v>0.003</v>
      </c>
      <c r="Z12" s="275">
        <f t="shared" ref="Z12:Z15" si="22">ROUND(V12*Y12,2)</f>
        <v>9.16</v>
      </c>
      <c r="AA12" s="275">
        <v>3053.05</v>
      </c>
      <c r="AB12" s="275">
        <v>0.007</v>
      </c>
      <c r="AC12" s="275">
        <f t="shared" ref="AC12:AC15" si="23">ROUND(AA12*AB12,2)</f>
        <v>21.37</v>
      </c>
      <c r="AD12" s="275">
        <v>3053.05</v>
      </c>
      <c r="AE12" s="275">
        <v>0.002</v>
      </c>
      <c r="AF12" s="275">
        <f t="shared" si="6"/>
        <v>6.11</v>
      </c>
      <c r="AG12" s="275" t="s">
        <v>64</v>
      </c>
      <c r="AH12" s="275">
        <v>0.05</v>
      </c>
      <c r="AI12" s="275">
        <f t="shared" ref="AI12:AI15" si="24">ROUND(AG12*AH12,2)</f>
        <v>79</v>
      </c>
      <c r="AJ12" s="275">
        <v>0.05</v>
      </c>
      <c r="AK12" s="275">
        <f t="shared" ref="AK12:AK15" si="25">ROUND(AG12*AJ12,2)</f>
        <v>79</v>
      </c>
      <c r="AL12" s="313"/>
      <c r="AM12" s="275"/>
      <c r="AN12" s="275"/>
      <c r="AO12" s="275"/>
      <c r="AP12" s="276"/>
      <c r="AQ12" s="318"/>
      <c r="AR12" s="275">
        <v>96</v>
      </c>
      <c r="AS12" s="319">
        <f t="shared" si="7"/>
        <v>720.52</v>
      </c>
      <c r="AT12" s="319">
        <f t="shared" si="8"/>
        <v>314.46</v>
      </c>
      <c r="AU12" s="319">
        <f t="shared" si="9"/>
        <v>79</v>
      </c>
      <c r="AV12" s="319">
        <f t="shared" si="10"/>
        <v>79</v>
      </c>
      <c r="AW12" s="319">
        <f t="shared" si="11"/>
        <v>1192.98</v>
      </c>
      <c r="AX12" s="328">
        <f t="shared" si="12"/>
        <v>1034.98</v>
      </c>
      <c r="AY12" s="328"/>
      <c r="AZ12" s="328">
        <f t="shared" ref="AZ12:AZ15" si="26">AU12+AV12</f>
        <v>158</v>
      </c>
      <c r="BA12" s="328"/>
      <c r="BB12" s="329">
        <v>80</v>
      </c>
      <c r="BC12" s="328">
        <f t="shared" si="14"/>
        <v>1272.98</v>
      </c>
      <c r="BD12" s="330"/>
      <c r="BE12" s="347"/>
      <c r="BF12" s="347"/>
      <c r="BG12" s="347"/>
      <c r="BH12" s="347"/>
    </row>
    <row r="13" s="263" customFormat="1" ht="18" customHeight="1" spans="1:60">
      <c r="A13" s="275"/>
      <c r="B13" s="276" t="s">
        <v>39</v>
      </c>
      <c r="C13" s="277" t="s">
        <v>60</v>
      </c>
      <c r="D13" s="278" t="s">
        <v>41</v>
      </c>
      <c r="E13" s="276" t="s">
        <v>51</v>
      </c>
      <c r="F13" s="279" t="s">
        <v>61</v>
      </c>
      <c r="G13" s="280" t="s">
        <v>62</v>
      </c>
      <c r="H13" s="278" t="s">
        <v>63</v>
      </c>
      <c r="I13" s="278" t="s">
        <v>63</v>
      </c>
      <c r="J13" s="278" t="s">
        <v>49</v>
      </c>
      <c r="K13" s="278" t="s">
        <v>49</v>
      </c>
      <c r="L13" s="275">
        <v>3053.05</v>
      </c>
      <c r="M13" s="275">
        <v>0.16</v>
      </c>
      <c r="N13" s="275">
        <f t="shared" si="17"/>
        <v>488.49</v>
      </c>
      <c r="O13" s="275">
        <v>0.08</v>
      </c>
      <c r="P13" s="275">
        <f t="shared" si="18"/>
        <v>244.24</v>
      </c>
      <c r="Q13" s="275">
        <v>3053.05</v>
      </c>
      <c r="R13" s="275">
        <v>0.06</v>
      </c>
      <c r="S13" s="275">
        <f t="shared" si="19"/>
        <v>183.18</v>
      </c>
      <c r="T13" s="275">
        <v>0.02</v>
      </c>
      <c r="U13" s="275">
        <f t="shared" si="20"/>
        <v>61.06</v>
      </c>
      <c r="V13" s="275">
        <v>3053.05</v>
      </c>
      <c r="W13" s="275">
        <v>0.007</v>
      </c>
      <c r="X13" s="275">
        <f t="shared" si="21"/>
        <v>21.37</v>
      </c>
      <c r="Y13" s="275">
        <v>0.003</v>
      </c>
      <c r="Z13" s="275">
        <f t="shared" si="22"/>
        <v>9.16</v>
      </c>
      <c r="AA13" s="275">
        <v>3053.05</v>
      </c>
      <c r="AB13" s="275">
        <v>0.007</v>
      </c>
      <c r="AC13" s="275">
        <f t="shared" si="23"/>
        <v>21.37</v>
      </c>
      <c r="AD13" s="275">
        <v>3053.05</v>
      </c>
      <c r="AE13" s="275">
        <v>0.002</v>
      </c>
      <c r="AF13" s="275">
        <f t="shared" si="6"/>
        <v>6.11</v>
      </c>
      <c r="AG13" s="275" t="s">
        <v>64</v>
      </c>
      <c r="AH13" s="275">
        <v>0.05</v>
      </c>
      <c r="AI13" s="275">
        <f t="shared" si="24"/>
        <v>79</v>
      </c>
      <c r="AJ13" s="275">
        <v>0.05</v>
      </c>
      <c r="AK13" s="275">
        <f t="shared" si="25"/>
        <v>79</v>
      </c>
      <c r="AL13" s="313"/>
      <c r="AM13" s="275"/>
      <c r="AN13" s="275"/>
      <c r="AO13" s="275"/>
      <c r="AP13" s="276"/>
      <c r="AQ13" s="318"/>
      <c r="AR13" s="318"/>
      <c r="AS13" s="319">
        <f t="shared" si="7"/>
        <v>720.52</v>
      </c>
      <c r="AT13" s="319">
        <f t="shared" si="8"/>
        <v>314.46</v>
      </c>
      <c r="AU13" s="319">
        <f t="shared" si="9"/>
        <v>79</v>
      </c>
      <c r="AV13" s="319">
        <f t="shared" si="10"/>
        <v>79</v>
      </c>
      <c r="AW13" s="319">
        <f t="shared" si="11"/>
        <v>1192.98</v>
      </c>
      <c r="AX13" s="328">
        <f t="shared" si="12"/>
        <v>1034.98</v>
      </c>
      <c r="AY13" s="328"/>
      <c r="AZ13" s="328">
        <f t="shared" si="26"/>
        <v>158</v>
      </c>
      <c r="BA13" s="328"/>
      <c r="BB13" s="329">
        <v>80</v>
      </c>
      <c r="BC13" s="328">
        <f t="shared" si="14"/>
        <v>1272.98</v>
      </c>
      <c r="BD13" s="330"/>
      <c r="BE13" s="347"/>
      <c r="BF13" s="347"/>
      <c r="BG13" s="347"/>
      <c r="BH13" s="347"/>
    </row>
    <row r="14" s="263" customFormat="1" ht="18" customHeight="1" spans="1:60">
      <c r="A14" s="275"/>
      <c r="B14" s="276" t="s">
        <v>39</v>
      </c>
      <c r="C14" s="277" t="s">
        <v>60</v>
      </c>
      <c r="D14" s="278" t="s">
        <v>41</v>
      </c>
      <c r="E14" s="276" t="s">
        <v>51</v>
      </c>
      <c r="F14" s="279" t="s">
        <v>61</v>
      </c>
      <c r="G14" s="280" t="s">
        <v>62</v>
      </c>
      <c r="H14" s="278" t="s">
        <v>63</v>
      </c>
      <c r="I14" s="278" t="s">
        <v>63</v>
      </c>
      <c r="J14" s="278" t="s">
        <v>65</v>
      </c>
      <c r="K14" s="278" t="s">
        <v>65</v>
      </c>
      <c r="L14" s="275">
        <v>3053.05</v>
      </c>
      <c r="M14" s="275">
        <v>0.16</v>
      </c>
      <c r="N14" s="275">
        <f t="shared" si="17"/>
        <v>488.49</v>
      </c>
      <c r="O14" s="275">
        <v>0.08</v>
      </c>
      <c r="P14" s="275">
        <f t="shared" si="18"/>
        <v>244.24</v>
      </c>
      <c r="Q14" s="275">
        <v>3053.05</v>
      </c>
      <c r="R14" s="275">
        <v>0.06</v>
      </c>
      <c r="S14" s="275">
        <f t="shared" si="19"/>
        <v>183.18</v>
      </c>
      <c r="T14" s="275">
        <v>0.02</v>
      </c>
      <c r="U14" s="275">
        <f t="shared" si="20"/>
        <v>61.06</v>
      </c>
      <c r="V14" s="275">
        <v>3053.05</v>
      </c>
      <c r="W14" s="275">
        <v>0.007</v>
      </c>
      <c r="X14" s="275">
        <f t="shared" si="21"/>
        <v>21.37</v>
      </c>
      <c r="Y14" s="275">
        <v>0.003</v>
      </c>
      <c r="Z14" s="275">
        <f t="shared" si="22"/>
        <v>9.16</v>
      </c>
      <c r="AA14" s="275">
        <v>3053.05</v>
      </c>
      <c r="AB14" s="275">
        <v>0.007</v>
      </c>
      <c r="AC14" s="275">
        <f t="shared" si="23"/>
        <v>21.37</v>
      </c>
      <c r="AD14" s="275">
        <v>3053.05</v>
      </c>
      <c r="AE14" s="275">
        <v>0.002</v>
      </c>
      <c r="AF14" s="275">
        <f t="shared" si="6"/>
        <v>6.11</v>
      </c>
      <c r="AG14" s="275" t="s">
        <v>64</v>
      </c>
      <c r="AH14" s="275">
        <v>0.05</v>
      </c>
      <c r="AI14" s="275">
        <f t="shared" si="24"/>
        <v>79</v>
      </c>
      <c r="AJ14" s="275">
        <v>0.05</v>
      </c>
      <c r="AK14" s="275">
        <f t="shared" si="25"/>
        <v>79</v>
      </c>
      <c r="AL14" s="313"/>
      <c r="AM14" s="275"/>
      <c r="AN14" s="275"/>
      <c r="AO14" s="275"/>
      <c r="AP14" s="276"/>
      <c r="AQ14" s="318"/>
      <c r="AR14" s="318"/>
      <c r="AS14" s="319">
        <f t="shared" si="7"/>
        <v>720.52</v>
      </c>
      <c r="AT14" s="319">
        <f t="shared" si="8"/>
        <v>314.46</v>
      </c>
      <c r="AU14" s="319">
        <f t="shared" si="9"/>
        <v>79</v>
      </c>
      <c r="AV14" s="319">
        <f t="shared" si="10"/>
        <v>79</v>
      </c>
      <c r="AW14" s="319">
        <f t="shared" si="11"/>
        <v>1192.98</v>
      </c>
      <c r="AX14" s="328">
        <f t="shared" si="12"/>
        <v>1034.98</v>
      </c>
      <c r="AY14" s="328"/>
      <c r="AZ14" s="328">
        <f t="shared" si="26"/>
        <v>158</v>
      </c>
      <c r="BA14" s="328"/>
      <c r="BB14" s="329">
        <v>80</v>
      </c>
      <c r="BC14" s="328">
        <f t="shared" si="14"/>
        <v>1272.98</v>
      </c>
      <c r="BD14" s="330"/>
      <c r="BE14" s="347"/>
      <c r="BF14" s="347"/>
      <c r="BG14" s="347"/>
      <c r="BH14" s="347"/>
    </row>
    <row r="15" s="264" customFormat="1" ht="18" customHeight="1" spans="1:60">
      <c r="A15" s="281" t="s">
        <v>55</v>
      </c>
      <c r="B15" s="282" t="s">
        <v>39</v>
      </c>
      <c r="C15" s="283" t="s">
        <v>60</v>
      </c>
      <c r="D15" s="284" t="s">
        <v>41</v>
      </c>
      <c r="E15" s="282" t="s">
        <v>51</v>
      </c>
      <c r="F15" s="285" t="s">
        <v>61</v>
      </c>
      <c r="G15" s="286" t="s">
        <v>62</v>
      </c>
      <c r="H15" s="284" t="s">
        <v>63</v>
      </c>
      <c r="I15" s="284" t="s">
        <v>63</v>
      </c>
      <c r="J15" s="284" t="s">
        <v>63</v>
      </c>
      <c r="K15" s="284" t="s">
        <v>63</v>
      </c>
      <c r="L15" s="281">
        <v>3053.05</v>
      </c>
      <c r="M15" s="281">
        <v>0.16</v>
      </c>
      <c r="N15" s="281">
        <f t="shared" si="17"/>
        <v>488.49</v>
      </c>
      <c r="O15" s="281">
        <v>0.08</v>
      </c>
      <c r="P15" s="281">
        <f t="shared" si="18"/>
        <v>244.24</v>
      </c>
      <c r="Q15" s="281">
        <v>3053.05</v>
      </c>
      <c r="R15" s="281">
        <v>0.06</v>
      </c>
      <c r="S15" s="281">
        <f t="shared" si="19"/>
        <v>183.18</v>
      </c>
      <c r="T15" s="281">
        <v>0.02</v>
      </c>
      <c r="U15" s="281">
        <f t="shared" si="20"/>
        <v>61.06</v>
      </c>
      <c r="V15" s="281">
        <v>3053.05</v>
      </c>
      <c r="W15" s="281">
        <v>0.007</v>
      </c>
      <c r="X15" s="281">
        <f t="shared" si="21"/>
        <v>21.37</v>
      </c>
      <c r="Y15" s="281">
        <v>0.003</v>
      </c>
      <c r="Z15" s="281">
        <f t="shared" si="22"/>
        <v>9.16</v>
      </c>
      <c r="AA15" s="281">
        <v>3053.05</v>
      </c>
      <c r="AB15" s="281">
        <v>0.007</v>
      </c>
      <c r="AC15" s="281">
        <f t="shared" si="23"/>
        <v>21.37</v>
      </c>
      <c r="AD15" s="281">
        <v>3053.05</v>
      </c>
      <c r="AE15" s="281">
        <v>0.002</v>
      </c>
      <c r="AF15" s="281">
        <f t="shared" si="6"/>
        <v>6.11</v>
      </c>
      <c r="AG15" s="281" t="s">
        <v>64</v>
      </c>
      <c r="AH15" s="281">
        <v>0.05</v>
      </c>
      <c r="AI15" s="281">
        <f t="shared" si="24"/>
        <v>79</v>
      </c>
      <c r="AJ15" s="281">
        <v>0.05</v>
      </c>
      <c r="AK15" s="281">
        <f t="shared" si="25"/>
        <v>79</v>
      </c>
      <c r="AL15" s="314"/>
      <c r="AM15" s="281"/>
      <c r="AN15" s="281"/>
      <c r="AO15" s="281"/>
      <c r="AP15" s="282"/>
      <c r="AQ15" s="320"/>
      <c r="AR15" s="320"/>
      <c r="AS15" s="321">
        <f t="shared" si="7"/>
        <v>720.52</v>
      </c>
      <c r="AT15" s="321">
        <f t="shared" si="8"/>
        <v>314.46</v>
      </c>
      <c r="AU15" s="321">
        <f t="shared" si="9"/>
        <v>79</v>
      </c>
      <c r="AV15" s="321">
        <f t="shared" si="10"/>
        <v>79</v>
      </c>
      <c r="AW15" s="321">
        <f t="shared" si="11"/>
        <v>1192.98</v>
      </c>
      <c r="AX15" s="331">
        <f t="shared" si="12"/>
        <v>1034.98</v>
      </c>
      <c r="AY15" s="331"/>
      <c r="AZ15" s="331">
        <f t="shared" si="26"/>
        <v>158</v>
      </c>
      <c r="BA15" s="331"/>
      <c r="BB15" s="332">
        <v>80</v>
      </c>
      <c r="BC15" s="331">
        <f t="shared" si="14"/>
        <v>1272.98</v>
      </c>
      <c r="BD15" s="333"/>
      <c r="BE15" s="348"/>
      <c r="BF15" s="348"/>
      <c r="BG15" s="348"/>
      <c r="BH15" s="348"/>
    </row>
    <row r="16" s="265" customFormat="1" ht="18" customHeight="1" spans="1:60">
      <c r="A16" s="287"/>
      <c r="B16" s="288"/>
      <c r="C16" s="289"/>
      <c r="D16" s="290"/>
      <c r="E16" s="291"/>
      <c r="F16" s="292"/>
      <c r="G16" s="293"/>
      <c r="H16" s="294"/>
      <c r="I16" s="290"/>
      <c r="J16" s="294"/>
      <c r="K16" s="294"/>
      <c r="L16" s="307"/>
      <c r="M16" s="307"/>
      <c r="N16" s="308"/>
      <c r="O16" s="307"/>
      <c r="P16" s="307"/>
      <c r="Q16" s="307"/>
      <c r="R16" s="307"/>
      <c r="S16" s="307"/>
      <c r="T16" s="307"/>
      <c r="U16" s="307"/>
      <c r="V16" s="310"/>
      <c r="W16" s="310"/>
      <c r="X16" s="311"/>
      <c r="Y16" s="310"/>
      <c r="Z16" s="307"/>
      <c r="AA16" s="307"/>
      <c r="AB16" s="307"/>
      <c r="AC16" s="307"/>
      <c r="AD16" s="307"/>
      <c r="AE16" s="307"/>
      <c r="AF16" s="308"/>
      <c r="AG16" s="307"/>
      <c r="AH16" s="307"/>
      <c r="AI16" s="307"/>
      <c r="AJ16" s="307"/>
      <c r="AK16" s="307"/>
      <c r="AL16" s="315"/>
      <c r="AM16" s="307"/>
      <c r="AN16" s="307"/>
      <c r="AO16" s="307"/>
      <c r="AP16" s="322"/>
      <c r="AQ16" s="323"/>
      <c r="AR16" s="307"/>
      <c r="AS16" s="324"/>
      <c r="AT16" s="324"/>
      <c r="AU16" s="324"/>
      <c r="AV16" s="324"/>
      <c r="AW16" s="324"/>
      <c r="AX16" s="334"/>
      <c r="AY16" s="335"/>
      <c r="AZ16" s="334"/>
      <c r="BA16" s="335"/>
      <c r="BB16" s="336"/>
      <c r="BC16" s="334"/>
      <c r="BD16" s="337"/>
      <c r="BE16" s="268"/>
      <c r="BF16" s="268"/>
      <c r="BG16" s="268"/>
      <c r="BH16" s="268"/>
    </row>
    <row r="17" ht="14.25" spans="1:56">
      <c r="A17" s="295" t="s">
        <v>66</v>
      </c>
      <c r="B17" s="296"/>
      <c r="C17" s="297"/>
      <c r="D17" s="297"/>
      <c r="E17" s="298"/>
      <c r="F17" s="297"/>
      <c r="G17" s="297"/>
      <c r="H17" s="297"/>
      <c r="I17" s="297"/>
      <c r="J17" s="297"/>
      <c r="K17" s="297"/>
      <c r="L17" s="298">
        <f t="shared" ref="L17:BC17" si="27">SUM(L3:L15)</f>
        <v>33521.2</v>
      </c>
      <c r="M17" s="298">
        <f t="shared" si="27"/>
        <v>1.54</v>
      </c>
      <c r="N17" s="298">
        <f t="shared" si="27"/>
        <v>5135.22</v>
      </c>
      <c r="O17" s="298">
        <f t="shared" si="27"/>
        <v>0.8</v>
      </c>
      <c r="P17" s="298">
        <f t="shared" si="27"/>
        <v>2681.68</v>
      </c>
      <c r="Q17" s="298">
        <f t="shared" si="27"/>
        <v>40637.2</v>
      </c>
      <c r="R17" s="298">
        <f t="shared" si="27"/>
        <v>0.645</v>
      </c>
      <c r="S17" s="298">
        <f t="shared" si="27"/>
        <v>2543.61</v>
      </c>
      <c r="T17" s="298">
        <f t="shared" si="27"/>
        <v>0.2</v>
      </c>
      <c r="U17" s="298">
        <f t="shared" si="27"/>
        <v>812.74</v>
      </c>
      <c r="V17" s="298">
        <f t="shared" si="27"/>
        <v>33521.2</v>
      </c>
      <c r="W17" s="298">
        <f t="shared" si="27"/>
        <v>0.0586</v>
      </c>
      <c r="X17" s="298">
        <f t="shared" si="27"/>
        <v>191.29</v>
      </c>
      <c r="Y17" s="298">
        <f t="shared" si="27"/>
        <v>0.027</v>
      </c>
      <c r="Z17" s="298">
        <f t="shared" si="27"/>
        <v>89.17</v>
      </c>
      <c r="AA17" s="298">
        <f t="shared" si="27"/>
        <v>30737.2</v>
      </c>
      <c r="AB17" s="298">
        <f t="shared" si="27"/>
        <v>0.0535</v>
      </c>
      <c r="AC17" s="298">
        <f t="shared" si="27"/>
        <v>242.95</v>
      </c>
      <c r="AD17" s="298">
        <f t="shared" si="27"/>
        <v>35930.2</v>
      </c>
      <c r="AE17" s="298">
        <f t="shared" si="27"/>
        <v>0.0236</v>
      </c>
      <c r="AF17" s="298">
        <f t="shared" si="27"/>
        <v>66.32</v>
      </c>
      <c r="AG17" s="298">
        <f t="shared" si="27"/>
        <v>9000</v>
      </c>
      <c r="AH17" s="298">
        <f t="shared" si="27"/>
        <v>0.5</v>
      </c>
      <c r="AI17" s="298">
        <f t="shared" si="27"/>
        <v>1216</v>
      </c>
      <c r="AJ17" s="298">
        <f t="shared" si="27"/>
        <v>0.38</v>
      </c>
      <c r="AK17" s="298">
        <f t="shared" si="27"/>
        <v>856</v>
      </c>
      <c r="AL17" s="298">
        <f t="shared" si="27"/>
        <v>0</v>
      </c>
      <c r="AM17" s="298">
        <f t="shared" si="27"/>
        <v>0</v>
      </c>
      <c r="AN17" s="298">
        <f t="shared" si="27"/>
        <v>0</v>
      </c>
      <c r="AO17" s="298">
        <f t="shared" si="27"/>
        <v>0</v>
      </c>
      <c r="AP17" s="298">
        <f t="shared" si="27"/>
        <v>0</v>
      </c>
      <c r="AQ17" s="298">
        <f t="shared" si="27"/>
        <v>95.28</v>
      </c>
      <c r="AR17" s="298">
        <f t="shared" si="27"/>
        <v>96</v>
      </c>
      <c r="AS17" s="298">
        <f t="shared" si="27"/>
        <v>8274.67</v>
      </c>
      <c r="AT17" s="298">
        <f t="shared" si="27"/>
        <v>3583.59</v>
      </c>
      <c r="AU17" s="298">
        <f t="shared" si="27"/>
        <v>1216</v>
      </c>
      <c r="AV17" s="298">
        <f t="shared" si="27"/>
        <v>856</v>
      </c>
      <c r="AW17" s="298">
        <f t="shared" si="27"/>
        <v>13930.26</v>
      </c>
      <c r="AX17" s="298">
        <f t="shared" si="27"/>
        <v>11858.26</v>
      </c>
      <c r="AY17" s="298">
        <f t="shared" si="27"/>
        <v>0</v>
      </c>
      <c r="AZ17" s="298">
        <f t="shared" si="27"/>
        <v>2072</v>
      </c>
      <c r="BA17" s="298">
        <f t="shared" si="27"/>
        <v>0</v>
      </c>
      <c r="BB17" s="298">
        <f t="shared" si="27"/>
        <v>800</v>
      </c>
      <c r="BC17" s="298">
        <f t="shared" si="27"/>
        <v>14730.26</v>
      </c>
      <c r="BD17" s="338"/>
    </row>
    <row r="18" ht="15" spans="1:56">
      <c r="A18" s="299" t="s">
        <v>23</v>
      </c>
      <c r="B18" s="300"/>
      <c r="C18" s="301"/>
      <c r="D18" s="301"/>
      <c r="E18" s="302"/>
      <c r="F18" s="302"/>
      <c r="G18" s="302"/>
      <c r="H18" s="302"/>
      <c r="I18" s="302"/>
      <c r="J18" s="302"/>
      <c r="K18" s="302"/>
      <c r="L18" s="309">
        <f t="shared" ref="L18:AX18" si="28">SUM(L17:L17)</f>
        <v>33521.2</v>
      </c>
      <c r="M18" s="309">
        <f t="shared" si="28"/>
        <v>1.54</v>
      </c>
      <c r="N18" s="309">
        <f t="shared" si="28"/>
        <v>5135.22</v>
      </c>
      <c r="O18" s="309">
        <f t="shared" si="28"/>
        <v>0.8</v>
      </c>
      <c r="P18" s="309">
        <f t="shared" si="28"/>
        <v>2681.68</v>
      </c>
      <c r="Q18" s="309">
        <f t="shared" si="28"/>
        <v>40637.2</v>
      </c>
      <c r="R18" s="309">
        <f t="shared" si="28"/>
        <v>0.645</v>
      </c>
      <c r="S18" s="309">
        <f t="shared" si="28"/>
        <v>2543.61</v>
      </c>
      <c r="T18" s="309">
        <f t="shared" si="28"/>
        <v>0.2</v>
      </c>
      <c r="U18" s="309">
        <f t="shared" si="28"/>
        <v>812.74</v>
      </c>
      <c r="V18" s="309">
        <f t="shared" si="28"/>
        <v>33521.2</v>
      </c>
      <c r="W18" s="309">
        <f t="shared" si="28"/>
        <v>0.0586</v>
      </c>
      <c r="X18" s="309">
        <f t="shared" si="28"/>
        <v>191.29</v>
      </c>
      <c r="Y18" s="309">
        <f t="shared" si="28"/>
        <v>0.027</v>
      </c>
      <c r="Z18" s="309">
        <f t="shared" si="28"/>
        <v>89.17</v>
      </c>
      <c r="AA18" s="309">
        <f t="shared" si="28"/>
        <v>30737.2</v>
      </c>
      <c r="AB18" s="309">
        <f t="shared" si="28"/>
        <v>0.0535</v>
      </c>
      <c r="AC18" s="309">
        <f t="shared" si="28"/>
        <v>242.95</v>
      </c>
      <c r="AD18" s="309">
        <f t="shared" si="28"/>
        <v>35930.2</v>
      </c>
      <c r="AE18" s="309">
        <f t="shared" si="28"/>
        <v>0.0236</v>
      </c>
      <c r="AF18" s="309">
        <f t="shared" si="28"/>
        <v>66.32</v>
      </c>
      <c r="AG18" s="309">
        <f t="shared" si="28"/>
        <v>9000</v>
      </c>
      <c r="AH18" s="309">
        <f t="shared" si="28"/>
        <v>0.5</v>
      </c>
      <c r="AI18" s="309">
        <f t="shared" si="28"/>
        <v>1216</v>
      </c>
      <c r="AJ18" s="309">
        <f t="shared" si="28"/>
        <v>0.38</v>
      </c>
      <c r="AK18" s="309">
        <f t="shared" si="28"/>
        <v>856</v>
      </c>
      <c r="AL18" s="309">
        <f t="shared" si="28"/>
        <v>0</v>
      </c>
      <c r="AM18" s="309">
        <f t="shared" si="28"/>
        <v>0</v>
      </c>
      <c r="AN18" s="309">
        <f t="shared" si="28"/>
        <v>0</v>
      </c>
      <c r="AO18" s="309">
        <f t="shared" si="28"/>
        <v>0</v>
      </c>
      <c r="AP18" s="309">
        <f t="shared" si="28"/>
        <v>0</v>
      </c>
      <c r="AQ18" s="309">
        <f t="shared" si="28"/>
        <v>95.28</v>
      </c>
      <c r="AR18" s="309">
        <f t="shared" si="28"/>
        <v>96</v>
      </c>
      <c r="AS18" s="325">
        <f t="shared" si="28"/>
        <v>8274.67</v>
      </c>
      <c r="AT18" s="325">
        <f t="shared" si="28"/>
        <v>3583.59</v>
      </c>
      <c r="AU18" s="325">
        <f t="shared" si="28"/>
        <v>1216</v>
      </c>
      <c r="AV18" s="325">
        <f t="shared" si="28"/>
        <v>856</v>
      </c>
      <c r="AW18" s="325">
        <f t="shared" si="28"/>
        <v>13930.26</v>
      </c>
      <c r="AX18" s="339">
        <f t="shared" si="28"/>
        <v>11858.26</v>
      </c>
      <c r="AY18" s="339"/>
      <c r="AZ18" s="339">
        <f t="shared" ref="AZ18:BC18" si="29">SUM(AZ17:AZ17)</f>
        <v>2072</v>
      </c>
      <c r="BA18" s="339"/>
      <c r="BB18" s="309">
        <f t="shared" si="29"/>
        <v>800</v>
      </c>
      <c r="BC18" s="309">
        <f t="shared" si="29"/>
        <v>14730.26</v>
      </c>
      <c r="BD18" s="340"/>
    </row>
    <row r="19" s="266" customFormat="1" spans="1:56">
      <c r="A19" s="303"/>
      <c r="B19" s="303"/>
      <c r="C19" s="303"/>
      <c r="D19" s="303"/>
      <c r="E19" s="303"/>
      <c r="F19" s="304"/>
      <c r="G19" s="303"/>
      <c r="H19" s="303"/>
      <c r="I19" s="303"/>
      <c r="J19" s="303"/>
      <c r="K19" s="303"/>
      <c r="L19" s="303"/>
      <c r="M19" s="303"/>
      <c r="N19" s="303"/>
      <c r="O19" s="303"/>
      <c r="P19" s="303"/>
      <c r="Q19" s="303"/>
      <c r="R19" s="303"/>
      <c r="S19" s="303"/>
      <c r="T19" s="303"/>
      <c r="U19" s="303"/>
      <c r="V19" s="303"/>
      <c r="W19" s="303"/>
      <c r="X19" s="303"/>
      <c r="Y19" s="303"/>
      <c r="Z19" s="303"/>
      <c r="AA19" s="303"/>
      <c r="AB19" s="303"/>
      <c r="AC19" s="303"/>
      <c r="AD19" s="303"/>
      <c r="AE19" s="303"/>
      <c r="AF19" s="303"/>
      <c r="AG19" s="303"/>
      <c r="AH19" s="303"/>
      <c r="AI19" s="303"/>
      <c r="AJ19" s="303"/>
      <c r="AK19" s="303"/>
      <c r="AL19" s="303"/>
      <c r="AM19" s="303"/>
      <c r="AN19" s="303"/>
      <c r="AO19" s="303"/>
      <c r="AP19" s="303"/>
      <c r="AQ19" s="303"/>
      <c r="AR19" s="303"/>
      <c r="AS19" s="326"/>
      <c r="AT19" s="326"/>
      <c r="AU19" s="326"/>
      <c r="AV19" s="326"/>
      <c r="AW19" s="326"/>
      <c r="AX19" s="303"/>
      <c r="AY19" s="303"/>
      <c r="AZ19" s="303"/>
      <c r="BA19" s="303"/>
      <c r="BB19" s="303"/>
      <c r="BC19" s="303"/>
      <c r="BD19" s="341"/>
    </row>
    <row r="20" s="267" customFormat="1" spans="1:56">
      <c r="A20" s="268"/>
      <c r="B20" s="268"/>
      <c r="C20" s="268"/>
      <c r="D20" s="268"/>
      <c r="E20" s="268"/>
      <c r="F20" s="268"/>
      <c r="G20" s="268"/>
      <c r="H20" s="268"/>
      <c r="I20" s="268"/>
      <c r="J20" s="268"/>
      <c r="K20" s="268"/>
      <c r="L20" s="268"/>
      <c r="M20" s="268"/>
      <c r="N20" s="268"/>
      <c r="O20" s="268"/>
      <c r="P20" s="268"/>
      <c r="Q20" s="268"/>
      <c r="R20" s="268"/>
      <c r="S20" s="268"/>
      <c r="T20" s="268"/>
      <c r="U20" s="268"/>
      <c r="V20" s="268"/>
      <c r="W20" s="268"/>
      <c r="X20" s="268"/>
      <c r="Y20" s="268"/>
      <c r="Z20" s="303"/>
      <c r="AA20" s="303"/>
      <c r="AB20" s="303"/>
      <c r="AC20" s="303"/>
      <c r="AD20" s="303"/>
      <c r="AE20" s="303"/>
      <c r="AF20" s="303"/>
      <c r="AG20" s="303"/>
      <c r="AH20" s="303"/>
      <c r="AI20" s="303"/>
      <c r="AJ20" s="268"/>
      <c r="AK20" s="268"/>
      <c r="AL20" s="268"/>
      <c r="AM20" s="268"/>
      <c r="AN20" s="268"/>
      <c r="AO20" s="268"/>
      <c r="AP20" s="268"/>
      <c r="AQ20" s="268"/>
      <c r="AR20" s="268"/>
      <c r="AS20" s="269"/>
      <c r="AT20" s="269"/>
      <c r="AU20" s="269"/>
      <c r="AV20" s="269"/>
      <c r="AW20" s="269"/>
      <c r="AX20" s="268"/>
      <c r="AY20" s="268"/>
      <c r="AZ20" s="268"/>
      <c r="BA20" s="268"/>
      <c r="BB20" s="268"/>
      <c r="BC20" s="268"/>
      <c r="BD20" s="270"/>
    </row>
    <row r="22" spans="50:55">
      <c r="AX22" s="342"/>
      <c r="AY22" s="342"/>
      <c r="BC22" s="343"/>
    </row>
  </sheetData>
  <mergeCells count="54">
    <mergeCell ref="L1:P1"/>
    <mergeCell ref="Q1:U1"/>
    <mergeCell ref="V1:Z1"/>
    <mergeCell ref="AA1:AC1"/>
    <mergeCell ref="AD1:AF1"/>
    <mergeCell ref="AG1:AK1"/>
    <mergeCell ref="AL1:AP1"/>
    <mergeCell ref="AQ1:AR1"/>
    <mergeCell ref="AS1:AW1"/>
    <mergeCell ref="AX3:AY3"/>
    <mergeCell ref="AZ3:BA3"/>
    <mergeCell ref="AX4:AY4"/>
    <mergeCell ref="AZ4:BA4"/>
    <mergeCell ref="AX5:AY5"/>
    <mergeCell ref="AZ5:BA5"/>
    <mergeCell ref="AX6:AY6"/>
    <mergeCell ref="AZ6:BA6"/>
    <mergeCell ref="AX7:AY7"/>
    <mergeCell ref="AZ7:BA7"/>
    <mergeCell ref="AX8:AY8"/>
    <mergeCell ref="AZ8:BA8"/>
    <mergeCell ref="AX9:AY9"/>
    <mergeCell ref="AZ9:BA9"/>
    <mergeCell ref="AX10:AY10"/>
    <mergeCell ref="AZ10:BA10"/>
    <mergeCell ref="AX11:AY11"/>
    <mergeCell ref="AZ11:BA11"/>
    <mergeCell ref="AX12:AY12"/>
    <mergeCell ref="AZ12:BA12"/>
    <mergeCell ref="AX13:AY13"/>
    <mergeCell ref="AZ13:BA13"/>
    <mergeCell ref="AX14:AY14"/>
    <mergeCell ref="AZ14:BA14"/>
    <mergeCell ref="AX15:AY15"/>
    <mergeCell ref="AZ15:BA15"/>
    <mergeCell ref="AX18:AY18"/>
    <mergeCell ref="AZ18:BA18"/>
    <mergeCell ref="AX22:AY22"/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K1:K2"/>
    <mergeCell ref="BB1:BB2"/>
    <mergeCell ref="BC1:BC2"/>
    <mergeCell ref="BD1:BD2"/>
    <mergeCell ref="AX1:AY2"/>
    <mergeCell ref="AZ1:BA2"/>
  </mergeCells>
  <conditionalFormatting sqref="H1:I1">
    <cfRule type="expression" dxfId="0" priority="1" stopIfTrue="1">
      <formula>AND(COUNTIF($J$1:$J$1,H1)&gt;1,NOT(ISBLANK(H1)))</formula>
    </cfRule>
  </conditionalFormatting>
  <conditionalFormatting sqref="J1">
    <cfRule type="duplicateValues" dxfId="1" priority="2" stopIfTrue="1"/>
  </conditionalFormatting>
  <conditionalFormatting sqref="K1:L1">
    <cfRule type="duplicateValues" dxfId="1" priority="3" stopIfTrue="1"/>
  </conditionalFormatting>
  <conditionalFormatting sqref="Q1">
    <cfRule type="duplicateValues" dxfId="1" priority="4" stopIfTrue="1"/>
  </conditionalFormatting>
  <conditionalFormatting sqref="V1">
    <cfRule type="duplicateValues" dxfId="1" priority="5" stopIfTrue="1"/>
  </conditionalFormatting>
  <conditionalFormatting sqref="AG1">
    <cfRule type="duplicateValues" dxfId="1" priority="6" stopIfTrue="1"/>
  </conditionalFormatting>
  <pageMargins left="0.75" right="0.75" top="1" bottom="1" header="0.5" footer="0.5"/>
  <headerFooter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>
    <tabColor rgb="FF00B050"/>
    <pageSetUpPr fitToPage="1"/>
  </sheetPr>
  <dimension ref="A1:AV34"/>
  <sheetViews>
    <sheetView workbookViewId="0">
      <pane xSplit="6" ySplit="3" topLeftCell="G4" activePane="bottomRight" state="frozen"/>
      <selection/>
      <selection pane="topRight"/>
      <selection pane="bottomLeft"/>
      <selection pane="bottomRight" activeCell="B4" sqref="B4:P16"/>
    </sheetView>
  </sheetViews>
  <sheetFormatPr defaultColWidth="9" defaultRowHeight="13.5"/>
  <cols>
    <col min="1" max="1" width="4.45" style="15" customWidth="1"/>
    <col min="2" max="2" width="12.6333333333333" style="15" customWidth="1"/>
    <col min="3" max="3" width="10.45" style="15" customWidth="1"/>
    <col min="4" max="4" width="8.725" style="15" customWidth="1"/>
    <col min="5" max="5" width="19.45" style="16" customWidth="1"/>
    <col min="6" max="6" width="9" style="15"/>
    <col min="7" max="7" width="11.9083333333333" style="17" customWidth="1"/>
    <col min="8" max="8" width="4.63333333333333" style="15" hidden="1" customWidth="1"/>
    <col min="9" max="9" width="5.26666666666667" style="15" hidden="1" customWidth="1"/>
    <col min="10" max="10" width="11.725" style="18" customWidth="1"/>
    <col min="11" max="11" width="5.26666666666667" style="15" customWidth="1"/>
    <col min="12" max="12" width="11.725" style="15" customWidth="1"/>
    <col min="13" max="13" width="12.45" style="15" customWidth="1" outlineLevel="1"/>
    <col min="14" max="15" width="9" style="15" customWidth="1" outlineLevel="1"/>
    <col min="16" max="16" width="11.0916666666667" style="15" customWidth="1" outlineLevel="1"/>
    <col min="17" max="17" width="9.725" style="15" customWidth="1"/>
    <col min="18" max="18" width="9.45" style="15" customWidth="1"/>
    <col min="19" max="19" width="13.3666666666667" style="15" customWidth="1"/>
    <col min="20" max="21" width="12.2666666666667" style="15" customWidth="1"/>
    <col min="22" max="27" width="9" style="15" customWidth="1" outlineLevel="1"/>
    <col min="28" max="28" width="11.2666666666667" style="15" customWidth="1"/>
    <col min="29" max="29" width="8.45" style="15" customWidth="1"/>
    <col min="30" max="30" width="15.2666666666667" style="15" customWidth="1"/>
    <col min="31" max="31" width="13.3666666666667" style="15" customWidth="1"/>
    <col min="32" max="32" width="10.725" style="15" customWidth="1"/>
    <col min="33" max="33" width="12.2666666666667" style="15" customWidth="1"/>
    <col min="34" max="34" width="11.45" style="15" customWidth="1"/>
    <col min="35" max="35" width="7.90833333333333" style="19" customWidth="1"/>
    <col min="36" max="36" width="11.45" style="15" customWidth="1"/>
    <col min="37" max="37" width="9" style="15"/>
    <col min="38" max="38" width="11.45" style="15" customWidth="1"/>
    <col min="39" max="40" width="9" style="15" hidden="1" customWidth="1"/>
    <col min="41" max="41" width="19" style="15" hidden="1" customWidth="1"/>
    <col min="42" max="42" width="12.2666666666667" style="15" hidden="1" customWidth="1"/>
    <col min="43" max="43" width="9" style="15" hidden="1" customWidth="1"/>
    <col min="44" max="44" width="7" style="15" hidden="1" customWidth="1"/>
    <col min="45" max="45" width="6.725" style="15" hidden="1" customWidth="1"/>
    <col min="46" max="46" width="6.09166666666667" style="15" hidden="1" customWidth="1"/>
    <col min="47" max="16384" width="9" style="15"/>
  </cols>
  <sheetData>
    <row r="1" s="10" customFormat="1" ht="29.25" customHeight="1" spans="1:45">
      <c r="A1" s="20" t="s">
        <v>146</v>
      </c>
      <c r="B1" s="21"/>
      <c r="C1" s="22"/>
      <c r="D1" s="23"/>
      <c r="E1" s="24"/>
      <c r="F1" s="24"/>
      <c r="G1" s="25"/>
      <c r="J1" s="60"/>
      <c r="L1" s="61"/>
      <c r="M1" s="62" t="s">
        <v>147</v>
      </c>
      <c r="N1" s="62"/>
      <c r="O1" s="62"/>
      <c r="P1" s="62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  <c r="AC1" s="83"/>
      <c r="AD1" s="61"/>
      <c r="AE1" s="61"/>
      <c r="AF1" s="61"/>
      <c r="AG1" s="61"/>
      <c r="AH1" s="61"/>
      <c r="AI1" s="102"/>
      <c r="AJ1" s="61"/>
      <c r="AK1" s="61"/>
      <c r="AL1" s="61"/>
      <c r="AM1" s="24"/>
      <c r="AN1" s="24"/>
      <c r="AO1" s="113"/>
      <c r="AP1" s="24"/>
      <c r="AQ1" s="24"/>
      <c r="AR1" s="24"/>
      <c r="AS1" s="24"/>
    </row>
    <row r="2" s="11" customFormat="1" ht="20.15" customHeight="1" spans="1:46">
      <c r="A2" s="26" t="s">
        <v>0</v>
      </c>
      <c r="B2" s="27" t="s">
        <v>148</v>
      </c>
      <c r="C2" s="28" t="s">
        <v>149</v>
      </c>
      <c r="D2" s="28" t="s">
        <v>150</v>
      </c>
      <c r="E2" s="29" t="s">
        <v>151</v>
      </c>
      <c r="F2" s="30" t="s">
        <v>152</v>
      </c>
      <c r="G2" s="29" t="s">
        <v>153</v>
      </c>
      <c r="H2" s="29" t="s">
        <v>154</v>
      </c>
      <c r="I2" s="29" t="s">
        <v>155</v>
      </c>
      <c r="J2" s="63" t="s">
        <v>156</v>
      </c>
      <c r="K2" s="29" t="s">
        <v>157</v>
      </c>
      <c r="L2" s="29" t="s">
        <v>158</v>
      </c>
      <c r="M2" s="64" t="s">
        <v>159</v>
      </c>
      <c r="N2" s="65"/>
      <c r="O2" s="65"/>
      <c r="P2" s="66"/>
      <c r="Q2" s="30" t="s">
        <v>160</v>
      </c>
      <c r="R2" s="29" t="s">
        <v>161</v>
      </c>
      <c r="S2" s="30" t="s">
        <v>162</v>
      </c>
      <c r="T2" s="84" t="s">
        <v>163</v>
      </c>
      <c r="U2" s="30" t="s">
        <v>164</v>
      </c>
      <c r="V2" s="85" t="s">
        <v>165</v>
      </c>
      <c r="W2" s="86"/>
      <c r="X2" s="86"/>
      <c r="Y2" s="86"/>
      <c r="Z2" s="86"/>
      <c r="AA2" s="94"/>
      <c r="AB2" s="30" t="s">
        <v>166</v>
      </c>
      <c r="AC2" s="30" t="s">
        <v>167</v>
      </c>
      <c r="AD2" s="84" t="s">
        <v>168</v>
      </c>
      <c r="AE2" s="84" t="s">
        <v>169</v>
      </c>
      <c r="AF2" s="84" t="s">
        <v>170</v>
      </c>
      <c r="AG2" s="84" t="s">
        <v>171</v>
      </c>
      <c r="AH2" s="103" t="s">
        <v>172</v>
      </c>
      <c r="AI2" s="104" t="s">
        <v>173</v>
      </c>
      <c r="AJ2" s="103" t="s">
        <v>144</v>
      </c>
      <c r="AK2" s="28" t="s">
        <v>22</v>
      </c>
      <c r="AL2" s="103" t="s">
        <v>174</v>
      </c>
      <c r="AM2" s="29" t="s">
        <v>216</v>
      </c>
      <c r="AN2" s="29" t="s">
        <v>217</v>
      </c>
      <c r="AO2" s="114" t="s">
        <v>218</v>
      </c>
      <c r="AP2" s="29" t="s">
        <v>219</v>
      </c>
      <c r="AQ2" s="29" t="s">
        <v>220</v>
      </c>
      <c r="AR2" s="30" t="s">
        <v>221</v>
      </c>
      <c r="AS2" s="30" t="s">
        <v>222</v>
      </c>
      <c r="AT2" s="30" t="s">
        <v>223</v>
      </c>
    </row>
    <row r="3" s="11" customFormat="1" ht="27" customHeight="1" spans="1:46">
      <c r="A3" s="31"/>
      <c r="B3" s="32"/>
      <c r="C3" s="33"/>
      <c r="D3" s="33"/>
      <c r="E3" s="34"/>
      <c r="F3" s="35"/>
      <c r="G3" s="34"/>
      <c r="H3" s="34"/>
      <c r="I3" s="34"/>
      <c r="J3" s="67"/>
      <c r="K3" s="34"/>
      <c r="L3" s="34"/>
      <c r="M3" s="68" t="s">
        <v>175</v>
      </c>
      <c r="N3" s="68" t="s">
        <v>176</v>
      </c>
      <c r="O3" s="68" t="s">
        <v>177</v>
      </c>
      <c r="P3" s="68" t="s">
        <v>37</v>
      </c>
      <c r="Q3" s="35"/>
      <c r="R3" s="34"/>
      <c r="S3" s="35"/>
      <c r="T3" s="87"/>
      <c r="U3" s="35"/>
      <c r="V3" s="88" t="s">
        <v>178</v>
      </c>
      <c r="W3" s="88" t="s">
        <v>179</v>
      </c>
      <c r="X3" s="88" t="s">
        <v>180</v>
      </c>
      <c r="Y3" s="88" t="s">
        <v>181</v>
      </c>
      <c r="Z3" s="88" t="s">
        <v>182</v>
      </c>
      <c r="AA3" s="88" t="s">
        <v>183</v>
      </c>
      <c r="AB3" s="35"/>
      <c r="AC3" s="35"/>
      <c r="AD3" s="87"/>
      <c r="AE3" s="87"/>
      <c r="AF3" s="87"/>
      <c r="AG3" s="87"/>
      <c r="AH3" s="105"/>
      <c r="AI3" s="106"/>
      <c r="AJ3" s="105"/>
      <c r="AK3" s="33"/>
      <c r="AL3" s="105"/>
      <c r="AM3" s="34"/>
      <c r="AN3" s="34"/>
      <c r="AO3" s="115"/>
      <c r="AP3" s="34"/>
      <c r="AQ3" s="34"/>
      <c r="AR3" s="35"/>
      <c r="AS3" s="35"/>
      <c r="AT3" s="35"/>
    </row>
    <row r="4" s="12" customFormat="1" ht="18" customHeight="1" spans="1:48">
      <c r="A4" s="36">
        <v>1</v>
      </c>
      <c r="B4" s="37" t="s">
        <v>184</v>
      </c>
      <c r="C4" s="37" t="s">
        <v>61</v>
      </c>
      <c r="D4" s="37" t="s">
        <v>120</v>
      </c>
      <c r="E4" s="37" t="s">
        <v>62</v>
      </c>
      <c r="F4" s="38" t="s">
        <v>185</v>
      </c>
      <c r="G4" s="39">
        <v>13944441728</v>
      </c>
      <c r="H4" s="40"/>
      <c r="I4" s="40"/>
      <c r="J4" s="69"/>
      <c r="K4" s="40"/>
      <c r="L4" s="70">
        <v>8000</v>
      </c>
      <c r="M4" s="71">
        <v>344.57</v>
      </c>
      <c r="N4" s="71">
        <v>86.14</v>
      </c>
      <c r="O4" s="71">
        <v>12.92</v>
      </c>
      <c r="P4" s="71">
        <v>177.4</v>
      </c>
      <c r="Q4" s="89">
        <f t="shared" ref="Q4:Q16" si="0">ROUND(SUM(M4:P4),2)</f>
        <v>621.03</v>
      </c>
      <c r="R4" s="70">
        <v>0</v>
      </c>
      <c r="S4" s="90">
        <f>L4+IFERROR(VLOOKUP($E:$E,'（居民）工资表-10月'!$E:$S,15,0),0)</f>
        <v>80000</v>
      </c>
      <c r="T4" s="91">
        <f>5000+IFERROR(VLOOKUP($E:$E,'（居民）工资表-10月'!$E:$T,16,0),0)</f>
        <v>50000</v>
      </c>
      <c r="U4" s="91">
        <f>Q4+IFERROR(VLOOKUP($E:$E,'（居民）工资表-10月'!$E:$U,17,0),0)</f>
        <v>6068.11</v>
      </c>
      <c r="V4" s="70"/>
      <c r="W4" s="70"/>
      <c r="X4" s="70"/>
      <c r="Y4" s="70"/>
      <c r="Z4" s="70"/>
      <c r="AA4" s="70"/>
      <c r="AB4" s="90">
        <f t="shared" ref="AB4:AB16" si="1">ROUND(SUM(V4:AA4),2)</f>
        <v>0</v>
      </c>
      <c r="AC4" s="90">
        <f>R4+IFERROR(VLOOKUP($E:$E,'（居民）工资表-10月'!$E:$AC,25,0),0)</f>
        <v>0</v>
      </c>
      <c r="AD4" s="95">
        <f t="shared" ref="AD4:AD16" si="2">ROUND(S4-T4-U4-AB4-AC4,2)</f>
        <v>23931.89</v>
      </c>
      <c r="AE4" s="96">
        <f>ROUND(MAX((AD4)*{0.03;0.1;0.2;0.25;0.3;0.35;0.45}-{0;2520;16920;31920;52920;85920;181920},0),2)</f>
        <v>717.96</v>
      </c>
      <c r="AF4" s="97">
        <f>IFERROR(VLOOKUP(E:E,'（居民）工资表-10月'!E:AF,28,0)+VLOOKUP(E:E,'（居民）工资表-10月'!E:AG,29,0),0)</f>
        <v>575.22</v>
      </c>
      <c r="AG4" s="97">
        <f>IF((AE4-AF4)&lt;0,0,AE4-AF4)</f>
        <v>142.74</v>
      </c>
      <c r="AH4" s="107">
        <f t="shared" ref="AH4:AH16" si="3">ROUND(IF((L4-Q4-AG4)&lt;0,0,(L4-Q4-AG4)),2)</f>
        <v>7236.23</v>
      </c>
      <c r="AI4" s="108"/>
      <c r="AJ4" s="107">
        <f t="shared" ref="AJ4:AJ16" si="4">AH4+AI4</f>
        <v>7236.23</v>
      </c>
      <c r="AK4" s="109"/>
      <c r="AL4" s="107">
        <f t="shared" ref="AL4:AL16" si="5">AJ4+AG4+AK4</f>
        <v>7378.97</v>
      </c>
      <c r="AM4" s="109"/>
      <c r="AN4" s="109"/>
      <c r="AO4" s="109"/>
      <c r="AP4" s="109"/>
      <c r="AQ4" s="109"/>
      <c r="AR4" s="116" t="str">
        <f t="shared" ref="AR4:AR16" si="6">IF(LEN(E4)=18,IF(RIGHT(E4,1)="X",IF(CHOOSE(MOD(SUM(LEFT(RIGHT(E4,18))*7+LEFT(RIGHT(E4,17))*9+LEFT(RIGHT(E4,16))*10+LEFT(RIGHT(E4,15))*5+LEFT(RIGHT(E4,14))*8+LEFT(RIGHT(E4,13))*4+LEFT(RIGHT(E4,12))*2+LEFT(RIGHT(E4,11))*1+LEFT(RIGHT(E4,10))*6+LEFT(RIGHT(E4,9))*3+LEFT(RIGHT(E4,8))*7+LEFT(RIGHT(E4,7))*9+LEFT(RIGHT(E4,6))*10+LEFT(RIGHT(E4,5))*5+LEFT(RIGHT(E4,4))*8+LEFT(RIGHT(E4,3))*4+LEFT(RIGHT(E4,2))*2),11)+1,1,0,"X",9,8,7,6,5,4,3,2)=LEFT(RIGHT(E4,1)),"正确","错误"),IF(CHOOSE(MOD(SUM(LEFT(RIGHT(E4,18))*7+LEFT(RIGHT(E4,17))*9+LEFT(RIGHT(E4,16))*10+LEFT(RIGHT(E4,15))*5+LEFT(RIGHT(E4,14))*8+LEFT(RIGHT(E4,13))*4+LEFT(RIGHT(E4,12))*2+LEFT(RIGHT(E4,11))*1+LEFT(RIGHT(E4,10))*6+LEFT(RIGHT(E4,9))*3+LEFT(RIGHT(E4,8))*7+LEFT(RIGHT(E4,7))*9+LEFT(RIGHT(E4,6))*10+LEFT(RIGHT(E4,5))*5+LEFT(RIGHT(E4,4))*8+LEFT(RIGHT(E4,3))*4+LEFT(RIGHT(E4,2))*2),11)+1,1,0,"X",9,8,7,6,5,4,3,2)=LEFT(RIGHT(E4,1))*1,"正确","错误")),IF(LEN(E4)=15,"老号，请注意！",IF(LEN(E4)=0,"未填写身份证号码","位数不对！")))</f>
        <v>正确</v>
      </c>
      <c r="AS4" s="116" t="str">
        <f t="shared" ref="AS4:AS12" si="7">IF(SUMPRODUCT(N(E$1:E$6=E4))&gt;1,"重复","不")</f>
        <v>不</v>
      </c>
      <c r="AT4" s="116" t="str">
        <f t="shared" ref="AT4:AT12" si="8">IF(SUMPRODUCT(N(AO$1:AO$6=AO4))&gt;1,"重复","不")</f>
        <v>重复</v>
      </c>
      <c r="AU4" s="11"/>
      <c r="AV4" s="11"/>
    </row>
    <row r="5" s="12" customFormat="1" ht="18" customHeight="1" spans="1:48">
      <c r="A5" s="36">
        <v>2</v>
      </c>
      <c r="B5" s="37" t="s">
        <v>184</v>
      </c>
      <c r="C5" s="37" t="s">
        <v>121</v>
      </c>
      <c r="D5" s="37" t="s">
        <v>120</v>
      </c>
      <c r="E5" s="352" t="s">
        <v>122</v>
      </c>
      <c r="F5" s="38" t="s">
        <v>187</v>
      </c>
      <c r="G5" s="39">
        <v>15360550807</v>
      </c>
      <c r="H5" s="40"/>
      <c r="I5" s="40"/>
      <c r="J5" s="69"/>
      <c r="K5" s="40"/>
      <c r="L5" s="70">
        <v>6100</v>
      </c>
      <c r="M5" s="71">
        <v>422.72</v>
      </c>
      <c r="N5" s="71">
        <v>119.92</v>
      </c>
      <c r="O5" s="71">
        <v>4.6</v>
      </c>
      <c r="P5" s="71">
        <v>115</v>
      </c>
      <c r="Q5" s="89">
        <f t="shared" si="0"/>
        <v>662.24</v>
      </c>
      <c r="R5" s="70">
        <v>0</v>
      </c>
      <c r="S5" s="90">
        <f>L5+IFERROR(VLOOKUP($E:$E,'（居民）工资表-10月'!$E:$S,15,0),0)</f>
        <v>59860</v>
      </c>
      <c r="T5" s="91">
        <f>5000+IFERROR(VLOOKUP($E:$E,'（居民）工资表-10月'!$E:$T,16,0),0)</f>
        <v>50000</v>
      </c>
      <c r="U5" s="91">
        <f>Q5+IFERROR(VLOOKUP($E:$E,'（居民）工资表-10月'!$E:$U,17,0),0)</f>
        <v>6773.84</v>
      </c>
      <c r="V5" s="70"/>
      <c r="W5" s="70"/>
      <c r="X5" s="70"/>
      <c r="Y5" s="70"/>
      <c r="Z5" s="70"/>
      <c r="AA5" s="70"/>
      <c r="AB5" s="90">
        <f t="shared" si="1"/>
        <v>0</v>
      </c>
      <c r="AC5" s="90">
        <f>R5+IFERROR(VLOOKUP($E:$E,'（居民）工资表-10月'!$E:$AC,25,0),0)</f>
        <v>0</v>
      </c>
      <c r="AD5" s="95">
        <f t="shared" si="2"/>
        <v>3086.16</v>
      </c>
      <c r="AE5" s="96">
        <f>ROUND(MAX((AD5)*{0.03;0.1;0.2;0.25;0.3;0.35;0.45}-{0;2520;16920;31920;52920;85920;181920},0),2)</f>
        <v>92.58</v>
      </c>
      <c r="AF5" s="97">
        <f>IFERROR(VLOOKUP(E:E,'（居民）工资表-10月'!E:AF,28,0)+VLOOKUP(E:E,'（居民）工资表-10月'!E:AG,29,0),0)</f>
        <v>79.45</v>
      </c>
      <c r="AG5" s="97">
        <f t="shared" ref="AG5:AG16" si="9">IF((AE5-AF5)&lt;0,0,AE5-AF5)</f>
        <v>13.13</v>
      </c>
      <c r="AH5" s="107">
        <f t="shared" si="3"/>
        <v>5424.63</v>
      </c>
      <c r="AI5" s="108"/>
      <c r="AJ5" s="107">
        <f t="shared" si="4"/>
        <v>5424.63</v>
      </c>
      <c r="AK5" s="109"/>
      <c r="AL5" s="107">
        <f t="shared" si="5"/>
        <v>5437.76</v>
      </c>
      <c r="AM5" s="109"/>
      <c r="AN5" s="109"/>
      <c r="AO5" s="109"/>
      <c r="AP5" s="109"/>
      <c r="AQ5" s="109"/>
      <c r="AR5" s="116" t="str">
        <f t="shared" si="6"/>
        <v>正确</v>
      </c>
      <c r="AS5" s="116" t="str">
        <f t="shared" si="7"/>
        <v>不</v>
      </c>
      <c r="AT5" s="116" t="str">
        <f t="shared" si="8"/>
        <v>重复</v>
      </c>
      <c r="AU5" s="11"/>
      <c r="AV5" s="11"/>
    </row>
    <row r="6" s="12" customFormat="1" ht="18" customHeight="1" spans="1:48">
      <c r="A6" s="36">
        <v>3</v>
      </c>
      <c r="B6" s="37" t="s">
        <v>184</v>
      </c>
      <c r="C6" s="37" t="s">
        <v>123</v>
      </c>
      <c r="D6" s="37" t="s">
        <v>120</v>
      </c>
      <c r="E6" s="352" t="s">
        <v>124</v>
      </c>
      <c r="F6" s="38" t="s">
        <v>185</v>
      </c>
      <c r="G6" s="39" t="s">
        <v>125</v>
      </c>
      <c r="H6" s="40"/>
      <c r="I6" s="40"/>
      <c r="J6" s="69"/>
      <c r="K6" s="40"/>
      <c r="L6" s="70">
        <v>30060</v>
      </c>
      <c r="M6" s="71">
        <v>590.72</v>
      </c>
      <c r="N6" s="71">
        <v>147.68</v>
      </c>
      <c r="O6" s="71">
        <v>36.92</v>
      </c>
      <c r="P6" s="71">
        <v>188</v>
      </c>
      <c r="Q6" s="89">
        <f t="shared" si="0"/>
        <v>963.32</v>
      </c>
      <c r="R6" s="70">
        <v>0</v>
      </c>
      <c r="S6" s="90">
        <f>L6+IFERROR(VLOOKUP($E:$E,'（居民）工资表-10月'!$E:$S,15,0),0)</f>
        <v>300600</v>
      </c>
      <c r="T6" s="91">
        <f>5000+IFERROR(VLOOKUP($E:$E,'（居民）工资表-10月'!$E:$T,16,0),0)</f>
        <v>50000</v>
      </c>
      <c r="U6" s="91">
        <f>Q6+IFERROR(VLOOKUP($E:$E,'（居民）工资表-10月'!$E:$U,17,0),0)</f>
        <v>9574.12</v>
      </c>
      <c r="V6" s="70"/>
      <c r="W6" s="70"/>
      <c r="X6" s="70"/>
      <c r="Y6" s="70"/>
      <c r="Z6" s="70"/>
      <c r="AA6" s="70"/>
      <c r="AB6" s="90">
        <f t="shared" si="1"/>
        <v>0</v>
      </c>
      <c r="AC6" s="90">
        <f>R6+IFERROR(VLOOKUP($E:$E,'（居民）工资表-10月'!$E:$AC,25,0),0)</f>
        <v>0</v>
      </c>
      <c r="AD6" s="95">
        <f t="shared" si="2"/>
        <v>241025.88</v>
      </c>
      <c r="AE6" s="96">
        <f>ROUND(MAX((AD6)*{0.03;0.1;0.2;0.25;0.3;0.35;0.45}-{0;2520;16920;31920;52920;85920;181920},0),2)</f>
        <v>31285.18</v>
      </c>
      <c r="AF6" s="97">
        <f>IFERROR(VLOOKUP(E:E,'（居民）工资表-10月'!E:AF,28,0)+VLOOKUP(E:E,'（居民）工资表-10月'!E:AG,29,0),0)</f>
        <v>26465.84</v>
      </c>
      <c r="AG6" s="97">
        <f t="shared" si="9"/>
        <v>4819.34</v>
      </c>
      <c r="AH6" s="107">
        <f t="shared" si="3"/>
        <v>24277.34</v>
      </c>
      <c r="AI6" s="108"/>
      <c r="AJ6" s="107">
        <f t="shared" si="4"/>
        <v>24277.34</v>
      </c>
      <c r="AK6" s="109"/>
      <c r="AL6" s="107">
        <f t="shared" si="5"/>
        <v>29096.68</v>
      </c>
      <c r="AM6" s="109"/>
      <c r="AN6" s="109"/>
      <c r="AO6" s="109"/>
      <c r="AP6" s="109"/>
      <c r="AQ6" s="109"/>
      <c r="AR6" s="116" t="str">
        <f t="shared" si="6"/>
        <v>正确</v>
      </c>
      <c r="AS6" s="116" t="str">
        <f t="shared" si="7"/>
        <v>不</v>
      </c>
      <c r="AT6" s="116" t="str">
        <f t="shared" si="8"/>
        <v>重复</v>
      </c>
      <c r="AU6" s="11"/>
      <c r="AV6" s="11"/>
    </row>
    <row r="7" s="12" customFormat="1" ht="19" customHeight="1" spans="1:48">
      <c r="A7" s="36">
        <v>4</v>
      </c>
      <c r="B7" s="37" t="s">
        <v>184</v>
      </c>
      <c r="C7" s="37" t="s">
        <v>126</v>
      </c>
      <c r="D7" s="37" t="s">
        <v>120</v>
      </c>
      <c r="E7" s="352" t="s">
        <v>127</v>
      </c>
      <c r="F7" s="38" t="s">
        <v>185</v>
      </c>
      <c r="G7" s="39" t="s">
        <v>128</v>
      </c>
      <c r="H7" s="40"/>
      <c r="I7" s="40"/>
      <c r="J7" s="69"/>
      <c r="K7" s="40"/>
      <c r="L7" s="70">
        <v>9000</v>
      </c>
      <c r="M7" s="71">
        <v>338.16</v>
      </c>
      <c r="N7" s="71">
        <v>93.7</v>
      </c>
      <c r="O7" s="71">
        <v>21.14</v>
      </c>
      <c r="P7" s="71">
        <v>97</v>
      </c>
      <c r="Q7" s="89">
        <f t="shared" si="0"/>
        <v>550</v>
      </c>
      <c r="R7" s="70">
        <v>0</v>
      </c>
      <c r="S7" s="90">
        <f>L7+IFERROR(VLOOKUP($E:$E,'（居民）工资表-10月'!$E:$S,15,0),0)</f>
        <v>91000</v>
      </c>
      <c r="T7" s="91">
        <f>5000+IFERROR(VLOOKUP($E:$E,'（居民）工资表-10月'!$E:$T,16,0),0)</f>
        <v>50000</v>
      </c>
      <c r="U7" s="91">
        <f>Q7+IFERROR(VLOOKUP($E:$E,'（居民）工资表-10月'!$E:$U,17,0),0)</f>
        <v>5566.87</v>
      </c>
      <c r="V7" s="70"/>
      <c r="W7" s="70"/>
      <c r="X7" s="70"/>
      <c r="Y7" s="70"/>
      <c r="Z7" s="70"/>
      <c r="AA7" s="70"/>
      <c r="AB7" s="90">
        <f t="shared" si="1"/>
        <v>0</v>
      </c>
      <c r="AC7" s="90">
        <f>R7+IFERROR(VLOOKUP($E:$E,'（居民）工资表-10月'!$E:$AC,25,0),0)</f>
        <v>0</v>
      </c>
      <c r="AD7" s="95">
        <f t="shared" si="2"/>
        <v>35433.13</v>
      </c>
      <c r="AE7" s="96">
        <f>ROUND(MAX((AD7)*{0.03;0.1;0.2;0.25;0.3;0.35;0.45}-{0;2520;16920;31920;52920;85920;181920},0),2)</f>
        <v>1062.99</v>
      </c>
      <c r="AF7" s="97">
        <f>IFERROR(VLOOKUP(E:E,'（居民）工资表-10月'!E:AF,28,0)+VLOOKUP(E:E,'（居民）工资表-10月'!E:AG,29,0),0)</f>
        <v>959.49</v>
      </c>
      <c r="AG7" s="97">
        <f t="shared" si="9"/>
        <v>103.5</v>
      </c>
      <c r="AH7" s="107">
        <f t="shared" si="3"/>
        <v>8346.5</v>
      </c>
      <c r="AI7" s="108"/>
      <c r="AJ7" s="107">
        <f t="shared" si="4"/>
        <v>8346.5</v>
      </c>
      <c r="AK7" s="109"/>
      <c r="AL7" s="107">
        <f t="shared" si="5"/>
        <v>8450</v>
      </c>
      <c r="AM7" s="109"/>
      <c r="AN7" s="109"/>
      <c r="AO7" s="109"/>
      <c r="AP7" s="109"/>
      <c r="AQ7" s="109"/>
      <c r="AR7" s="116" t="str">
        <f t="shared" si="6"/>
        <v>正确</v>
      </c>
      <c r="AS7" s="116" t="str">
        <f t="shared" si="7"/>
        <v>不</v>
      </c>
      <c r="AT7" s="116" t="str">
        <f t="shared" si="8"/>
        <v>重复</v>
      </c>
      <c r="AU7" s="11"/>
      <c r="AV7" s="11"/>
    </row>
    <row r="8" s="12" customFormat="1" ht="19" customHeight="1" spans="1:48">
      <c r="A8" s="36">
        <v>5</v>
      </c>
      <c r="B8" s="37" t="s">
        <v>184</v>
      </c>
      <c r="C8" s="37" t="s">
        <v>129</v>
      </c>
      <c r="D8" s="37" t="s">
        <v>120</v>
      </c>
      <c r="E8" s="352" t="s">
        <v>130</v>
      </c>
      <c r="F8" s="38" t="s">
        <v>185</v>
      </c>
      <c r="G8" s="39">
        <v>19356875630</v>
      </c>
      <c r="H8" s="40"/>
      <c r="I8" s="40"/>
      <c r="J8" s="69"/>
      <c r="K8" s="40"/>
      <c r="L8" s="70">
        <v>10500</v>
      </c>
      <c r="M8" s="71">
        <v>338.16</v>
      </c>
      <c r="N8" s="71">
        <v>90.54</v>
      </c>
      <c r="O8" s="71">
        <v>21.14</v>
      </c>
      <c r="P8" s="71">
        <v>344</v>
      </c>
      <c r="Q8" s="89">
        <f t="shared" si="0"/>
        <v>793.84</v>
      </c>
      <c r="R8" s="70">
        <v>0</v>
      </c>
      <c r="S8" s="90">
        <f>L8+IFERROR(VLOOKUP($E:$E,'（居民）工资表-10月'!$E:$S,15,0),0)</f>
        <v>108000</v>
      </c>
      <c r="T8" s="91">
        <f>5000+IFERROR(VLOOKUP($E:$E,'（居民）工资表-10月'!$E:$T,16,0),0)</f>
        <v>50000</v>
      </c>
      <c r="U8" s="91">
        <f>Q8+IFERROR(VLOOKUP($E:$E,'（居民）工资表-10月'!$E:$U,17,0),0)</f>
        <v>8003.92</v>
      </c>
      <c r="V8" s="70"/>
      <c r="W8" s="70"/>
      <c r="X8" s="70"/>
      <c r="Y8" s="70"/>
      <c r="Z8" s="70"/>
      <c r="AA8" s="70"/>
      <c r="AB8" s="90">
        <f t="shared" si="1"/>
        <v>0</v>
      </c>
      <c r="AC8" s="90">
        <f>R8+IFERROR(VLOOKUP($E:$E,'（居民）工资表-10月'!$E:$AC,25,0),0)</f>
        <v>0</v>
      </c>
      <c r="AD8" s="95">
        <f t="shared" si="2"/>
        <v>49996.08</v>
      </c>
      <c r="AE8" s="96">
        <f>ROUND(MAX((AD8)*{0.03;0.1;0.2;0.25;0.3;0.35;0.45}-{0;2520;16920;31920;52920;85920;181920},0),2)</f>
        <v>2479.61</v>
      </c>
      <c r="AF8" s="97">
        <f>IFERROR(VLOOKUP(E:E,'（居民）工资表-10月'!E:AF,28,0)+VLOOKUP(E:E,'（居民）工资表-10月'!E:AG,29,0),0)</f>
        <v>2008.99</v>
      </c>
      <c r="AG8" s="97">
        <f t="shared" si="9"/>
        <v>470.62</v>
      </c>
      <c r="AH8" s="107">
        <f t="shared" si="3"/>
        <v>9235.54</v>
      </c>
      <c r="AI8" s="108"/>
      <c r="AJ8" s="107">
        <f t="shared" si="4"/>
        <v>9235.54</v>
      </c>
      <c r="AK8" s="109"/>
      <c r="AL8" s="107">
        <f t="shared" si="5"/>
        <v>9706.16</v>
      </c>
      <c r="AM8" s="109"/>
      <c r="AN8" s="109"/>
      <c r="AO8" s="109"/>
      <c r="AP8" s="109"/>
      <c r="AQ8" s="109"/>
      <c r="AR8" s="116" t="str">
        <f t="shared" si="6"/>
        <v>正确</v>
      </c>
      <c r="AS8" s="116" t="str">
        <f t="shared" si="7"/>
        <v>不</v>
      </c>
      <c r="AT8" s="116" t="str">
        <f t="shared" si="8"/>
        <v>重复</v>
      </c>
      <c r="AU8" s="11"/>
      <c r="AV8" s="11"/>
    </row>
    <row r="9" s="12" customFormat="1" ht="19" customHeight="1" spans="1:48">
      <c r="A9" s="36">
        <v>6</v>
      </c>
      <c r="B9" s="37" t="s">
        <v>184</v>
      </c>
      <c r="C9" s="37" t="s">
        <v>131</v>
      </c>
      <c r="D9" s="37" t="s">
        <v>120</v>
      </c>
      <c r="E9" s="352" t="s">
        <v>132</v>
      </c>
      <c r="F9" s="38" t="s">
        <v>185</v>
      </c>
      <c r="G9" s="39">
        <v>13973652684</v>
      </c>
      <c r="H9" s="40"/>
      <c r="I9" s="40"/>
      <c r="J9" s="69"/>
      <c r="K9" s="40"/>
      <c r="L9" s="70">
        <v>6500</v>
      </c>
      <c r="M9" s="71">
        <v>299.28</v>
      </c>
      <c r="N9" s="71">
        <v>95.54</v>
      </c>
      <c r="O9" s="71">
        <v>11.22</v>
      </c>
      <c r="P9" s="71">
        <v>100</v>
      </c>
      <c r="Q9" s="89">
        <f t="shared" si="0"/>
        <v>506.04</v>
      </c>
      <c r="R9" s="70">
        <v>0</v>
      </c>
      <c r="S9" s="90">
        <f>L9+IFERROR(VLOOKUP($E:$E,'（居民）工资表-10月'!$E:$S,15,0),0)</f>
        <v>65000</v>
      </c>
      <c r="T9" s="91">
        <f>5000+IFERROR(VLOOKUP($E:$E,'（居民）工资表-10月'!$E:$T,16,0),0)</f>
        <v>50000</v>
      </c>
      <c r="U9" s="91">
        <f>Q9+IFERROR(VLOOKUP($E:$E,'（居民）工资表-10月'!$E:$U,17,0),0)</f>
        <v>5265.64</v>
      </c>
      <c r="V9" s="70"/>
      <c r="W9" s="70"/>
      <c r="X9" s="70"/>
      <c r="Y9" s="70"/>
      <c r="Z9" s="70"/>
      <c r="AA9" s="70"/>
      <c r="AB9" s="90">
        <f t="shared" si="1"/>
        <v>0</v>
      </c>
      <c r="AC9" s="90">
        <f>R9+IFERROR(VLOOKUP($E:$E,'（居民）工资表-10月'!$E:$AC,25,0),0)</f>
        <v>0</v>
      </c>
      <c r="AD9" s="95">
        <f t="shared" si="2"/>
        <v>9734.36</v>
      </c>
      <c r="AE9" s="96">
        <f>ROUND(MAX((AD9)*{0.03;0.1;0.2;0.25;0.3;0.35;0.45}-{0;2520;16920;31920;52920;85920;181920},0),2)</f>
        <v>292.03</v>
      </c>
      <c r="AF9" s="97">
        <f>IFERROR(VLOOKUP(E:E,'（居民）工资表-10月'!E:AF,28,0)+VLOOKUP(E:E,'（居民）工资表-10月'!E:AG,29,0),0)</f>
        <v>262.21</v>
      </c>
      <c r="AG9" s="97">
        <f t="shared" si="9"/>
        <v>29.82</v>
      </c>
      <c r="AH9" s="107">
        <f t="shared" si="3"/>
        <v>5964.14</v>
      </c>
      <c r="AI9" s="108"/>
      <c r="AJ9" s="107">
        <f t="shared" si="4"/>
        <v>5964.14</v>
      </c>
      <c r="AK9" s="109"/>
      <c r="AL9" s="107">
        <f t="shared" si="5"/>
        <v>5993.96</v>
      </c>
      <c r="AM9" s="109"/>
      <c r="AN9" s="109"/>
      <c r="AO9" s="109"/>
      <c r="AP9" s="109"/>
      <c r="AQ9" s="109"/>
      <c r="AR9" s="116" t="str">
        <f t="shared" si="6"/>
        <v>正确</v>
      </c>
      <c r="AS9" s="116" t="str">
        <f t="shared" si="7"/>
        <v>不</v>
      </c>
      <c r="AT9" s="116" t="str">
        <f t="shared" si="8"/>
        <v>重复</v>
      </c>
      <c r="AU9" s="11"/>
      <c r="AV9" s="11"/>
    </row>
    <row r="10" s="12" customFormat="1" ht="19" customHeight="1" spans="1:48">
      <c r="A10" s="36">
        <v>7</v>
      </c>
      <c r="B10" s="37" t="s">
        <v>184</v>
      </c>
      <c r="C10" s="37" t="s">
        <v>192</v>
      </c>
      <c r="D10" s="37" t="s">
        <v>120</v>
      </c>
      <c r="E10" s="352" t="s">
        <v>193</v>
      </c>
      <c r="F10" s="38" t="s">
        <v>187</v>
      </c>
      <c r="G10" s="39" t="s">
        <v>194</v>
      </c>
      <c r="H10" s="40"/>
      <c r="I10" s="40"/>
      <c r="J10" s="69"/>
      <c r="K10" s="40"/>
      <c r="L10" s="70">
        <v>4447.97</v>
      </c>
      <c r="M10" s="71">
        <v>401.04</v>
      </c>
      <c r="N10" s="71">
        <v>122.26</v>
      </c>
      <c r="O10" s="71">
        <v>25.07</v>
      </c>
      <c r="P10" s="71">
        <v>116</v>
      </c>
      <c r="Q10" s="89">
        <f t="shared" si="0"/>
        <v>664.37</v>
      </c>
      <c r="R10" s="70">
        <v>0</v>
      </c>
      <c r="S10" s="90">
        <f>L10+IFERROR(VLOOKUP($E:$E,'（居民）工资表-10月'!$E:$S,15,0),0)</f>
        <v>44836.98</v>
      </c>
      <c r="T10" s="91">
        <f>5000+IFERROR(VLOOKUP($E:$E,'（居民）工资表-10月'!$E:$T,16,0),0)</f>
        <v>50000</v>
      </c>
      <c r="U10" s="91">
        <f>Q10+IFERROR(VLOOKUP($E:$E,'（居民）工资表-10月'!$E:$U,17,0),0)</f>
        <v>6478.15</v>
      </c>
      <c r="V10" s="70"/>
      <c r="W10" s="70"/>
      <c r="X10" s="70"/>
      <c r="Y10" s="70"/>
      <c r="Z10" s="70"/>
      <c r="AA10" s="70"/>
      <c r="AB10" s="90">
        <f t="shared" si="1"/>
        <v>0</v>
      </c>
      <c r="AC10" s="90">
        <f>R10+IFERROR(VLOOKUP($E:$E,'（居民）工资表-10月'!$E:$AC,25,0),0)</f>
        <v>0</v>
      </c>
      <c r="AD10" s="95">
        <f t="shared" si="2"/>
        <v>-11641.17</v>
      </c>
      <c r="AE10" s="96">
        <f>ROUND(MAX((AD10)*{0.03;0.1;0.2;0.25;0.3;0.35;0.45}-{0;2520;16920;31920;52920;85920;181920},0),2)</f>
        <v>0</v>
      </c>
      <c r="AF10" s="97">
        <f>IFERROR(VLOOKUP(E:E,'（居民）工资表-10月'!E:AF,28,0)+VLOOKUP(E:E,'（居民）工资表-10月'!E:AG,29,0),0)</f>
        <v>0</v>
      </c>
      <c r="AG10" s="97">
        <f t="shared" si="9"/>
        <v>0</v>
      </c>
      <c r="AH10" s="107">
        <f t="shared" si="3"/>
        <v>3783.6</v>
      </c>
      <c r="AI10" s="108"/>
      <c r="AJ10" s="107">
        <f t="shared" si="4"/>
        <v>3783.6</v>
      </c>
      <c r="AK10" s="109"/>
      <c r="AL10" s="107">
        <f t="shared" si="5"/>
        <v>3783.6</v>
      </c>
      <c r="AM10" s="109"/>
      <c r="AN10" s="109"/>
      <c r="AO10" s="109"/>
      <c r="AP10" s="109"/>
      <c r="AQ10" s="109"/>
      <c r="AR10" s="116" t="str">
        <f t="shared" si="6"/>
        <v>正确</v>
      </c>
      <c r="AS10" s="116" t="str">
        <f t="shared" si="7"/>
        <v>不</v>
      </c>
      <c r="AT10" s="116" t="str">
        <f t="shared" si="8"/>
        <v>重复</v>
      </c>
      <c r="AU10" s="11"/>
      <c r="AV10" s="11"/>
    </row>
    <row r="11" s="12" customFormat="1" ht="18" customHeight="1" spans="1:48">
      <c r="A11" s="36">
        <v>8</v>
      </c>
      <c r="B11" s="37" t="s">
        <v>184</v>
      </c>
      <c r="C11" s="37" t="s">
        <v>133</v>
      </c>
      <c r="D11" s="37" t="s">
        <v>120</v>
      </c>
      <c r="E11" s="352" t="s">
        <v>134</v>
      </c>
      <c r="F11" s="38" t="s">
        <v>185</v>
      </c>
      <c r="G11" s="39">
        <v>18356553626</v>
      </c>
      <c r="H11" s="40"/>
      <c r="I11" s="40"/>
      <c r="J11" s="69"/>
      <c r="K11" s="40"/>
      <c r="L11" s="70">
        <v>9000</v>
      </c>
      <c r="M11" s="71">
        <v>338.16</v>
      </c>
      <c r="N11" s="71">
        <v>124.54</v>
      </c>
      <c r="O11" s="71">
        <v>21.14</v>
      </c>
      <c r="P11" s="71">
        <v>97</v>
      </c>
      <c r="Q11" s="89">
        <f t="shared" si="0"/>
        <v>580.84</v>
      </c>
      <c r="R11" s="70">
        <v>0</v>
      </c>
      <c r="S11" s="90">
        <f>L11+IFERROR(VLOOKUP($E:$E,'（居民）工资表-10月'!$E:$S,15,0),0)</f>
        <v>88500</v>
      </c>
      <c r="T11" s="91">
        <f>5000+IFERROR(VLOOKUP($E:$E,'（居民）工资表-10月'!$E:$T,16,0),0)</f>
        <v>50000</v>
      </c>
      <c r="U11" s="91">
        <f>Q11+IFERROR(VLOOKUP($E:$E,'（居民）工资表-10月'!$E:$U,17,0),0)</f>
        <v>5873.92</v>
      </c>
      <c r="V11" s="70"/>
      <c r="W11" s="70"/>
      <c r="X11" s="70"/>
      <c r="Y11" s="70"/>
      <c r="Z11" s="70"/>
      <c r="AA11" s="70"/>
      <c r="AB11" s="90">
        <f t="shared" si="1"/>
        <v>0</v>
      </c>
      <c r="AC11" s="90">
        <f>R11+IFERROR(VLOOKUP($E:$E,'（居民）工资表-10月'!$E:$AC,25,0),0)</f>
        <v>0</v>
      </c>
      <c r="AD11" s="95">
        <f t="shared" si="2"/>
        <v>32626.08</v>
      </c>
      <c r="AE11" s="96">
        <f>ROUND(MAX((AD11)*{0.03;0.1;0.2;0.25;0.3;0.35;0.45}-{0;2520;16920;31920;52920;85920;181920},0),2)</f>
        <v>978.78</v>
      </c>
      <c r="AF11" s="97">
        <f>IFERROR(VLOOKUP(E:E,'（居民）工资表-10月'!E:AF,28,0)+VLOOKUP(E:E,'（居民）工资表-10月'!E:AG,29,0),0)</f>
        <v>876.21</v>
      </c>
      <c r="AG11" s="97">
        <f t="shared" si="9"/>
        <v>102.57</v>
      </c>
      <c r="AH11" s="107">
        <f t="shared" si="3"/>
        <v>8316.59</v>
      </c>
      <c r="AI11" s="108"/>
      <c r="AJ11" s="107">
        <f t="shared" si="4"/>
        <v>8316.59</v>
      </c>
      <c r="AK11" s="109"/>
      <c r="AL11" s="107">
        <f t="shared" si="5"/>
        <v>8419.16</v>
      </c>
      <c r="AM11" s="109"/>
      <c r="AN11" s="109"/>
      <c r="AO11" s="109"/>
      <c r="AP11" s="109"/>
      <c r="AQ11" s="109"/>
      <c r="AR11" s="116" t="str">
        <f t="shared" si="6"/>
        <v>正确</v>
      </c>
      <c r="AS11" s="116" t="str">
        <f t="shared" si="7"/>
        <v>不</v>
      </c>
      <c r="AT11" s="116" t="str">
        <f t="shared" si="8"/>
        <v>重复</v>
      </c>
      <c r="AU11" s="11"/>
      <c r="AV11" s="11"/>
    </row>
    <row r="12" s="12" customFormat="1" ht="18" customHeight="1" spans="1:48">
      <c r="A12" s="36">
        <v>9</v>
      </c>
      <c r="B12" s="37" t="s">
        <v>184</v>
      </c>
      <c r="C12" s="37" t="s">
        <v>135</v>
      </c>
      <c r="D12" s="37" t="s">
        <v>120</v>
      </c>
      <c r="E12" s="352" t="s">
        <v>136</v>
      </c>
      <c r="F12" s="38" t="s">
        <v>185</v>
      </c>
      <c r="G12" s="39">
        <v>18326897140</v>
      </c>
      <c r="H12" s="40"/>
      <c r="I12" s="40"/>
      <c r="J12" s="69"/>
      <c r="K12" s="40"/>
      <c r="L12" s="70">
        <v>7500</v>
      </c>
      <c r="M12" s="71">
        <v>338.16</v>
      </c>
      <c r="N12" s="71">
        <v>90.54</v>
      </c>
      <c r="O12" s="71">
        <v>21.14</v>
      </c>
      <c r="P12" s="71">
        <v>344</v>
      </c>
      <c r="Q12" s="89">
        <f t="shared" si="0"/>
        <v>793.84</v>
      </c>
      <c r="R12" s="70">
        <v>0</v>
      </c>
      <c r="S12" s="90">
        <f>L12+IFERROR(VLOOKUP($E:$E,'（居民）工资表-10月'!$E:$S,15,0),0)</f>
        <v>73500</v>
      </c>
      <c r="T12" s="91">
        <f>5000+IFERROR(VLOOKUP($E:$E,'（居民）工资表-10月'!$E:$T,16,0),0)</f>
        <v>50000</v>
      </c>
      <c r="U12" s="91">
        <f>Q12+IFERROR(VLOOKUP($E:$E,'（居民）工资表-10月'!$E:$U,17,0),0)</f>
        <v>8003.92</v>
      </c>
      <c r="V12" s="70"/>
      <c r="W12" s="70"/>
      <c r="X12" s="70"/>
      <c r="Y12" s="70"/>
      <c r="Z12" s="70"/>
      <c r="AA12" s="70"/>
      <c r="AB12" s="90">
        <f t="shared" si="1"/>
        <v>0</v>
      </c>
      <c r="AC12" s="90">
        <f>R12+IFERROR(VLOOKUP($E:$E,'（居民）工资表-10月'!$E:$AC,25,0),0)</f>
        <v>0</v>
      </c>
      <c r="AD12" s="95">
        <f t="shared" si="2"/>
        <v>15496.08</v>
      </c>
      <c r="AE12" s="96">
        <f>ROUND(MAX((AD12)*{0.03;0.1;0.2;0.25;0.3;0.35;0.45}-{0;2520;16920;31920;52920;85920;181920},0),2)</f>
        <v>464.88</v>
      </c>
      <c r="AF12" s="97">
        <f>IFERROR(VLOOKUP(E:E,'（居民）工资表-10月'!E:AF,28,0)+VLOOKUP(E:E,'（居民）工资表-10月'!E:AG,29,0),0)</f>
        <v>413.7</v>
      </c>
      <c r="AG12" s="97">
        <f t="shared" si="9"/>
        <v>51.18</v>
      </c>
      <c r="AH12" s="107">
        <f t="shared" si="3"/>
        <v>6654.98</v>
      </c>
      <c r="AI12" s="108"/>
      <c r="AJ12" s="107">
        <f t="shared" si="4"/>
        <v>6654.98</v>
      </c>
      <c r="AK12" s="109"/>
      <c r="AL12" s="107">
        <f t="shared" si="5"/>
        <v>6706.16</v>
      </c>
      <c r="AM12" s="109"/>
      <c r="AN12" s="109"/>
      <c r="AO12" s="109"/>
      <c r="AP12" s="109"/>
      <c r="AQ12" s="109"/>
      <c r="AR12" s="116" t="str">
        <f t="shared" si="6"/>
        <v>正确</v>
      </c>
      <c r="AS12" s="116" t="str">
        <f>IF(SUMPRODUCT(N(E$1:E$6=E12))&gt;1,"重复","不")</f>
        <v>不</v>
      </c>
      <c r="AT12" s="116" t="str">
        <f>IF(SUMPRODUCT(N(AO$1:AO$6=AO12))&gt;1,"重复","不")</f>
        <v>重复</v>
      </c>
      <c r="AU12" s="11"/>
      <c r="AV12" s="11"/>
    </row>
    <row r="13" s="12" customFormat="1" ht="18" customHeight="1" spans="1:48">
      <c r="A13" s="36">
        <v>10</v>
      </c>
      <c r="B13" s="37" t="s">
        <v>184</v>
      </c>
      <c r="C13" s="37" t="s">
        <v>137</v>
      </c>
      <c r="D13" s="37" t="s">
        <v>120</v>
      </c>
      <c r="E13" s="352" t="s">
        <v>138</v>
      </c>
      <c r="F13" s="38" t="s">
        <v>185</v>
      </c>
      <c r="G13" s="39">
        <v>17201857014</v>
      </c>
      <c r="H13" s="40"/>
      <c r="I13" s="40"/>
      <c r="J13" s="69"/>
      <c r="K13" s="40"/>
      <c r="L13" s="70">
        <v>8000</v>
      </c>
      <c r="M13" s="71">
        <v>338.16</v>
      </c>
      <c r="N13" s="71">
        <v>90.54</v>
      </c>
      <c r="O13" s="71">
        <v>21.14</v>
      </c>
      <c r="P13" s="71">
        <v>344</v>
      </c>
      <c r="Q13" s="89">
        <f t="shared" si="0"/>
        <v>793.84</v>
      </c>
      <c r="R13" s="70">
        <v>0</v>
      </c>
      <c r="S13" s="90">
        <f>L13+IFERROR(VLOOKUP($E:$E,'（居民）工资表-10月'!$E:$S,15,0),0)</f>
        <v>77000</v>
      </c>
      <c r="T13" s="91">
        <f>5000+IFERROR(VLOOKUP($E:$E,'（居民）工资表-10月'!$E:$T,16,0),0)</f>
        <v>50000</v>
      </c>
      <c r="U13" s="91">
        <f>Q13+IFERROR(VLOOKUP($E:$E,'（居民）工资表-10月'!$E:$U,17,0),0)</f>
        <v>8013.62</v>
      </c>
      <c r="V13" s="70"/>
      <c r="W13" s="70"/>
      <c r="X13" s="70"/>
      <c r="Y13" s="70"/>
      <c r="Z13" s="70"/>
      <c r="AA13" s="70"/>
      <c r="AB13" s="90">
        <f t="shared" si="1"/>
        <v>0</v>
      </c>
      <c r="AC13" s="90">
        <f>R13+IFERROR(VLOOKUP($E:$E,'（居民）工资表-10月'!$E:$AC,25,0),0)</f>
        <v>0</v>
      </c>
      <c r="AD13" s="95">
        <f t="shared" si="2"/>
        <v>18986.38</v>
      </c>
      <c r="AE13" s="96">
        <f>ROUND(MAX((AD13)*{0.03;0.1;0.2;0.25;0.3;0.35;0.45}-{0;2520;16920;31920;52920;85920;181920},0),2)</f>
        <v>569.59</v>
      </c>
      <c r="AF13" s="97">
        <f>IFERROR(VLOOKUP(E:E,'（居民）工资表-10月'!E:AF,28,0)+VLOOKUP(E:E,'（居民）工资表-10月'!E:AG,29,0),0)</f>
        <v>503.41</v>
      </c>
      <c r="AG13" s="97">
        <f t="shared" si="9"/>
        <v>66.18</v>
      </c>
      <c r="AH13" s="107">
        <f t="shared" si="3"/>
        <v>7139.98</v>
      </c>
      <c r="AI13" s="108"/>
      <c r="AJ13" s="107">
        <f t="shared" si="4"/>
        <v>7139.98</v>
      </c>
      <c r="AK13" s="109"/>
      <c r="AL13" s="107">
        <f t="shared" si="5"/>
        <v>7206.16</v>
      </c>
      <c r="AM13" s="109"/>
      <c r="AN13" s="109"/>
      <c r="AO13" s="109"/>
      <c r="AP13" s="109"/>
      <c r="AQ13" s="109"/>
      <c r="AR13" s="116" t="str">
        <f t="shared" si="6"/>
        <v>正确</v>
      </c>
      <c r="AS13" s="116" t="str">
        <f>IF(SUMPRODUCT(N(E$1:E$6=E13))&gt;1,"重复","不")</f>
        <v>不</v>
      </c>
      <c r="AT13" s="116" t="str">
        <f>IF(SUMPRODUCT(N(AO$1:AO$6=AO13))&gt;1,"重复","不")</f>
        <v>重复</v>
      </c>
      <c r="AU13" s="11"/>
      <c r="AV13" s="11"/>
    </row>
    <row r="14" s="12" customFormat="1" ht="18" customHeight="1" spans="1:48">
      <c r="A14" s="36">
        <v>11</v>
      </c>
      <c r="B14" s="37" t="s">
        <v>184</v>
      </c>
      <c r="C14" s="37" t="s">
        <v>139</v>
      </c>
      <c r="D14" s="37" t="s">
        <v>120</v>
      </c>
      <c r="E14" s="352" t="s">
        <v>140</v>
      </c>
      <c r="F14" s="38" t="s">
        <v>187</v>
      </c>
      <c r="G14" s="39"/>
      <c r="H14" s="40"/>
      <c r="I14" s="40"/>
      <c r="J14" s="69"/>
      <c r="K14" s="40"/>
      <c r="L14" s="70">
        <v>6000</v>
      </c>
      <c r="M14" s="71">
        <v>338.16</v>
      </c>
      <c r="N14" s="71">
        <v>84.54</v>
      </c>
      <c r="O14" s="71">
        <v>21.14</v>
      </c>
      <c r="P14" s="71">
        <v>103</v>
      </c>
      <c r="Q14" s="89">
        <f t="shared" si="0"/>
        <v>546.84</v>
      </c>
      <c r="R14" s="70">
        <v>0</v>
      </c>
      <c r="S14" s="90">
        <f>L14+IFERROR(VLOOKUP($E:$E,'（居民）工资表-10月'!$E:$S,15,0),0)</f>
        <v>60000</v>
      </c>
      <c r="T14" s="91">
        <f>5000+IFERROR(VLOOKUP($E:$E,'（居民）工资表-10月'!$E:$T,16,0),0)</f>
        <v>50000</v>
      </c>
      <c r="U14" s="91">
        <f>Q14+IFERROR(VLOOKUP($E:$E,'（居民）工资表-10月'!$E:$U,17,0),0)</f>
        <v>5533.92</v>
      </c>
      <c r="V14" s="70"/>
      <c r="W14" s="70"/>
      <c r="X14" s="70"/>
      <c r="Y14" s="70"/>
      <c r="Z14" s="70"/>
      <c r="AA14" s="70"/>
      <c r="AB14" s="90">
        <f t="shared" si="1"/>
        <v>0</v>
      </c>
      <c r="AC14" s="90">
        <f>R14+IFERROR(VLOOKUP($E:$E,'（居民）工资表-10月'!$E:$AC,25,0),0)</f>
        <v>0</v>
      </c>
      <c r="AD14" s="95">
        <f t="shared" si="2"/>
        <v>4466.08</v>
      </c>
      <c r="AE14" s="96">
        <f>ROUND(MAX((AD14)*{0.03;0.1;0.2;0.25;0.3;0.35;0.45}-{0;2520;16920;31920;52920;85920;181920},0),2)</f>
        <v>133.98</v>
      </c>
      <c r="AF14" s="97">
        <f>IFERROR(VLOOKUP(E:E,'（居民）工资表-10月'!E:AF,28,0)+VLOOKUP(E:E,'（居民）工资表-10月'!E:AG,29,0),0)</f>
        <v>120.39</v>
      </c>
      <c r="AG14" s="97">
        <f t="shared" si="9"/>
        <v>13.59</v>
      </c>
      <c r="AH14" s="107">
        <f t="shared" si="3"/>
        <v>5439.57</v>
      </c>
      <c r="AI14" s="108"/>
      <c r="AJ14" s="107">
        <f t="shared" si="4"/>
        <v>5439.57</v>
      </c>
      <c r="AK14" s="109"/>
      <c r="AL14" s="107">
        <f t="shared" si="5"/>
        <v>5453.16</v>
      </c>
      <c r="AM14" s="109"/>
      <c r="AN14" s="109"/>
      <c r="AO14" s="109"/>
      <c r="AP14" s="109"/>
      <c r="AQ14" s="109"/>
      <c r="AR14" s="116" t="str">
        <f t="shared" si="6"/>
        <v>正确</v>
      </c>
      <c r="AS14" s="116" t="str">
        <f>IF(SUMPRODUCT(N(E$1:E$6=E14))&gt;1,"重复","不")</f>
        <v>不</v>
      </c>
      <c r="AT14" s="116" t="str">
        <f>IF(SUMPRODUCT(N(AO$1:AO$6=AO14))&gt;1,"重复","不")</f>
        <v>重复</v>
      </c>
      <c r="AU14" s="11"/>
      <c r="AV14" s="11"/>
    </row>
    <row r="15" s="12" customFormat="1" ht="18" customHeight="1" spans="1:48">
      <c r="A15" s="36">
        <v>12</v>
      </c>
      <c r="B15" s="37" t="s">
        <v>184</v>
      </c>
      <c r="C15" s="37" t="s">
        <v>141</v>
      </c>
      <c r="D15" s="37" t="s">
        <v>120</v>
      </c>
      <c r="E15" s="352" t="s">
        <v>142</v>
      </c>
      <c r="F15" s="38" t="s">
        <v>185</v>
      </c>
      <c r="G15" s="39">
        <v>15056587375</v>
      </c>
      <c r="H15" s="40"/>
      <c r="I15" s="40"/>
      <c r="J15" s="69"/>
      <c r="K15" s="40"/>
      <c r="L15" s="70">
        <v>10000</v>
      </c>
      <c r="M15" s="71">
        <v>338.16</v>
      </c>
      <c r="N15" s="71">
        <v>93.7</v>
      </c>
      <c r="O15" s="71">
        <v>21.14</v>
      </c>
      <c r="P15" s="71">
        <v>97</v>
      </c>
      <c r="Q15" s="89">
        <f t="shared" si="0"/>
        <v>550</v>
      </c>
      <c r="R15" s="70">
        <v>0</v>
      </c>
      <c r="S15" s="90">
        <f>L15+IFERROR(VLOOKUP($E:$E,'（居民）工资表-10月'!$E:$S,15,0),0)</f>
        <v>99904.76</v>
      </c>
      <c r="T15" s="91">
        <f>5000+IFERROR(VLOOKUP($E:$E,'（居民）工资表-10月'!$E:$T,16,0),0)</f>
        <v>50000</v>
      </c>
      <c r="U15" s="91">
        <f>Q15+IFERROR(VLOOKUP($E:$E,'（居民）工资表-10月'!$E:$U,17,0),0)</f>
        <v>5566.87</v>
      </c>
      <c r="V15" s="70"/>
      <c r="W15" s="70"/>
      <c r="X15" s="70"/>
      <c r="Y15" s="70"/>
      <c r="Z15" s="70"/>
      <c r="AA15" s="70"/>
      <c r="AB15" s="90">
        <f t="shared" si="1"/>
        <v>0</v>
      </c>
      <c r="AC15" s="90">
        <f>R15+IFERROR(VLOOKUP($E:$E,'（居民）工资表-10月'!$E:$AC,25,0),0)</f>
        <v>0</v>
      </c>
      <c r="AD15" s="95">
        <f t="shared" si="2"/>
        <v>44337.89</v>
      </c>
      <c r="AE15" s="96">
        <f>ROUND(MAX((AD15)*{0.03;0.1;0.2;0.25;0.3;0.35;0.45}-{0;2520;16920;31920;52920;85920;181920},0),2)</f>
        <v>1913.79</v>
      </c>
      <c r="AF15" s="97">
        <f>IFERROR(VLOOKUP(E:E,'（居民）工资表-10月'!E:AF,28,0)+VLOOKUP(E:E,'（居民）工资表-10月'!E:AG,29,0),0)</f>
        <v>1468.79</v>
      </c>
      <c r="AG15" s="97">
        <f t="shared" si="9"/>
        <v>445</v>
      </c>
      <c r="AH15" s="107">
        <f t="shared" si="3"/>
        <v>9005</v>
      </c>
      <c r="AI15" s="108"/>
      <c r="AJ15" s="107">
        <f t="shared" si="4"/>
        <v>9005</v>
      </c>
      <c r="AK15" s="109"/>
      <c r="AL15" s="107">
        <f t="shared" si="5"/>
        <v>9450</v>
      </c>
      <c r="AM15" s="109"/>
      <c r="AN15" s="109"/>
      <c r="AO15" s="109"/>
      <c r="AP15" s="109"/>
      <c r="AQ15" s="109"/>
      <c r="AR15" s="116" t="str">
        <f t="shared" si="6"/>
        <v>正确</v>
      </c>
      <c r="AS15" s="116" t="str">
        <f>IF(SUMPRODUCT(N(E$1:E$6=E15))&gt;1,"重复","不")</f>
        <v>不</v>
      </c>
      <c r="AT15" s="116" t="str">
        <f>IF(SUMPRODUCT(N(AO$1:AO$6=AO15))&gt;1,"重复","不")</f>
        <v>重复</v>
      </c>
      <c r="AU15" s="11"/>
      <c r="AV15" s="11"/>
    </row>
    <row r="16" s="12" customFormat="1" ht="18" customHeight="1" spans="1:48">
      <c r="A16" s="36">
        <v>13</v>
      </c>
      <c r="B16" s="37" t="s">
        <v>184</v>
      </c>
      <c r="C16" s="37" t="s">
        <v>204</v>
      </c>
      <c r="D16" s="37" t="s">
        <v>120</v>
      </c>
      <c r="E16" s="37" t="s">
        <v>205</v>
      </c>
      <c r="F16" s="38" t="s">
        <v>185</v>
      </c>
      <c r="G16" s="39">
        <v>13711361074</v>
      </c>
      <c r="H16" s="40"/>
      <c r="I16" s="40"/>
      <c r="J16" s="69"/>
      <c r="K16" s="40"/>
      <c r="L16" s="70">
        <v>7600</v>
      </c>
      <c r="M16" s="71">
        <v>337.92</v>
      </c>
      <c r="N16" s="71">
        <v>91.48</v>
      </c>
      <c r="O16" s="71">
        <v>12.67</v>
      </c>
      <c r="P16" s="71">
        <v>110.5</v>
      </c>
      <c r="Q16" s="89">
        <f t="shared" si="0"/>
        <v>552.57</v>
      </c>
      <c r="R16" s="70">
        <v>0</v>
      </c>
      <c r="S16" s="90">
        <f>L16+IFERROR(VLOOKUP($E:$E,'（居民）工资表-10月'!$E:$S,15,0),0)</f>
        <v>43510.65</v>
      </c>
      <c r="T16" s="91">
        <f>5000+IFERROR(VLOOKUP($E:$E,'（居民）工资表-10月'!$E:$T,16,0),0)</f>
        <v>35000</v>
      </c>
      <c r="U16" s="91">
        <f>Q16+IFERROR(VLOOKUP($E:$E,'（居民）工资表-10月'!$E:$U,17,0),0)</f>
        <v>4420.56</v>
      </c>
      <c r="V16" s="70"/>
      <c r="W16" s="70"/>
      <c r="X16" s="70"/>
      <c r="Y16" s="70"/>
      <c r="Z16" s="70"/>
      <c r="AA16" s="70"/>
      <c r="AB16" s="90">
        <f t="shared" si="1"/>
        <v>0</v>
      </c>
      <c r="AC16" s="90">
        <f>R16+IFERROR(VLOOKUP($E:$E,'（居民）工资表-10月'!$E:$AC,25,0),0)</f>
        <v>0</v>
      </c>
      <c r="AD16" s="95">
        <f t="shared" si="2"/>
        <v>4090.09</v>
      </c>
      <c r="AE16" s="96">
        <f>ROUND(MAX((AD16)*{0.03;0.1;0.2;0.25;0.3;0.35;0.45}-{0;2520;16920;31920;52920;85920;181920},0),2)</f>
        <v>122.7</v>
      </c>
      <c r="AF16" s="97">
        <f>IFERROR(VLOOKUP(E:E,'（居民）工资表-10月'!E:AF,28,0)+VLOOKUP(E:E,'（居民）工资表-10月'!E:AG,29,0),0)</f>
        <v>61.28</v>
      </c>
      <c r="AG16" s="97">
        <f t="shared" si="9"/>
        <v>61.42</v>
      </c>
      <c r="AH16" s="107">
        <f t="shared" si="3"/>
        <v>6986.01</v>
      </c>
      <c r="AI16" s="108"/>
      <c r="AJ16" s="107">
        <f t="shared" si="4"/>
        <v>6986.01</v>
      </c>
      <c r="AK16" s="109"/>
      <c r="AL16" s="107">
        <f t="shared" si="5"/>
        <v>7047.43</v>
      </c>
      <c r="AM16" s="109"/>
      <c r="AN16" s="109"/>
      <c r="AO16" s="109"/>
      <c r="AP16" s="109"/>
      <c r="AQ16" s="109"/>
      <c r="AR16" s="116" t="str">
        <f t="shared" si="6"/>
        <v>正确</v>
      </c>
      <c r="AS16" s="116" t="str">
        <f>IF(SUMPRODUCT(N(E$1:E$6=E16))&gt;1,"重复","不")</f>
        <v>不</v>
      </c>
      <c r="AT16" s="116" t="str">
        <f>IF(SUMPRODUCT(N(AO$1:AO$6=AO16))&gt;1,"重复","不")</f>
        <v>重复</v>
      </c>
      <c r="AU16" s="11"/>
      <c r="AV16" s="11"/>
    </row>
    <row r="17" s="12" customFormat="1" ht="18" customHeight="1" spans="1:48">
      <c r="A17" s="36"/>
      <c r="B17" s="37"/>
      <c r="C17" s="37"/>
      <c r="D17" s="37"/>
      <c r="E17" s="37"/>
      <c r="F17" s="38"/>
      <c r="G17" s="39"/>
      <c r="H17" s="40"/>
      <c r="I17" s="40"/>
      <c r="J17" s="69"/>
      <c r="K17" s="40"/>
      <c r="L17" s="70"/>
      <c r="M17" s="71"/>
      <c r="N17" s="71"/>
      <c r="O17" s="71"/>
      <c r="P17" s="71"/>
      <c r="Q17" s="89"/>
      <c r="R17" s="70"/>
      <c r="S17" s="90"/>
      <c r="T17" s="91"/>
      <c r="U17" s="91"/>
      <c r="V17" s="70"/>
      <c r="W17" s="70"/>
      <c r="X17" s="70"/>
      <c r="Y17" s="70"/>
      <c r="Z17" s="70"/>
      <c r="AA17" s="70"/>
      <c r="AB17" s="90"/>
      <c r="AC17" s="90"/>
      <c r="AD17" s="95"/>
      <c r="AE17" s="96"/>
      <c r="AF17" s="97"/>
      <c r="AG17" s="97"/>
      <c r="AH17" s="107"/>
      <c r="AI17" s="108"/>
      <c r="AJ17" s="107"/>
      <c r="AK17" s="109"/>
      <c r="AL17" s="107"/>
      <c r="AM17" s="109"/>
      <c r="AN17" s="109"/>
      <c r="AO17" s="109"/>
      <c r="AP17" s="109"/>
      <c r="AQ17" s="109"/>
      <c r="AR17" s="116"/>
      <c r="AS17" s="116"/>
      <c r="AT17" s="116"/>
      <c r="AU17" s="11"/>
      <c r="AV17" s="11"/>
    </row>
    <row r="18" s="13" customFormat="1" ht="18" customHeight="1" spans="1:46">
      <c r="A18" s="41"/>
      <c r="B18" s="42" t="s">
        <v>143</v>
      </c>
      <c r="C18" s="42"/>
      <c r="D18" s="43"/>
      <c r="E18" s="44"/>
      <c r="F18" s="45"/>
      <c r="G18" s="46"/>
      <c r="H18" s="45"/>
      <c r="I18" s="72"/>
      <c r="J18" s="73"/>
      <c r="K18" s="72"/>
      <c r="L18" s="74">
        <f>SUM(L4:L16)</f>
        <v>122707.97</v>
      </c>
      <c r="M18" s="74">
        <f>SUM(M4:M16)</f>
        <v>4763.37</v>
      </c>
      <c r="N18" s="74">
        <f>SUM(N4:N16)</f>
        <v>1331.12</v>
      </c>
      <c r="O18" s="74">
        <f t="shared" ref="O18:AL18" si="10">SUM(O4:O16)</f>
        <v>251.38</v>
      </c>
      <c r="P18" s="74">
        <f t="shared" si="10"/>
        <v>2232.9</v>
      </c>
      <c r="Q18" s="74">
        <f t="shared" si="10"/>
        <v>8578.77</v>
      </c>
      <c r="R18" s="74">
        <f t="shared" si="10"/>
        <v>0</v>
      </c>
      <c r="S18" s="74">
        <f t="shared" si="10"/>
        <v>1191712.39</v>
      </c>
      <c r="T18" s="74">
        <f t="shared" si="10"/>
        <v>635000</v>
      </c>
      <c r="U18" s="74">
        <f t="shared" si="10"/>
        <v>85143.46</v>
      </c>
      <c r="V18" s="74">
        <f t="shared" si="10"/>
        <v>0</v>
      </c>
      <c r="W18" s="74">
        <f t="shared" si="10"/>
        <v>0</v>
      </c>
      <c r="X18" s="74">
        <f t="shared" si="10"/>
        <v>0</v>
      </c>
      <c r="Y18" s="74">
        <f t="shared" si="10"/>
        <v>0</v>
      </c>
      <c r="Z18" s="74">
        <f t="shared" si="10"/>
        <v>0</v>
      </c>
      <c r="AA18" s="74">
        <f t="shared" si="10"/>
        <v>0</v>
      </c>
      <c r="AB18" s="74">
        <f t="shared" si="10"/>
        <v>0</v>
      </c>
      <c r="AC18" s="74">
        <f t="shared" si="10"/>
        <v>0</v>
      </c>
      <c r="AD18" s="74">
        <f t="shared" si="10"/>
        <v>471568.93</v>
      </c>
      <c r="AE18" s="74">
        <f t="shared" si="10"/>
        <v>40114.07</v>
      </c>
      <c r="AF18" s="74">
        <f t="shared" si="10"/>
        <v>33794.98</v>
      </c>
      <c r="AG18" s="74">
        <f t="shared" si="10"/>
        <v>6319.09</v>
      </c>
      <c r="AH18" s="74">
        <f t="shared" si="10"/>
        <v>107810.11</v>
      </c>
      <c r="AI18" s="74">
        <f t="shared" si="10"/>
        <v>0</v>
      </c>
      <c r="AJ18" s="74">
        <f t="shared" si="10"/>
        <v>107810.11</v>
      </c>
      <c r="AK18" s="74">
        <f t="shared" si="10"/>
        <v>0</v>
      </c>
      <c r="AL18" s="74">
        <f t="shared" si="10"/>
        <v>114129.2</v>
      </c>
      <c r="AM18" s="110"/>
      <c r="AN18" s="110"/>
      <c r="AO18" s="110"/>
      <c r="AP18" s="110"/>
      <c r="AQ18" s="110"/>
      <c r="AR18" s="45"/>
      <c r="AS18" s="45"/>
      <c r="AT18" s="118"/>
    </row>
    <row r="21" spans="30:30">
      <c r="AD21" s="101"/>
    </row>
    <row r="22" ht="18.75" customHeight="1" spans="2:30">
      <c r="B22" s="47" t="s">
        <v>144</v>
      </c>
      <c r="C22" s="47" t="s">
        <v>145</v>
      </c>
      <c r="D22" s="47" t="s">
        <v>22</v>
      </c>
      <c r="E22" s="47" t="s">
        <v>23</v>
      </c>
      <c r="AD22" s="10"/>
    </row>
    <row r="23" ht="18.75" customHeight="1" spans="2:5">
      <c r="B23" s="48">
        <f>AJ18</f>
        <v>107810.11</v>
      </c>
      <c r="C23" s="48">
        <f>AG18</f>
        <v>6319.09</v>
      </c>
      <c r="D23" s="48">
        <f>AK18</f>
        <v>0</v>
      </c>
      <c r="E23" s="48">
        <f>B23+C23+D23</f>
        <v>114129.2</v>
      </c>
    </row>
    <row r="24" spans="2:5">
      <c r="B24" s="49"/>
      <c r="C24" s="49"/>
      <c r="D24" s="49"/>
      <c r="E24" s="49"/>
    </row>
    <row r="25" s="14" customFormat="1" spans="1:35">
      <c r="A25" s="51" t="s">
        <v>206</v>
      </c>
      <c r="B25" s="52" t="s">
        <v>207</v>
      </c>
      <c r="C25" s="50"/>
      <c r="D25" s="50"/>
      <c r="E25" s="50"/>
      <c r="G25" s="53"/>
      <c r="J25" s="75"/>
      <c r="M25" s="76"/>
      <c r="AI25" s="112"/>
    </row>
    <row r="26" s="14" customFormat="1" spans="1:35">
      <c r="A26" s="54"/>
      <c r="B26" s="55" t="s">
        <v>208</v>
      </c>
      <c r="C26" s="50"/>
      <c r="D26" s="50"/>
      <c r="E26" s="50"/>
      <c r="G26" s="53"/>
      <c r="J26" s="75"/>
      <c r="M26" s="76"/>
      <c r="AI26" s="112"/>
    </row>
    <row r="27" s="14" customFormat="1" spans="1:35">
      <c r="A27" s="52"/>
      <c r="B27" s="55" t="s">
        <v>209</v>
      </c>
      <c r="C27" s="56"/>
      <c r="D27" s="56"/>
      <c r="E27" s="56"/>
      <c r="F27" s="56"/>
      <c r="G27" s="56"/>
      <c r="H27" s="56"/>
      <c r="I27" s="56"/>
      <c r="J27" s="77"/>
      <c r="K27" s="56"/>
      <c r="L27" s="56"/>
      <c r="M27" s="78"/>
      <c r="N27" s="56"/>
      <c r="O27" s="56"/>
      <c r="P27" s="56"/>
      <c r="AI27" s="112"/>
    </row>
    <row r="28" s="14" customFormat="1" customHeight="1" spans="1:35">
      <c r="A28" s="55"/>
      <c r="B28" s="55" t="s">
        <v>210</v>
      </c>
      <c r="C28" s="57"/>
      <c r="D28" s="57"/>
      <c r="E28" s="57"/>
      <c r="F28" s="57"/>
      <c r="G28" s="57"/>
      <c r="H28" s="57"/>
      <c r="I28" s="79"/>
      <c r="J28" s="80"/>
      <c r="K28" s="79"/>
      <c r="L28" s="79"/>
      <c r="M28" s="81"/>
      <c r="N28" s="79"/>
      <c r="O28" s="79"/>
      <c r="P28" s="79"/>
      <c r="AI28" s="112"/>
    </row>
    <row r="29" s="14" customFormat="1" customHeight="1" spans="1:35">
      <c r="A29" s="55"/>
      <c r="B29" s="55" t="s">
        <v>211</v>
      </c>
      <c r="C29" s="57"/>
      <c r="D29" s="57"/>
      <c r="E29" s="57"/>
      <c r="F29" s="57"/>
      <c r="G29" s="57"/>
      <c r="H29" s="57"/>
      <c r="I29" s="57"/>
      <c r="J29" s="82"/>
      <c r="K29" s="57"/>
      <c r="L29" s="79"/>
      <c r="M29" s="81"/>
      <c r="N29" s="79"/>
      <c r="O29" s="79"/>
      <c r="P29" s="79"/>
      <c r="AI29" s="112"/>
    </row>
    <row r="30" s="14" customFormat="1" customHeight="1" spans="1:35">
      <c r="A30" s="55"/>
      <c r="B30" s="55" t="s">
        <v>212</v>
      </c>
      <c r="C30" s="57"/>
      <c r="D30" s="57"/>
      <c r="E30" s="57"/>
      <c r="F30" s="57"/>
      <c r="G30" s="57"/>
      <c r="H30" s="57"/>
      <c r="I30" s="79"/>
      <c r="J30" s="80"/>
      <c r="K30" s="79"/>
      <c r="L30" s="79"/>
      <c r="M30" s="81"/>
      <c r="N30" s="79"/>
      <c r="O30" s="79"/>
      <c r="P30" s="79"/>
      <c r="AI30" s="112"/>
    </row>
    <row r="32" ht="11.25" customHeight="1" spans="2:2">
      <c r="B32" s="58" t="s">
        <v>213</v>
      </c>
    </row>
    <row r="33" spans="2:2">
      <c r="B33" s="59" t="s">
        <v>214</v>
      </c>
    </row>
    <row r="34" spans="2:2">
      <c r="B34" s="59" t="s">
        <v>215</v>
      </c>
    </row>
  </sheetData>
  <autoFilter xmlns:etc="http://www.wps.cn/officeDocument/2017/etCustomData" ref="A3:AT18" etc:filterBottomFollowUsedRange="0">
    <extLst/>
  </autoFilter>
  <mergeCells count="39">
    <mergeCell ref="M1:P1"/>
    <mergeCell ref="M2:P2"/>
    <mergeCell ref="V2:AA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Q2:Q3"/>
    <mergeCell ref="R2:R3"/>
    <mergeCell ref="S2:S3"/>
    <mergeCell ref="T2:T3"/>
    <mergeCell ref="U2:U3"/>
    <mergeCell ref="AB2:AB3"/>
    <mergeCell ref="AC2:AC3"/>
    <mergeCell ref="AD2:AD3"/>
    <mergeCell ref="AE2:AE3"/>
    <mergeCell ref="AF2:AF3"/>
    <mergeCell ref="AG2:AG3"/>
    <mergeCell ref="AH2:AH3"/>
    <mergeCell ref="AI2:AI3"/>
    <mergeCell ref="AJ2:AJ3"/>
    <mergeCell ref="AK2:AK3"/>
    <mergeCell ref="AL2:AL3"/>
    <mergeCell ref="AM2:AM3"/>
    <mergeCell ref="AN2:AN3"/>
    <mergeCell ref="AO2:AO3"/>
    <mergeCell ref="AP2:AP3"/>
    <mergeCell ref="AQ2:AQ3"/>
    <mergeCell ref="AR2:AR3"/>
    <mergeCell ref="AS2:AS3"/>
    <mergeCell ref="AT2:AT3"/>
  </mergeCells>
  <conditionalFormatting sqref="B30">
    <cfRule type="duplicateValues" dxfId="4" priority="2" stopIfTrue="1"/>
  </conditionalFormatting>
  <conditionalFormatting sqref="B25:B29">
    <cfRule type="duplicateValues" dxfId="4" priority="3" stopIfTrue="1"/>
  </conditionalFormatting>
  <conditionalFormatting sqref="B33:B34">
    <cfRule type="duplicateValues" dxfId="4" priority="1" stopIfTrue="1"/>
  </conditionalFormatting>
  <conditionalFormatting sqref="C22:C24">
    <cfRule type="duplicateValues" dxfId="4" priority="4" stopIfTrue="1"/>
    <cfRule type="expression" dxfId="5" priority="5" stopIfTrue="1">
      <formula>AND(COUNTIF($B$18:$B$65454,C22)+COUNTIF($B$1:$B$3,C22)&gt;1,NOT(ISBLANK(C22)))</formula>
    </cfRule>
    <cfRule type="expression" dxfId="5" priority="6" stopIfTrue="1">
      <formula>AND(COUNTIF($B$29:$B$65405,C22)+COUNTIF($B$1:$B$28,C22)&gt;1,NOT(ISBLANK(C22)))</formula>
    </cfRule>
    <cfRule type="expression" dxfId="5" priority="7" stopIfTrue="1">
      <formula>AND(COUNTIF($B$18:$B$65443,C22)+COUNTIF($B$1:$B$3,C22)&gt;1,NOT(ISBLANK(C22)))</formula>
    </cfRule>
  </conditionalFormatting>
  <pageMargins left="0.235416666666667" right="0.235416666666667" top="0.747916666666667" bottom="0.747916666666667" header="0.313888888888889" footer="0.313888888888889"/>
  <pageSetup paperSize="9" scale="56" fitToWidth="2" orientation="landscape"/>
  <headerFooter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>
    <tabColor rgb="FF00B050"/>
    <pageSetUpPr fitToPage="1"/>
  </sheetPr>
  <dimension ref="A1:AT35"/>
  <sheetViews>
    <sheetView workbookViewId="0">
      <pane xSplit="6" ySplit="3" topLeftCell="G4" activePane="bottomRight" state="frozen"/>
      <selection/>
      <selection pane="topRight"/>
      <selection pane="bottomLeft"/>
      <selection pane="bottomRight" activeCell="A4" sqref="$A4:$XFD16"/>
    </sheetView>
  </sheetViews>
  <sheetFormatPr defaultColWidth="9" defaultRowHeight="13.5"/>
  <cols>
    <col min="1" max="1" width="4.45" style="15" customWidth="1"/>
    <col min="2" max="2" width="14" style="15" customWidth="1"/>
    <col min="3" max="3" width="10.45" style="15" customWidth="1"/>
    <col min="4" max="4" width="8.725" style="15" customWidth="1"/>
    <col min="5" max="5" width="19.45" style="16" customWidth="1"/>
    <col min="6" max="6" width="9" style="15"/>
    <col min="7" max="7" width="11.9083333333333" style="17" customWidth="1"/>
    <col min="8" max="8" width="4.63333333333333" style="15" hidden="1" customWidth="1"/>
    <col min="9" max="9" width="5.26666666666667" style="15" hidden="1" customWidth="1"/>
    <col min="10" max="10" width="11.725" style="18" hidden="1" customWidth="1"/>
    <col min="11" max="11" width="5.26666666666667" style="15" hidden="1" customWidth="1"/>
    <col min="12" max="12" width="11.725" style="15" customWidth="1"/>
    <col min="13" max="13" width="9.725" style="15" customWidth="1" outlineLevel="1"/>
    <col min="14" max="15" width="9" style="15" customWidth="1" outlineLevel="1"/>
    <col min="16" max="16" width="11.0916666666667" style="15" customWidth="1" outlineLevel="1"/>
    <col min="17" max="17" width="9.725" style="15" customWidth="1"/>
    <col min="18" max="18" width="9.45" style="15" customWidth="1"/>
    <col min="19" max="19" width="11.45" style="15" customWidth="1"/>
    <col min="20" max="21" width="12.2666666666667" style="15" customWidth="1"/>
    <col min="22" max="27" width="9" style="15" customWidth="1" outlineLevel="1"/>
    <col min="28" max="28" width="11.2666666666667" style="15" customWidth="1"/>
    <col min="29" max="29" width="8.45" style="15" customWidth="1"/>
    <col min="30" max="30" width="15.2666666666667" style="15" customWidth="1"/>
    <col min="31" max="31" width="14" style="15" customWidth="1"/>
    <col min="32" max="32" width="10.725" style="15" customWidth="1"/>
    <col min="33" max="33" width="12.2666666666667" style="15" customWidth="1"/>
    <col min="34" max="34" width="11.45" style="15" customWidth="1"/>
    <col min="35" max="35" width="7.90833333333333" style="19" customWidth="1"/>
    <col min="36" max="36" width="11.45" style="15" customWidth="1"/>
    <col min="37" max="37" width="9" style="15"/>
    <col min="38" max="38" width="11.45" style="15" customWidth="1"/>
    <col min="39" max="40" width="9" style="15" hidden="1" customWidth="1"/>
    <col min="41" max="41" width="19" style="15" hidden="1" customWidth="1"/>
    <col min="42" max="42" width="12.2666666666667" style="15" hidden="1" customWidth="1"/>
    <col min="43" max="43" width="9" style="15" hidden="1" customWidth="1"/>
    <col min="44" max="44" width="7" style="15" hidden="1" customWidth="1"/>
    <col min="45" max="45" width="6.725" style="15" hidden="1" customWidth="1"/>
    <col min="46" max="46" width="6.09166666666667" style="15" hidden="1" customWidth="1"/>
    <col min="47" max="16384" width="9" style="15"/>
  </cols>
  <sheetData>
    <row r="1" s="10" customFormat="1" ht="29.25" customHeight="1" spans="1:45">
      <c r="A1" s="20" t="s">
        <v>146</v>
      </c>
      <c r="B1" s="21"/>
      <c r="C1" s="22"/>
      <c r="D1" s="23"/>
      <c r="E1" s="24"/>
      <c r="F1" s="24"/>
      <c r="G1" s="25"/>
      <c r="J1" s="60"/>
      <c r="L1" s="61"/>
      <c r="M1" s="62" t="s">
        <v>147</v>
      </c>
      <c r="N1" s="62"/>
      <c r="O1" s="62"/>
      <c r="P1" s="62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  <c r="AC1" s="83"/>
      <c r="AD1" s="61"/>
      <c r="AE1" s="61"/>
      <c r="AF1" s="61"/>
      <c r="AG1" s="61"/>
      <c r="AH1" s="61"/>
      <c r="AI1" s="102"/>
      <c r="AJ1" s="61"/>
      <c r="AK1" s="61"/>
      <c r="AL1" s="61"/>
      <c r="AM1" s="24"/>
      <c r="AN1" s="24"/>
      <c r="AO1" s="113"/>
      <c r="AP1" s="24"/>
      <c r="AQ1" s="24"/>
      <c r="AR1" s="24"/>
      <c r="AS1" s="24"/>
    </row>
    <row r="2" s="11" customFormat="1" ht="20.15" customHeight="1" spans="1:46">
      <c r="A2" s="26" t="s">
        <v>0</v>
      </c>
      <c r="B2" s="27" t="s">
        <v>148</v>
      </c>
      <c r="C2" s="28" t="s">
        <v>149</v>
      </c>
      <c r="D2" s="28" t="s">
        <v>150</v>
      </c>
      <c r="E2" s="29" t="s">
        <v>151</v>
      </c>
      <c r="F2" s="30" t="s">
        <v>152</v>
      </c>
      <c r="G2" s="29" t="s">
        <v>153</v>
      </c>
      <c r="H2" s="29" t="s">
        <v>154</v>
      </c>
      <c r="I2" s="29" t="s">
        <v>155</v>
      </c>
      <c r="J2" s="63" t="s">
        <v>156</v>
      </c>
      <c r="K2" s="29" t="s">
        <v>157</v>
      </c>
      <c r="L2" s="29" t="s">
        <v>158</v>
      </c>
      <c r="M2" s="64" t="s">
        <v>159</v>
      </c>
      <c r="N2" s="65"/>
      <c r="O2" s="65"/>
      <c r="P2" s="66"/>
      <c r="Q2" s="30" t="s">
        <v>160</v>
      </c>
      <c r="R2" s="29" t="s">
        <v>161</v>
      </c>
      <c r="S2" s="30" t="s">
        <v>162</v>
      </c>
      <c r="T2" s="84" t="s">
        <v>163</v>
      </c>
      <c r="U2" s="30" t="s">
        <v>164</v>
      </c>
      <c r="V2" s="85" t="s">
        <v>165</v>
      </c>
      <c r="W2" s="86"/>
      <c r="X2" s="86"/>
      <c r="Y2" s="86"/>
      <c r="Z2" s="86"/>
      <c r="AA2" s="94"/>
      <c r="AB2" s="30" t="s">
        <v>166</v>
      </c>
      <c r="AC2" s="30" t="s">
        <v>167</v>
      </c>
      <c r="AD2" s="84" t="s">
        <v>168</v>
      </c>
      <c r="AE2" s="84" t="s">
        <v>169</v>
      </c>
      <c r="AF2" s="84" t="s">
        <v>170</v>
      </c>
      <c r="AG2" s="84" t="s">
        <v>171</v>
      </c>
      <c r="AH2" s="103" t="s">
        <v>172</v>
      </c>
      <c r="AI2" s="104" t="s">
        <v>173</v>
      </c>
      <c r="AJ2" s="103" t="s">
        <v>144</v>
      </c>
      <c r="AK2" s="28" t="s">
        <v>22</v>
      </c>
      <c r="AL2" s="103" t="s">
        <v>174</v>
      </c>
      <c r="AM2" s="29" t="s">
        <v>216</v>
      </c>
      <c r="AN2" s="29" t="s">
        <v>217</v>
      </c>
      <c r="AO2" s="114" t="s">
        <v>218</v>
      </c>
      <c r="AP2" s="29" t="s">
        <v>219</v>
      </c>
      <c r="AQ2" s="29" t="s">
        <v>220</v>
      </c>
      <c r="AR2" s="30" t="s">
        <v>221</v>
      </c>
      <c r="AS2" s="30" t="s">
        <v>222</v>
      </c>
      <c r="AT2" s="30" t="s">
        <v>223</v>
      </c>
    </row>
    <row r="3" s="11" customFormat="1" ht="27" customHeight="1" spans="1:46">
      <c r="A3" s="31"/>
      <c r="B3" s="32"/>
      <c r="C3" s="33"/>
      <c r="D3" s="33"/>
      <c r="E3" s="34"/>
      <c r="F3" s="35"/>
      <c r="G3" s="34"/>
      <c r="H3" s="34"/>
      <c r="I3" s="34"/>
      <c r="J3" s="67"/>
      <c r="K3" s="34"/>
      <c r="L3" s="34"/>
      <c r="M3" s="68" t="s">
        <v>175</v>
      </c>
      <c r="N3" s="68" t="s">
        <v>176</v>
      </c>
      <c r="O3" s="68" t="s">
        <v>177</v>
      </c>
      <c r="P3" s="68" t="s">
        <v>37</v>
      </c>
      <c r="Q3" s="35"/>
      <c r="R3" s="34"/>
      <c r="S3" s="35"/>
      <c r="T3" s="87"/>
      <c r="U3" s="35"/>
      <c r="V3" s="88" t="s">
        <v>178</v>
      </c>
      <c r="W3" s="88" t="s">
        <v>179</v>
      </c>
      <c r="X3" s="88" t="s">
        <v>180</v>
      </c>
      <c r="Y3" s="88" t="s">
        <v>181</v>
      </c>
      <c r="Z3" s="88" t="s">
        <v>182</v>
      </c>
      <c r="AA3" s="88" t="s">
        <v>183</v>
      </c>
      <c r="AB3" s="35"/>
      <c r="AC3" s="35"/>
      <c r="AD3" s="87"/>
      <c r="AE3" s="87"/>
      <c r="AF3" s="87"/>
      <c r="AG3" s="87"/>
      <c r="AH3" s="105"/>
      <c r="AI3" s="106"/>
      <c r="AJ3" s="105"/>
      <c r="AK3" s="33"/>
      <c r="AL3" s="105"/>
      <c r="AM3" s="34"/>
      <c r="AN3" s="34"/>
      <c r="AO3" s="115"/>
      <c r="AP3" s="34"/>
      <c r="AQ3" s="34"/>
      <c r="AR3" s="35"/>
      <c r="AS3" s="35"/>
      <c r="AT3" s="35"/>
    </row>
    <row r="4" s="12" customFormat="1" ht="18" customHeight="1" spans="1:46">
      <c r="A4" s="36">
        <v>1</v>
      </c>
      <c r="B4" s="37" t="s">
        <v>184</v>
      </c>
      <c r="C4" s="37" t="s">
        <v>61</v>
      </c>
      <c r="D4" s="37" t="s">
        <v>120</v>
      </c>
      <c r="E4" s="37" t="s">
        <v>62</v>
      </c>
      <c r="F4" s="38" t="s">
        <v>185</v>
      </c>
      <c r="G4" s="39">
        <v>13944441728</v>
      </c>
      <c r="H4" s="40"/>
      <c r="I4" s="40"/>
      <c r="J4" s="69"/>
      <c r="K4" s="40"/>
      <c r="L4" s="70">
        <v>8000</v>
      </c>
      <c r="M4" s="71">
        <v>344.57</v>
      </c>
      <c r="N4" s="71">
        <v>86.14</v>
      </c>
      <c r="O4" s="71">
        <v>12.92</v>
      </c>
      <c r="P4" s="71">
        <v>177.4</v>
      </c>
      <c r="Q4" s="70">
        <f>ROUND(SUM(M4:P4),2)</f>
        <v>621.03</v>
      </c>
      <c r="R4" s="70">
        <v>0</v>
      </c>
      <c r="S4" s="92">
        <f>L4</f>
        <v>8000</v>
      </c>
      <c r="T4" s="93">
        <v>5000</v>
      </c>
      <c r="U4" s="93">
        <f>Q4</f>
        <v>621.03</v>
      </c>
      <c r="V4" s="70"/>
      <c r="W4" s="70"/>
      <c r="X4" s="70"/>
      <c r="Y4" s="70"/>
      <c r="Z4" s="70"/>
      <c r="AA4" s="70"/>
      <c r="AB4" s="92">
        <f>ROUND(SUM(V4:AA4),2)</f>
        <v>0</v>
      </c>
      <c r="AC4" s="92">
        <f>R4</f>
        <v>0</v>
      </c>
      <c r="AD4" s="98">
        <f>ROUND(S4-T4-U4-AB4-AC4,2)</f>
        <v>2378.97</v>
      </c>
      <c r="AE4" s="99">
        <f>ROUND(MAX((AD4)*{0.03;0.1;0.2;0.25;0.3;0.35;0.45}-{0;2520;16920;31920;52920;85920;181920},0),2)</f>
        <v>71.37</v>
      </c>
      <c r="AF4" s="100">
        <v>0</v>
      </c>
      <c r="AG4" s="100">
        <f>IF((AE4-AF4)&lt;0,0,AE4-AF4)</f>
        <v>71.37</v>
      </c>
      <c r="AH4" s="109">
        <f>ROUND(IF((L4-Q4-AG4)&lt;0,0,(L4-Q4-AG4)),2)</f>
        <v>7307.6</v>
      </c>
      <c r="AI4" s="108"/>
      <c r="AJ4" s="109">
        <f>AH4+AI4</f>
        <v>7307.6</v>
      </c>
      <c r="AK4" s="109"/>
      <c r="AL4" s="109">
        <f>AJ4+AG4+AK4</f>
        <v>7378.97</v>
      </c>
      <c r="AM4" s="109"/>
      <c r="AN4" s="109"/>
      <c r="AO4" s="109"/>
      <c r="AP4" s="109"/>
      <c r="AQ4" s="109"/>
      <c r="AR4" s="117" t="str">
        <f>IF(LEN(E4)=18,IF(RIGHT(E4,1)="X",IF(CHOOSE(MOD(SUM(LEFT(RIGHT(E4,18))*7+LEFT(RIGHT(E4,17))*9+LEFT(RIGHT(E4,16))*10+LEFT(RIGHT(E4,15))*5+LEFT(RIGHT(E4,14))*8+LEFT(RIGHT(E4,13))*4+LEFT(RIGHT(E4,12))*2+LEFT(RIGHT(E4,11))*1+LEFT(RIGHT(E4,10))*6+LEFT(RIGHT(E4,9))*3+LEFT(RIGHT(E4,8))*7+LEFT(RIGHT(E4,7))*9+LEFT(RIGHT(E4,6))*10+LEFT(RIGHT(E4,5))*5+LEFT(RIGHT(E4,4))*8+LEFT(RIGHT(E4,3))*4+LEFT(RIGHT(E4,2))*2),11)+1,1,0,"X",9,8,7,6,5,4,3,2)=LEFT(RIGHT(E4,1)),"正确","错误"),IF(CHOOSE(MOD(SUM(LEFT(RIGHT(E4,18))*7+LEFT(RIGHT(E4,17))*9+LEFT(RIGHT(E4,16))*10+LEFT(RIGHT(E4,15))*5+LEFT(RIGHT(E4,14))*8+LEFT(RIGHT(E4,13))*4+LEFT(RIGHT(E4,12))*2+LEFT(RIGHT(E4,11))*1+LEFT(RIGHT(E4,10))*6+LEFT(RIGHT(E4,9))*3+LEFT(RIGHT(E4,8))*7+LEFT(RIGHT(E4,7))*9+LEFT(RIGHT(E4,6))*10+LEFT(RIGHT(E4,5))*5+LEFT(RIGHT(E4,4))*8+LEFT(RIGHT(E4,3))*4+LEFT(RIGHT(E4,2))*2),11)+1,1,0,"X",9,8,7,6,5,4,3,2)=LEFT(RIGHT(E4,1))*1,"正确","错误")),IF(LEN(E4)=15,"老号，请注意！",IF(LEN(E4)=0,"未填写身份证号码","位数不对！")))</f>
        <v>正确</v>
      </c>
      <c r="AS4" s="117" t="str">
        <f>IF(SUMPRODUCT(N(E$1:E$18=E4))&gt;1,"重复","不")</f>
        <v>不</v>
      </c>
      <c r="AT4" s="117" t="str">
        <f>IF(SUMPRODUCT(N(AO$1:AO$18=AO4))&gt;1,"重复","不")</f>
        <v>重复</v>
      </c>
    </row>
    <row r="5" s="12" customFormat="1" ht="18" customHeight="1" spans="1:46">
      <c r="A5" s="36">
        <v>2</v>
      </c>
      <c r="B5" s="37" t="s">
        <v>184</v>
      </c>
      <c r="C5" s="37" t="s">
        <v>121</v>
      </c>
      <c r="D5" s="37" t="s">
        <v>120</v>
      </c>
      <c r="E5" s="352" t="s">
        <v>122</v>
      </c>
      <c r="F5" s="38" t="s">
        <v>187</v>
      </c>
      <c r="G5" s="39">
        <v>15360550807</v>
      </c>
      <c r="H5" s="40"/>
      <c r="I5" s="40"/>
      <c r="J5" s="69"/>
      <c r="K5" s="40"/>
      <c r="L5" s="70">
        <v>6100</v>
      </c>
      <c r="M5" s="71">
        <v>422.72</v>
      </c>
      <c r="N5" s="71">
        <v>119.92</v>
      </c>
      <c r="O5" s="71">
        <v>4.6</v>
      </c>
      <c r="P5" s="71">
        <v>115</v>
      </c>
      <c r="Q5" s="70">
        <f t="shared" ref="Q5:Q19" si="0">ROUND(SUM(M5:P5),2)</f>
        <v>662.24</v>
      </c>
      <c r="R5" s="70">
        <v>0</v>
      </c>
      <c r="S5" s="92">
        <f t="shared" ref="S5:S21" si="1">L5</f>
        <v>6100</v>
      </c>
      <c r="T5" s="93">
        <v>5000</v>
      </c>
      <c r="U5" s="93">
        <f t="shared" ref="U5:U21" si="2">Q5</f>
        <v>662.24</v>
      </c>
      <c r="V5" s="70"/>
      <c r="W5" s="70"/>
      <c r="X5" s="70"/>
      <c r="Y5" s="70"/>
      <c r="Z5" s="70"/>
      <c r="AA5" s="70"/>
      <c r="AB5" s="92">
        <f t="shared" ref="AB5:AB21" si="3">ROUND(SUM(V5:AA5),2)</f>
        <v>0</v>
      </c>
      <c r="AC5" s="92">
        <f t="shared" ref="AC5:AC21" si="4">R5</f>
        <v>0</v>
      </c>
      <c r="AD5" s="98">
        <f t="shared" ref="AD5:AD21" si="5">ROUND(S5-T5-U5-AB5-AC5,2)</f>
        <v>437.76</v>
      </c>
      <c r="AE5" s="99">
        <f>ROUND(MAX((AD5)*{0.03;0.1;0.2;0.25;0.3;0.35;0.45}-{0;2520;16920;31920;52920;85920;181920},0),2)</f>
        <v>13.13</v>
      </c>
      <c r="AF5" s="100">
        <v>0</v>
      </c>
      <c r="AG5" s="100">
        <f t="shared" ref="AG5:AG21" si="6">IF((AE5-AF5)&lt;0,0,AE5-AF5)</f>
        <v>13.13</v>
      </c>
      <c r="AH5" s="109">
        <f t="shared" ref="AH5:AH21" si="7">ROUND(IF((L5-Q5-AG5)&lt;0,0,(L5-Q5-AG5)),2)</f>
        <v>5424.63</v>
      </c>
      <c r="AI5" s="108"/>
      <c r="AJ5" s="109">
        <f t="shared" ref="AJ5:AJ21" si="8">AH5+AI5</f>
        <v>5424.63</v>
      </c>
      <c r="AK5" s="109"/>
      <c r="AL5" s="109">
        <f t="shared" ref="AL5:AL21" si="9">AJ5+AG5+AK5</f>
        <v>5437.76</v>
      </c>
      <c r="AM5" s="109"/>
      <c r="AN5" s="109"/>
      <c r="AO5" s="109"/>
      <c r="AP5" s="109"/>
      <c r="AQ5" s="109"/>
      <c r="AR5" s="117" t="str">
        <f t="shared" ref="AR5:AR21" si="10">IF(LEN(E5)=18,IF(RIGHT(E5,1)="X",IF(CHOOSE(MOD(SUM(LEFT(RIGHT(E5,18))*7+LEFT(RIGHT(E5,17))*9+LEFT(RIGHT(E5,16))*10+LEFT(RIGHT(E5,15))*5+LEFT(RIGHT(E5,14))*8+LEFT(RIGHT(E5,13))*4+LEFT(RIGHT(E5,12))*2+LEFT(RIGHT(E5,11))*1+LEFT(RIGHT(E5,10))*6+LEFT(RIGHT(E5,9))*3+LEFT(RIGHT(E5,8))*7+LEFT(RIGHT(E5,7))*9+LEFT(RIGHT(E5,6))*10+LEFT(RIGHT(E5,5))*5+LEFT(RIGHT(E5,4))*8+LEFT(RIGHT(E5,3))*4+LEFT(RIGHT(E5,2))*2),11)+1,1,0,"X",9,8,7,6,5,4,3,2)=LEFT(RIGHT(E5,1)),"正确","错误"),IF(CHOOSE(MOD(SUM(LEFT(RIGHT(E5,18))*7+LEFT(RIGHT(E5,17))*9+LEFT(RIGHT(E5,16))*10+LEFT(RIGHT(E5,15))*5+LEFT(RIGHT(E5,14))*8+LEFT(RIGHT(E5,13))*4+LEFT(RIGHT(E5,12))*2+LEFT(RIGHT(E5,11))*1+LEFT(RIGHT(E5,10))*6+LEFT(RIGHT(E5,9))*3+LEFT(RIGHT(E5,8))*7+LEFT(RIGHT(E5,7))*9+LEFT(RIGHT(E5,6))*10+LEFT(RIGHT(E5,5))*5+LEFT(RIGHT(E5,4))*8+LEFT(RIGHT(E5,3))*4+LEFT(RIGHT(E5,2))*2),11)+1,1,0,"X",9,8,7,6,5,4,3,2)=LEFT(RIGHT(E5,1))*1,"正确","错误")),IF(LEN(E5)=15,"老号，请注意！",IF(LEN(E5)=0,"未填写身份证号码","位数不对！")))</f>
        <v>正确</v>
      </c>
      <c r="AS5" s="117" t="str">
        <f t="shared" ref="AS5:AS21" si="11">IF(SUMPRODUCT(N(E$1:E$18=E5))&gt;1,"重复","不")</f>
        <v>不</v>
      </c>
      <c r="AT5" s="117" t="str">
        <f t="shared" ref="AT5:AT21" si="12">IF(SUMPRODUCT(N(AO$1:AO$18=AO5))&gt;1,"重复","不")</f>
        <v>重复</v>
      </c>
    </row>
    <row r="6" s="12" customFormat="1" ht="18" customHeight="1" spans="1:46">
      <c r="A6" s="36">
        <v>3</v>
      </c>
      <c r="B6" s="37" t="s">
        <v>184</v>
      </c>
      <c r="C6" s="37" t="s">
        <v>123</v>
      </c>
      <c r="D6" s="37" t="s">
        <v>120</v>
      </c>
      <c r="E6" s="352" t="s">
        <v>124</v>
      </c>
      <c r="F6" s="38" t="s">
        <v>185</v>
      </c>
      <c r="G6" s="39" t="s">
        <v>125</v>
      </c>
      <c r="H6" s="40"/>
      <c r="I6" s="40"/>
      <c r="J6" s="69"/>
      <c r="K6" s="40"/>
      <c r="L6" s="70">
        <v>30060</v>
      </c>
      <c r="M6" s="71">
        <v>590.72</v>
      </c>
      <c r="N6" s="71">
        <v>147.68</v>
      </c>
      <c r="O6" s="71">
        <v>36.92</v>
      </c>
      <c r="P6" s="71">
        <v>188</v>
      </c>
      <c r="Q6" s="70">
        <f t="shared" si="0"/>
        <v>963.32</v>
      </c>
      <c r="R6" s="70">
        <v>0</v>
      </c>
      <c r="S6" s="92">
        <f t="shared" si="1"/>
        <v>30060</v>
      </c>
      <c r="T6" s="93">
        <v>5000</v>
      </c>
      <c r="U6" s="93">
        <f t="shared" si="2"/>
        <v>963.32</v>
      </c>
      <c r="V6" s="70"/>
      <c r="W6" s="70"/>
      <c r="X6" s="70"/>
      <c r="Y6" s="70"/>
      <c r="Z6" s="70"/>
      <c r="AA6" s="70"/>
      <c r="AB6" s="92">
        <f t="shared" si="3"/>
        <v>0</v>
      </c>
      <c r="AC6" s="92">
        <f t="shared" si="4"/>
        <v>0</v>
      </c>
      <c r="AD6" s="98">
        <f t="shared" si="5"/>
        <v>24096.68</v>
      </c>
      <c r="AE6" s="99">
        <f>ROUND(MAX((AD6)*{0.03;0.1;0.2;0.25;0.3;0.35;0.45}-{0;2520;16920;31920;52920;85920;181920},0),2)</f>
        <v>722.9</v>
      </c>
      <c r="AF6" s="100">
        <v>0</v>
      </c>
      <c r="AG6" s="100">
        <f t="shared" si="6"/>
        <v>722.9</v>
      </c>
      <c r="AH6" s="109">
        <f t="shared" si="7"/>
        <v>28373.78</v>
      </c>
      <c r="AI6" s="108"/>
      <c r="AJ6" s="109">
        <f t="shared" si="8"/>
        <v>28373.78</v>
      </c>
      <c r="AK6" s="109"/>
      <c r="AL6" s="109">
        <f t="shared" si="9"/>
        <v>29096.68</v>
      </c>
      <c r="AM6" s="109"/>
      <c r="AN6" s="109"/>
      <c r="AO6" s="109"/>
      <c r="AP6" s="109"/>
      <c r="AQ6" s="109"/>
      <c r="AR6" s="117" t="str">
        <f t="shared" si="10"/>
        <v>正确</v>
      </c>
      <c r="AS6" s="117" t="str">
        <f t="shared" si="11"/>
        <v>不</v>
      </c>
      <c r="AT6" s="117" t="str">
        <f t="shared" si="12"/>
        <v>重复</v>
      </c>
    </row>
    <row r="7" s="12" customFormat="1" ht="18" customHeight="1" spans="1:46">
      <c r="A7" s="36">
        <v>4</v>
      </c>
      <c r="B7" s="37" t="s">
        <v>184</v>
      </c>
      <c r="C7" s="37" t="s">
        <v>126</v>
      </c>
      <c r="D7" s="37" t="s">
        <v>120</v>
      </c>
      <c r="E7" s="352" t="s">
        <v>127</v>
      </c>
      <c r="F7" s="38" t="s">
        <v>185</v>
      </c>
      <c r="G7" s="39" t="s">
        <v>128</v>
      </c>
      <c r="H7" s="40"/>
      <c r="I7" s="40"/>
      <c r="J7" s="69"/>
      <c r="K7" s="40"/>
      <c r="L7" s="70">
        <v>9000</v>
      </c>
      <c r="M7" s="71">
        <v>338.16</v>
      </c>
      <c r="N7" s="71">
        <v>93.7</v>
      </c>
      <c r="O7" s="71">
        <v>21.14</v>
      </c>
      <c r="P7" s="71">
        <v>97</v>
      </c>
      <c r="Q7" s="70">
        <f t="shared" si="0"/>
        <v>550</v>
      </c>
      <c r="R7" s="70">
        <v>0</v>
      </c>
      <c r="S7" s="92">
        <f t="shared" si="1"/>
        <v>9000</v>
      </c>
      <c r="T7" s="93">
        <v>5000</v>
      </c>
      <c r="U7" s="93">
        <f t="shared" si="2"/>
        <v>550</v>
      </c>
      <c r="V7" s="70"/>
      <c r="W7" s="70"/>
      <c r="X7" s="70"/>
      <c r="Y7" s="70"/>
      <c r="Z7" s="70"/>
      <c r="AA7" s="70"/>
      <c r="AB7" s="92">
        <f t="shared" si="3"/>
        <v>0</v>
      </c>
      <c r="AC7" s="92">
        <f t="shared" si="4"/>
        <v>0</v>
      </c>
      <c r="AD7" s="98">
        <f t="shared" si="5"/>
        <v>3450</v>
      </c>
      <c r="AE7" s="99">
        <f>ROUND(MAX((AD7)*{0.03;0.1;0.2;0.25;0.3;0.35;0.45}-{0;2520;16920;31920;52920;85920;181920},0),2)</f>
        <v>103.5</v>
      </c>
      <c r="AF7" s="100">
        <v>0</v>
      </c>
      <c r="AG7" s="100">
        <f t="shared" si="6"/>
        <v>103.5</v>
      </c>
      <c r="AH7" s="109">
        <f t="shared" si="7"/>
        <v>8346.5</v>
      </c>
      <c r="AI7" s="108"/>
      <c r="AJ7" s="109">
        <f t="shared" si="8"/>
        <v>8346.5</v>
      </c>
      <c r="AK7" s="109"/>
      <c r="AL7" s="109">
        <f t="shared" si="9"/>
        <v>8450</v>
      </c>
      <c r="AM7" s="109"/>
      <c r="AN7" s="109"/>
      <c r="AO7" s="109"/>
      <c r="AP7" s="109"/>
      <c r="AQ7" s="109"/>
      <c r="AR7" s="117" t="str">
        <f t="shared" si="10"/>
        <v>正确</v>
      </c>
      <c r="AS7" s="117" t="str">
        <f t="shared" si="11"/>
        <v>不</v>
      </c>
      <c r="AT7" s="117" t="str">
        <f t="shared" si="12"/>
        <v>重复</v>
      </c>
    </row>
    <row r="8" s="12" customFormat="1" ht="18" customHeight="1" spans="1:46">
      <c r="A8" s="36">
        <v>5</v>
      </c>
      <c r="B8" s="37" t="s">
        <v>184</v>
      </c>
      <c r="C8" s="37" t="s">
        <v>129</v>
      </c>
      <c r="D8" s="37" t="s">
        <v>120</v>
      </c>
      <c r="E8" s="352" t="s">
        <v>130</v>
      </c>
      <c r="F8" s="38" t="s">
        <v>185</v>
      </c>
      <c r="G8" s="39">
        <v>19356875630</v>
      </c>
      <c r="H8" s="40"/>
      <c r="I8" s="40"/>
      <c r="J8" s="69"/>
      <c r="K8" s="40"/>
      <c r="L8" s="70">
        <v>10500</v>
      </c>
      <c r="M8" s="71">
        <v>338.16</v>
      </c>
      <c r="N8" s="71">
        <v>90.54</v>
      </c>
      <c r="O8" s="71">
        <v>21.14</v>
      </c>
      <c r="P8" s="71">
        <v>344</v>
      </c>
      <c r="Q8" s="70">
        <f t="shared" si="0"/>
        <v>793.84</v>
      </c>
      <c r="R8" s="70">
        <v>0</v>
      </c>
      <c r="S8" s="92">
        <f t="shared" si="1"/>
        <v>10500</v>
      </c>
      <c r="T8" s="93">
        <v>5000</v>
      </c>
      <c r="U8" s="93">
        <f t="shared" si="2"/>
        <v>793.84</v>
      </c>
      <c r="V8" s="70"/>
      <c r="W8" s="70"/>
      <c r="X8" s="70"/>
      <c r="Y8" s="70"/>
      <c r="Z8" s="70"/>
      <c r="AA8" s="70"/>
      <c r="AB8" s="92">
        <f t="shared" si="3"/>
        <v>0</v>
      </c>
      <c r="AC8" s="92">
        <f t="shared" si="4"/>
        <v>0</v>
      </c>
      <c r="AD8" s="98">
        <f t="shared" si="5"/>
        <v>4706.16</v>
      </c>
      <c r="AE8" s="99">
        <f>ROUND(MAX((AD8)*{0.03;0.1;0.2;0.25;0.3;0.35;0.45}-{0;2520;16920;31920;52920;85920;181920},0),2)</f>
        <v>141.18</v>
      </c>
      <c r="AF8" s="100">
        <v>0</v>
      </c>
      <c r="AG8" s="100">
        <f t="shared" si="6"/>
        <v>141.18</v>
      </c>
      <c r="AH8" s="109">
        <f t="shared" si="7"/>
        <v>9564.98</v>
      </c>
      <c r="AI8" s="108"/>
      <c r="AJ8" s="109">
        <f t="shared" si="8"/>
        <v>9564.98</v>
      </c>
      <c r="AK8" s="109"/>
      <c r="AL8" s="109">
        <f t="shared" si="9"/>
        <v>9706.16</v>
      </c>
      <c r="AM8" s="109"/>
      <c r="AN8" s="109"/>
      <c r="AO8" s="109"/>
      <c r="AP8" s="109"/>
      <c r="AQ8" s="109"/>
      <c r="AR8" s="117" t="str">
        <f t="shared" si="10"/>
        <v>正确</v>
      </c>
      <c r="AS8" s="117" t="str">
        <f t="shared" si="11"/>
        <v>不</v>
      </c>
      <c r="AT8" s="117" t="str">
        <f t="shared" si="12"/>
        <v>重复</v>
      </c>
    </row>
    <row r="9" s="12" customFormat="1" ht="18" customHeight="1" spans="1:46">
      <c r="A9" s="36">
        <v>6</v>
      </c>
      <c r="B9" s="37" t="s">
        <v>184</v>
      </c>
      <c r="C9" s="37" t="s">
        <v>131</v>
      </c>
      <c r="D9" s="37" t="s">
        <v>120</v>
      </c>
      <c r="E9" s="352" t="s">
        <v>132</v>
      </c>
      <c r="F9" s="38" t="s">
        <v>185</v>
      </c>
      <c r="G9" s="39">
        <v>13973652684</v>
      </c>
      <c r="H9" s="40"/>
      <c r="I9" s="40"/>
      <c r="J9" s="69"/>
      <c r="K9" s="40"/>
      <c r="L9" s="70">
        <v>6500</v>
      </c>
      <c r="M9" s="71">
        <v>322.16</v>
      </c>
      <c r="N9" s="71">
        <v>95.54</v>
      </c>
      <c r="O9" s="71">
        <v>12.08</v>
      </c>
      <c r="P9" s="71">
        <v>100</v>
      </c>
      <c r="Q9" s="70">
        <f t="shared" si="0"/>
        <v>529.78</v>
      </c>
      <c r="R9" s="70">
        <v>0</v>
      </c>
      <c r="S9" s="92">
        <f t="shared" si="1"/>
        <v>6500</v>
      </c>
      <c r="T9" s="93">
        <v>5000</v>
      </c>
      <c r="U9" s="93">
        <f t="shared" si="2"/>
        <v>529.78</v>
      </c>
      <c r="V9" s="70"/>
      <c r="W9" s="70"/>
      <c r="X9" s="70"/>
      <c r="Y9" s="70"/>
      <c r="Z9" s="70"/>
      <c r="AA9" s="70"/>
      <c r="AB9" s="92">
        <f t="shared" si="3"/>
        <v>0</v>
      </c>
      <c r="AC9" s="92">
        <f t="shared" si="4"/>
        <v>0</v>
      </c>
      <c r="AD9" s="98">
        <f t="shared" si="5"/>
        <v>970.22</v>
      </c>
      <c r="AE9" s="99">
        <f>ROUND(MAX((AD9)*{0.03;0.1;0.2;0.25;0.3;0.35;0.45}-{0;2520;16920;31920;52920;85920;181920},0),2)</f>
        <v>29.11</v>
      </c>
      <c r="AF9" s="100">
        <v>0</v>
      </c>
      <c r="AG9" s="100">
        <f t="shared" si="6"/>
        <v>29.11</v>
      </c>
      <c r="AH9" s="109">
        <f t="shared" si="7"/>
        <v>5941.11</v>
      </c>
      <c r="AI9" s="108"/>
      <c r="AJ9" s="109">
        <f t="shared" si="8"/>
        <v>5941.11</v>
      </c>
      <c r="AK9" s="109"/>
      <c r="AL9" s="109">
        <f t="shared" si="9"/>
        <v>5970.22</v>
      </c>
      <c r="AM9" s="109"/>
      <c r="AN9" s="109"/>
      <c r="AO9" s="109"/>
      <c r="AP9" s="109"/>
      <c r="AQ9" s="109"/>
      <c r="AR9" s="117" t="str">
        <f t="shared" si="10"/>
        <v>正确</v>
      </c>
      <c r="AS9" s="117" t="str">
        <f t="shared" si="11"/>
        <v>不</v>
      </c>
      <c r="AT9" s="117" t="str">
        <f t="shared" si="12"/>
        <v>重复</v>
      </c>
    </row>
    <row r="10" s="12" customFormat="1" ht="18" customHeight="1" spans="1:46">
      <c r="A10" s="36">
        <v>7</v>
      </c>
      <c r="B10" s="37" t="s">
        <v>184</v>
      </c>
      <c r="C10" s="37" t="s">
        <v>192</v>
      </c>
      <c r="D10" s="37" t="s">
        <v>120</v>
      </c>
      <c r="E10" s="352" t="s">
        <v>193</v>
      </c>
      <c r="F10" s="38" t="s">
        <v>187</v>
      </c>
      <c r="G10" s="39" t="s">
        <v>194</v>
      </c>
      <c r="H10" s="40"/>
      <c r="I10" s="40"/>
      <c r="J10" s="69"/>
      <c r="K10" s="40"/>
      <c r="L10" s="70">
        <v>4447.97</v>
      </c>
      <c r="M10" s="71">
        <v>401.04</v>
      </c>
      <c r="N10" s="71">
        <v>122.26</v>
      </c>
      <c r="O10" s="71">
        <v>25.07</v>
      </c>
      <c r="P10" s="71">
        <v>116</v>
      </c>
      <c r="Q10" s="70">
        <f t="shared" si="0"/>
        <v>664.37</v>
      </c>
      <c r="R10" s="70">
        <v>0</v>
      </c>
      <c r="S10" s="92">
        <f t="shared" si="1"/>
        <v>4447.97</v>
      </c>
      <c r="T10" s="93">
        <v>5000</v>
      </c>
      <c r="U10" s="93">
        <f t="shared" si="2"/>
        <v>664.37</v>
      </c>
      <c r="V10" s="70"/>
      <c r="W10" s="70"/>
      <c r="X10" s="70"/>
      <c r="Y10" s="70"/>
      <c r="Z10" s="70"/>
      <c r="AA10" s="70"/>
      <c r="AB10" s="92">
        <f t="shared" si="3"/>
        <v>0</v>
      </c>
      <c r="AC10" s="92">
        <f t="shared" si="4"/>
        <v>0</v>
      </c>
      <c r="AD10" s="98">
        <f t="shared" si="5"/>
        <v>-1216.4</v>
      </c>
      <c r="AE10" s="99">
        <f>ROUND(MAX((AD10)*{0.03;0.1;0.2;0.25;0.3;0.35;0.45}-{0;2520;16920;31920;52920;85920;181920},0),2)</f>
        <v>0</v>
      </c>
      <c r="AF10" s="100">
        <v>0</v>
      </c>
      <c r="AG10" s="100">
        <f t="shared" si="6"/>
        <v>0</v>
      </c>
      <c r="AH10" s="109">
        <f t="shared" si="7"/>
        <v>3783.6</v>
      </c>
      <c r="AI10" s="108"/>
      <c r="AJ10" s="109">
        <f t="shared" si="8"/>
        <v>3783.6</v>
      </c>
      <c r="AK10" s="109"/>
      <c r="AL10" s="109">
        <f t="shared" si="9"/>
        <v>3783.6</v>
      </c>
      <c r="AM10" s="109"/>
      <c r="AN10" s="109"/>
      <c r="AO10" s="109"/>
      <c r="AP10" s="109"/>
      <c r="AQ10" s="109"/>
      <c r="AR10" s="117" t="str">
        <f t="shared" si="10"/>
        <v>正确</v>
      </c>
      <c r="AS10" s="117" t="str">
        <f t="shared" si="11"/>
        <v>不</v>
      </c>
      <c r="AT10" s="117" t="str">
        <f t="shared" si="12"/>
        <v>重复</v>
      </c>
    </row>
    <row r="11" s="12" customFormat="1" ht="18" customHeight="1" spans="1:46">
      <c r="A11" s="36">
        <v>8</v>
      </c>
      <c r="B11" s="37" t="s">
        <v>184</v>
      </c>
      <c r="C11" s="37" t="s">
        <v>133</v>
      </c>
      <c r="D11" s="37" t="s">
        <v>120</v>
      </c>
      <c r="E11" s="352" t="s">
        <v>134</v>
      </c>
      <c r="F11" s="38" t="s">
        <v>185</v>
      </c>
      <c r="G11" s="39">
        <v>18356553626</v>
      </c>
      <c r="H11" s="40"/>
      <c r="I11" s="40"/>
      <c r="J11" s="69"/>
      <c r="K11" s="40"/>
      <c r="L11" s="70">
        <v>9000</v>
      </c>
      <c r="M11" s="71">
        <v>338.16</v>
      </c>
      <c r="N11" s="71">
        <v>124.54</v>
      </c>
      <c r="O11" s="71">
        <v>21.14</v>
      </c>
      <c r="P11" s="71">
        <v>97</v>
      </c>
      <c r="Q11" s="70">
        <f t="shared" si="0"/>
        <v>580.84</v>
      </c>
      <c r="R11" s="70">
        <v>0</v>
      </c>
      <c r="S11" s="92">
        <f t="shared" si="1"/>
        <v>9000</v>
      </c>
      <c r="T11" s="93">
        <v>5000</v>
      </c>
      <c r="U11" s="93">
        <f t="shared" si="2"/>
        <v>580.84</v>
      </c>
      <c r="V11" s="70"/>
      <c r="W11" s="70"/>
      <c r="X11" s="70"/>
      <c r="Y11" s="70"/>
      <c r="Z11" s="70"/>
      <c r="AA11" s="70"/>
      <c r="AB11" s="92">
        <f t="shared" si="3"/>
        <v>0</v>
      </c>
      <c r="AC11" s="92">
        <f t="shared" si="4"/>
        <v>0</v>
      </c>
      <c r="AD11" s="98">
        <f t="shared" si="5"/>
        <v>3419.16</v>
      </c>
      <c r="AE11" s="99">
        <f>ROUND(MAX((AD11)*{0.03;0.1;0.2;0.25;0.3;0.35;0.45}-{0;2520;16920;31920;52920;85920;181920},0),2)</f>
        <v>102.57</v>
      </c>
      <c r="AF11" s="100">
        <v>0</v>
      </c>
      <c r="AG11" s="100">
        <f t="shared" si="6"/>
        <v>102.57</v>
      </c>
      <c r="AH11" s="109">
        <f t="shared" si="7"/>
        <v>8316.59</v>
      </c>
      <c r="AI11" s="108"/>
      <c r="AJ11" s="109">
        <f t="shared" si="8"/>
        <v>8316.59</v>
      </c>
      <c r="AK11" s="109"/>
      <c r="AL11" s="109">
        <f t="shared" si="9"/>
        <v>8419.16</v>
      </c>
      <c r="AM11" s="109"/>
      <c r="AN11" s="109"/>
      <c r="AO11" s="109"/>
      <c r="AP11" s="109"/>
      <c r="AQ11" s="109"/>
      <c r="AR11" s="117" t="str">
        <f t="shared" si="10"/>
        <v>正确</v>
      </c>
      <c r="AS11" s="117" t="str">
        <f t="shared" si="11"/>
        <v>不</v>
      </c>
      <c r="AT11" s="117" t="str">
        <f t="shared" si="12"/>
        <v>重复</v>
      </c>
    </row>
    <row r="12" s="12" customFormat="1" ht="18" customHeight="1" spans="1:46">
      <c r="A12" s="36">
        <v>9</v>
      </c>
      <c r="B12" s="37" t="s">
        <v>184</v>
      </c>
      <c r="C12" s="37" t="s">
        <v>135</v>
      </c>
      <c r="D12" s="37" t="s">
        <v>120</v>
      </c>
      <c r="E12" s="352" t="s">
        <v>136</v>
      </c>
      <c r="F12" s="38" t="s">
        <v>185</v>
      </c>
      <c r="G12" s="39">
        <v>18326897140</v>
      </c>
      <c r="H12" s="40"/>
      <c r="I12" s="40"/>
      <c r="J12" s="69"/>
      <c r="K12" s="40"/>
      <c r="L12" s="70">
        <v>7500</v>
      </c>
      <c r="M12" s="71">
        <v>338.16</v>
      </c>
      <c r="N12" s="71">
        <v>90.54</v>
      </c>
      <c r="O12" s="71">
        <v>21.14</v>
      </c>
      <c r="P12" s="71">
        <v>344</v>
      </c>
      <c r="Q12" s="70">
        <f t="shared" si="0"/>
        <v>793.84</v>
      </c>
      <c r="R12" s="70">
        <v>0</v>
      </c>
      <c r="S12" s="92">
        <f t="shared" si="1"/>
        <v>7500</v>
      </c>
      <c r="T12" s="93">
        <v>5000</v>
      </c>
      <c r="U12" s="93">
        <f t="shared" si="2"/>
        <v>793.84</v>
      </c>
      <c r="V12" s="70"/>
      <c r="W12" s="70"/>
      <c r="X12" s="70"/>
      <c r="Y12" s="70"/>
      <c r="Z12" s="70"/>
      <c r="AA12" s="70"/>
      <c r="AB12" s="92">
        <f t="shared" si="3"/>
        <v>0</v>
      </c>
      <c r="AC12" s="92">
        <f t="shared" si="4"/>
        <v>0</v>
      </c>
      <c r="AD12" s="98">
        <f t="shared" si="5"/>
        <v>1706.16</v>
      </c>
      <c r="AE12" s="99">
        <f>ROUND(MAX((AD12)*{0.03;0.1;0.2;0.25;0.3;0.35;0.45}-{0;2520;16920;31920;52920;85920;181920},0),2)</f>
        <v>51.18</v>
      </c>
      <c r="AF12" s="100">
        <v>0</v>
      </c>
      <c r="AG12" s="100">
        <f t="shared" si="6"/>
        <v>51.18</v>
      </c>
      <c r="AH12" s="109">
        <f t="shared" si="7"/>
        <v>6654.98</v>
      </c>
      <c r="AI12" s="108"/>
      <c r="AJ12" s="109">
        <f t="shared" si="8"/>
        <v>6654.98</v>
      </c>
      <c r="AK12" s="109"/>
      <c r="AL12" s="109">
        <f t="shared" si="9"/>
        <v>6706.16</v>
      </c>
      <c r="AM12" s="109"/>
      <c r="AN12" s="109"/>
      <c r="AO12" s="109"/>
      <c r="AP12" s="109"/>
      <c r="AQ12" s="109"/>
      <c r="AR12" s="117" t="str">
        <f t="shared" si="10"/>
        <v>正确</v>
      </c>
      <c r="AS12" s="117" t="str">
        <f t="shared" si="11"/>
        <v>不</v>
      </c>
      <c r="AT12" s="117" t="str">
        <f t="shared" si="12"/>
        <v>重复</v>
      </c>
    </row>
    <row r="13" s="12" customFormat="1" ht="18" customHeight="1" spans="1:46">
      <c r="A13" s="36">
        <v>10</v>
      </c>
      <c r="B13" s="37" t="s">
        <v>184</v>
      </c>
      <c r="C13" s="37" t="s">
        <v>137</v>
      </c>
      <c r="D13" s="37" t="s">
        <v>120</v>
      </c>
      <c r="E13" s="352" t="s">
        <v>138</v>
      </c>
      <c r="F13" s="38" t="s">
        <v>185</v>
      </c>
      <c r="G13" s="39">
        <v>17201857014</v>
      </c>
      <c r="H13" s="40"/>
      <c r="I13" s="40"/>
      <c r="J13" s="69"/>
      <c r="K13" s="40"/>
      <c r="L13" s="70">
        <v>8000</v>
      </c>
      <c r="M13" s="71">
        <v>338.16</v>
      </c>
      <c r="N13" s="71">
        <v>90.54</v>
      </c>
      <c r="O13" s="71">
        <v>21.14</v>
      </c>
      <c r="P13" s="71">
        <v>344</v>
      </c>
      <c r="Q13" s="70">
        <f t="shared" si="0"/>
        <v>793.84</v>
      </c>
      <c r="R13" s="70">
        <v>0</v>
      </c>
      <c r="S13" s="92">
        <f t="shared" si="1"/>
        <v>8000</v>
      </c>
      <c r="T13" s="93">
        <v>5000</v>
      </c>
      <c r="U13" s="93">
        <f t="shared" si="2"/>
        <v>793.84</v>
      </c>
      <c r="V13" s="70"/>
      <c r="W13" s="70"/>
      <c r="X13" s="70"/>
      <c r="Y13" s="70"/>
      <c r="Z13" s="70"/>
      <c r="AA13" s="70"/>
      <c r="AB13" s="92">
        <f t="shared" si="3"/>
        <v>0</v>
      </c>
      <c r="AC13" s="92">
        <f t="shared" si="4"/>
        <v>0</v>
      </c>
      <c r="AD13" s="98">
        <f t="shared" si="5"/>
        <v>2206.16</v>
      </c>
      <c r="AE13" s="99">
        <f>ROUND(MAX((AD13)*{0.03;0.1;0.2;0.25;0.3;0.35;0.45}-{0;2520;16920;31920;52920;85920;181920},0),2)</f>
        <v>66.18</v>
      </c>
      <c r="AF13" s="100">
        <v>0</v>
      </c>
      <c r="AG13" s="100">
        <f t="shared" si="6"/>
        <v>66.18</v>
      </c>
      <c r="AH13" s="109">
        <f t="shared" si="7"/>
        <v>7139.98</v>
      </c>
      <c r="AI13" s="108"/>
      <c r="AJ13" s="109">
        <f t="shared" si="8"/>
        <v>7139.98</v>
      </c>
      <c r="AK13" s="109"/>
      <c r="AL13" s="109">
        <f t="shared" si="9"/>
        <v>7206.16</v>
      </c>
      <c r="AM13" s="109"/>
      <c r="AN13" s="109"/>
      <c r="AO13" s="109"/>
      <c r="AP13" s="109"/>
      <c r="AQ13" s="109"/>
      <c r="AR13" s="117" t="str">
        <f t="shared" si="10"/>
        <v>正确</v>
      </c>
      <c r="AS13" s="117" t="str">
        <f t="shared" si="11"/>
        <v>不</v>
      </c>
      <c r="AT13" s="117" t="str">
        <f t="shared" si="12"/>
        <v>重复</v>
      </c>
    </row>
    <row r="14" s="12" customFormat="1" ht="18" customHeight="1" spans="1:46">
      <c r="A14" s="36">
        <v>11</v>
      </c>
      <c r="B14" s="37" t="s">
        <v>184</v>
      </c>
      <c r="C14" s="37" t="s">
        <v>139</v>
      </c>
      <c r="D14" s="37" t="s">
        <v>120</v>
      </c>
      <c r="E14" s="352" t="s">
        <v>140</v>
      </c>
      <c r="F14" s="38" t="s">
        <v>187</v>
      </c>
      <c r="G14" s="39"/>
      <c r="H14" s="40"/>
      <c r="I14" s="40"/>
      <c r="J14" s="69"/>
      <c r="K14" s="40"/>
      <c r="L14" s="70">
        <v>6000</v>
      </c>
      <c r="M14" s="71">
        <v>338.16</v>
      </c>
      <c r="N14" s="71">
        <v>84.54</v>
      </c>
      <c r="O14" s="71">
        <v>21.14</v>
      </c>
      <c r="P14" s="71">
        <v>103</v>
      </c>
      <c r="Q14" s="70">
        <f t="shared" si="0"/>
        <v>546.84</v>
      </c>
      <c r="R14" s="70">
        <v>0</v>
      </c>
      <c r="S14" s="92">
        <f t="shared" si="1"/>
        <v>6000</v>
      </c>
      <c r="T14" s="93">
        <v>5000</v>
      </c>
      <c r="U14" s="93">
        <f t="shared" si="2"/>
        <v>546.84</v>
      </c>
      <c r="V14" s="70"/>
      <c r="W14" s="70"/>
      <c r="X14" s="70"/>
      <c r="Y14" s="70"/>
      <c r="Z14" s="70"/>
      <c r="AA14" s="70"/>
      <c r="AB14" s="92">
        <f t="shared" si="3"/>
        <v>0</v>
      </c>
      <c r="AC14" s="92">
        <f t="shared" si="4"/>
        <v>0</v>
      </c>
      <c r="AD14" s="98">
        <f t="shared" si="5"/>
        <v>453.16</v>
      </c>
      <c r="AE14" s="99">
        <f>ROUND(MAX((AD14)*{0.03;0.1;0.2;0.25;0.3;0.35;0.45}-{0;2520;16920;31920;52920;85920;181920},0),2)</f>
        <v>13.59</v>
      </c>
      <c r="AF14" s="100">
        <v>0</v>
      </c>
      <c r="AG14" s="100">
        <f t="shared" si="6"/>
        <v>13.59</v>
      </c>
      <c r="AH14" s="109">
        <f t="shared" si="7"/>
        <v>5439.57</v>
      </c>
      <c r="AI14" s="108"/>
      <c r="AJ14" s="109">
        <f t="shared" si="8"/>
        <v>5439.57</v>
      </c>
      <c r="AK14" s="109"/>
      <c r="AL14" s="109">
        <f t="shared" si="9"/>
        <v>5453.16</v>
      </c>
      <c r="AM14" s="109"/>
      <c r="AN14" s="109"/>
      <c r="AO14" s="109"/>
      <c r="AP14" s="109"/>
      <c r="AQ14" s="109"/>
      <c r="AR14" s="117" t="str">
        <f t="shared" si="10"/>
        <v>正确</v>
      </c>
      <c r="AS14" s="117" t="str">
        <f t="shared" si="11"/>
        <v>不</v>
      </c>
      <c r="AT14" s="117" t="str">
        <f t="shared" si="12"/>
        <v>重复</v>
      </c>
    </row>
    <row r="15" s="12" customFormat="1" ht="18" customHeight="1" spans="1:46">
      <c r="A15" s="36">
        <v>12</v>
      </c>
      <c r="B15" s="37" t="s">
        <v>184</v>
      </c>
      <c r="C15" s="37" t="s">
        <v>141</v>
      </c>
      <c r="D15" s="37" t="s">
        <v>120</v>
      </c>
      <c r="E15" s="352" t="s">
        <v>142</v>
      </c>
      <c r="F15" s="38" t="s">
        <v>185</v>
      </c>
      <c r="G15" s="39">
        <v>15056587375</v>
      </c>
      <c r="H15" s="40"/>
      <c r="I15" s="40"/>
      <c r="J15" s="69"/>
      <c r="K15" s="40"/>
      <c r="L15" s="70">
        <v>10000</v>
      </c>
      <c r="M15" s="71">
        <v>338.16</v>
      </c>
      <c r="N15" s="71">
        <v>93.7</v>
      </c>
      <c r="O15" s="71">
        <v>21.14</v>
      </c>
      <c r="P15" s="71">
        <v>97</v>
      </c>
      <c r="Q15" s="70">
        <f t="shared" si="0"/>
        <v>550</v>
      </c>
      <c r="R15" s="70">
        <v>0</v>
      </c>
      <c r="S15" s="92">
        <f t="shared" si="1"/>
        <v>10000</v>
      </c>
      <c r="T15" s="93">
        <v>5000</v>
      </c>
      <c r="U15" s="93">
        <f t="shared" si="2"/>
        <v>550</v>
      </c>
      <c r="V15" s="70"/>
      <c r="W15" s="70"/>
      <c r="X15" s="70"/>
      <c r="Y15" s="70"/>
      <c r="Z15" s="70"/>
      <c r="AA15" s="70"/>
      <c r="AB15" s="92">
        <f t="shared" si="3"/>
        <v>0</v>
      </c>
      <c r="AC15" s="92">
        <f t="shared" si="4"/>
        <v>0</v>
      </c>
      <c r="AD15" s="98">
        <f t="shared" si="5"/>
        <v>4450</v>
      </c>
      <c r="AE15" s="99">
        <f>ROUND(MAX((AD15)*{0.03;0.1;0.2;0.25;0.3;0.35;0.45}-{0;2520;16920;31920;52920;85920;181920},0),2)</f>
        <v>133.5</v>
      </c>
      <c r="AF15" s="100">
        <v>0</v>
      </c>
      <c r="AG15" s="100">
        <f t="shared" si="6"/>
        <v>133.5</v>
      </c>
      <c r="AH15" s="109">
        <f t="shared" si="7"/>
        <v>9316.5</v>
      </c>
      <c r="AI15" s="108"/>
      <c r="AJ15" s="109">
        <f t="shared" si="8"/>
        <v>9316.5</v>
      </c>
      <c r="AK15" s="109"/>
      <c r="AL15" s="109">
        <f t="shared" si="9"/>
        <v>9450</v>
      </c>
      <c r="AM15" s="109"/>
      <c r="AN15" s="109"/>
      <c r="AO15" s="109"/>
      <c r="AP15" s="109"/>
      <c r="AQ15" s="109"/>
      <c r="AR15" s="117" t="str">
        <f t="shared" si="10"/>
        <v>正确</v>
      </c>
      <c r="AS15" s="117" t="str">
        <f t="shared" si="11"/>
        <v>不</v>
      </c>
      <c r="AT15" s="117" t="str">
        <f t="shared" si="12"/>
        <v>重复</v>
      </c>
    </row>
    <row r="16" s="12" customFormat="1" ht="18" customHeight="1" spans="1:46">
      <c r="A16" s="36">
        <v>13</v>
      </c>
      <c r="B16" s="37" t="s">
        <v>184</v>
      </c>
      <c r="C16" s="37" t="s">
        <v>204</v>
      </c>
      <c r="D16" s="37" t="s">
        <v>120</v>
      </c>
      <c r="E16" s="37" t="s">
        <v>205</v>
      </c>
      <c r="F16" s="38" t="s">
        <v>185</v>
      </c>
      <c r="G16" s="39">
        <v>13711361074</v>
      </c>
      <c r="H16" s="40"/>
      <c r="I16" s="40"/>
      <c r="J16" s="69"/>
      <c r="K16" s="40"/>
      <c r="L16" s="70">
        <v>7392.73</v>
      </c>
      <c r="M16" s="71">
        <v>510.72</v>
      </c>
      <c r="N16" s="71">
        <v>102.28</v>
      </c>
      <c r="O16" s="71">
        <v>19.15</v>
      </c>
      <c r="P16" s="71">
        <v>110.5</v>
      </c>
      <c r="Q16" s="70">
        <f t="shared" si="0"/>
        <v>742.65</v>
      </c>
      <c r="R16" s="70">
        <v>0</v>
      </c>
      <c r="S16" s="92">
        <f t="shared" si="1"/>
        <v>7392.73</v>
      </c>
      <c r="T16" s="93">
        <v>5000</v>
      </c>
      <c r="U16" s="93">
        <f t="shared" si="2"/>
        <v>742.65</v>
      </c>
      <c r="V16" s="70"/>
      <c r="W16" s="70"/>
      <c r="X16" s="70"/>
      <c r="Y16" s="70"/>
      <c r="Z16" s="70"/>
      <c r="AA16" s="70"/>
      <c r="AB16" s="92">
        <f t="shared" si="3"/>
        <v>0</v>
      </c>
      <c r="AC16" s="92">
        <f t="shared" si="4"/>
        <v>0</v>
      </c>
      <c r="AD16" s="98">
        <f t="shared" si="5"/>
        <v>1650.08</v>
      </c>
      <c r="AE16" s="99">
        <f>ROUND(MAX((AD16)*{0.03;0.1;0.2;0.25;0.3;0.35;0.45}-{0;2520;16920;31920;52920;85920;181920},0),2)</f>
        <v>49.5</v>
      </c>
      <c r="AF16" s="100">
        <v>0</v>
      </c>
      <c r="AG16" s="100">
        <f t="shared" si="6"/>
        <v>49.5</v>
      </c>
      <c r="AH16" s="109">
        <f t="shared" si="7"/>
        <v>6600.58</v>
      </c>
      <c r="AI16" s="108"/>
      <c r="AJ16" s="109">
        <f t="shared" si="8"/>
        <v>6600.58</v>
      </c>
      <c r="AK16" s="109"/>
      <c r="AL16" s="109">
        <f t="shared" si="9"/>
        <v>6650.08</v>
      </c>
      <c r="AM16" s="109"/>
      <c r="AN16" s="109"/>
      <c r="AO16" s="109"/>
      <c r="AP16" s="109"/>
      <c r="AQ16" s="109"/>
      <c r="AR16" s="117" t="str">
        <f t="shared" si="10"/>
        <v>正确</v>
      </c>
      <c r="AS16" s="117" t="str">
        <f t="shared" si="11"/>
        <v>不</v>
      </c>
      <c r="AT16" s="117" t="str">
        <f t="shared" si="12"/>
        <v>重复</v>
      </c>
    </row>
    <row r="17" s="12" customFormat="1" ht="18" customHeight="1" spans="1:46">
      <c r="A17" s="36"/>
      <c r="B17" s="37"/>
      <c r="C17" s="37"/>
      <c r="D17" s="37"/>
      <c r="E17" s="37"/>
      <c r="F17" s="127"/>
      <c r="G17" s="39"/>
      <c r="H17" s="40"/>
      <c r="I17" s="40"/>
      <c r="J17" s="69"/>
      <c r="K17" s="40"/>
      <c r="L17" s="70"/>
      <c r="M17" s="71"/>
      <c r="N17" s="71"/>
      <c r="O17" s="71"/>
      <c r="P17" s="71"/>
      <c r="Q17" s="70"/>
      <c r="R17" s="70"/>
      <c r="S17" s="92"/>
      <c r="T17" s="93"/>
      <c r="U17" s="93"/>
      <c r="V17" s="70"/>
      <c r="W17" s="70"/>
      <c r="X17" s="70"/>
      <c r="Y17" s="70"/>
      <c r="Z17" s="70"/>
      <c r="AA17" s="70"/>
      <c r="AB17" s="92"/>
      <c r="AC17" s="92"/>
      <c r="AD17" s="98"/>
      <c r="AE17" s="99"/>
      <c r="AF17" s="100"/>
      <c r="AG17" s="100"/>
      <c r="AH17" s="109"/>
      <c r="AI17" s="108"/>
      <c r="AJ17" s="109"/>
      <c r="AK17" s="109"/>
      <c r="AL17" s="109"/>
      <c r="AM17" s="109"/>
      <c r="AN17" s="109"/>
      <c r="AO17" s="109"/>
      <c r="AP17" s="109"/>
      <c r="AQ17" s="109"/>
      <c r="AR17" s="117"/>
      <c r="AS17" s="117"/>
      <c r="AT17" s="117"/>
    </row>
    <row r="18" s="12" customFormat="1" ht="18" customHeight="1" spans="1:46">
      <c r="A18" s="36"/>
      <c r="B18" s="37"/>
      <c r="C18" s="37"/>
      <c r="D18" s="37"/>
      <c r="E18" s="37"/>
      <c r="F18" s="127"/>
      <c r="G18" s="39"/>
      <c r="H18" s="40"/>
      <c r="I18" s="40"/>
      <c r="J18" s="69"/>
      <c r="K18" s="40"/>
      <c r="L18" s="70"/>
      <c r="M18" s="71"/>
      <c r="N18" s="71"/>
      <c r="O18" s="71"/>
      <c r="P18" s="71"/>
      <c r="Q18" s="70"/>
      <c r="R18" s="70"/>
      <c r="S18" s="92"/>
      <c r="T18" s="93"/>
      <c r="U18" s="93"/>
      <c r="V18" s="70"/>
      <c r="W18" s="70"/>
      <c r="X18" s="70"/>
      <c r="Y18" s="70"/>
      <c r="Z18" s="70"/>
      <c r="AA18" s="70"/>
      <c r="AB18" s="92"/>
      <c r="AC18" s="92"/>
      <c r="AD18" s="98"/>
      <c r="AE18" s="99"/>
      <c r="AF18" s="100"/>
      <c r="AG18" s="100"/>
      <c r="AH18" s="109"/>
      <c r="AI18" s="108"/>
      <c r="AJ18" s="109"/>
      <c r="AK18" s="109"/>
      <c r="AL18" s="109"/>
      <c r="AM18" s="109"/>
      <c r="AN18" s="109"/>
      <c r="AO18" s="109"/>
      <c r="AP18" s="109"/>
      <c r="AQ18" s="109"/>
      <c r="AR18" s="117"/>
      <c r="AS18" s="117"/>
      <c r="AT18" s="117"/>
    </row>
    <row r="19" s="13" customFormat="1" ht="18" customHeight="1" spans="1:46">
      <c r="A19" s="41"/>
      <c r="B19" s="42" t="s">
        <v>143</v>
      </c>
      <c r="C19" s="42"/>
      <c r="D19" s="43"/>
      <c r="E19" s="44"/>
      <c r="F19" s="45"/>
      <c r="G19" s="46"/>
      <c r="H19" s="45"/>
      <c r="I19" s="72"/>
      <c r="J19" s="73"/>
      <c r="K19" s="72"/>
      <c r="L19" s="74">
        <f t="shared" ref="L19:AL19" si="13">SUM(L4:L18)</f>
        <v>122500.7</v>
      </c>
      <c r="M19" s="74">
        <f t="shared" si="13"/>
        <v>4959.05</v>
      </c>
      <c r="N19" s="74">
        <f t="shared" si="13"/>
        <v>1341.92</v>
      </c>
      <c r="O19" s="74">
        <f t="shared" si="13"/>
        <v>258.72</v>
      </c>
      <c r="P19" s="74">
        <f t="shared" si="13"/>
        <v>2232.9</v>
      </c>
      <c r="Q19" s="74">
        <f t="shared" si="13"/>
        <v>8792.59</v>
      </c>
      <c r="R19" s="74">
        <f t="shared" si="13"/>
        <v>0</v>
      </c>
      <c r="S19" s="74">
        <f t="shared" si="13"/>
        <v>122500.7</v>
      </c>
      <c r="T19" s="74">
        <f t="shared" si="13"/>
        <v>65000</v>
      </c>
      <c r="U19" s="74">
        <f t="shared" si="13"/>
        <v>8792.59</v>
      </c>
      <c r="V19" s="74">
        <f t="shared" si="13"/>
        <v>0</v>
      </c>
      <c r="W19" s="74">
        <f t="shared" si="13"/>
        <v>0</v>
      </c>
      <c r="X19" s="74">
        <f t="shared" si="13"/>
        <v>0</v>
      </c>
      <c r="Y19" s="74">
        <f t="shared" si="13"/>
        <v>0</v>
      </c>
      <c r="Z19" s="74">
        <f t="shared" si="13"/>
        <v>0</v>
      </c>
      <c r="AA19" s="74">
        <f t="shared" si="13"/>
        <v>0</v>
      </c>
      <c r="AB19" s="74">
        <f t="shared" si="13"/>
        <v>0</v>
      </c>
      <c r="AC19" s="74">
        <f t="shared" si="13"/>
        <v>0</v>
      </c>
      <c r="AD19" s="74">
        <f t="shared" si="13"/>
        <v>48708.11</v>
      </c>
      <c r="AE19" s="74">
        <f t="shared" si="13"/>
        <v>1497.71</v>
      </c>
      <c r="AF19" s="74">
        <f t="shared" si="13"/>
        <v>0</v>
      </c>
      <c r="AG19" s="74">
        <f t="shared" si="13"/>
        <v>1497.71</v>
      </c>
      <c r="AH19" s="74">
        <f t="shared" si="13"/>
        <v>112210.4</v>
      </c>
      <c r="AI19" s="126">
        <f t="shared" si="13"/>
        <v>0</v>
      </c>
      <c r="AJ19" s="74">
        <f t="shared" si="13"/>
        <v>112210.4</v>
      </c>
      <c r="AK19" s="74">
        <f t="shared" si="13"/>
        <v>0</v>
      </c>
      <c r="AL19" s="74">
        <f t="shared" si="13"/>
        <v>113708.11</v>
      </c>
      <c r="AM19" s="110"/>
      <c r="AN19" s="110"/>
      <c r="AO19" s="110"/>
      <c r="AP19" s="110"/>
      <c r="AQ19" s="110"/>
      <c r="AR19" s="45"/>
      <c r="AS19" s="45"/>
      <c r="AT19" s="118"/>
    </row>
    <row r="22" spans="30:30">
      <c r="AD22" s="101"/>
    </row>
    <row r="23" ht="18.75" customHeight="1" spans="2:30">
      <c r="B23" s="47" t="s">
        <v>144</v>
      </c>
      <c r="C23" s="47" t="s">
        <v>145</v>
      </c>
      <c r="D23" s="47" t="s">
        <v>22</v>
      </c>
      <c r="E23" s="47" t="s">
        <v>23</v>
      </c>
      <c r="AD23" s="10"/>
    </row>
    <row r="24" ht="18.75" customHeight="1" spans="2:5">
      <c r="B24" s="48">
        <f>AJ19</f>
        <v>112210.4</v>
      </c>
      <c r="C24" s="48">
        <f>AG19</f>
        <v>1497.71</v>
      </c>
      <c r="D24" s="48">
        <f>AK19</f>
        <v>0</v>
      </c>
      <c r="E24" s="48">
        <f>B24+C24+D24</f>
        <v>113708.11</v>
      </c>
    </row>
    <row r="25" spans="2:5">
      <c r="B25" s="49"/>
      <c r="C25" s="49"/>
      <c r="D25" s="49"/>
      <c r="E25" s="49"/>
    </row>
    <row r="26" s="14" customFormat="1" spans="1:35">
      <c r="A26" s="51" t="s">
        <v>206</v>
      </c>
      <c r="B26" s="52" t="s">
        <v>207</v>
      </c>
      <c r="C26" s="50"/>
      <c r="D26" s="50"/>
      <c r="E26" s="50"/>
      <c r="G26" s="53"/>
      <c r="J26" s="75"/>
      <c r="M26" s="76"/>
      <c r="AI26" s="112"/>
    </row>
    <row r="27" s="14" customFormat="1" spans="1:35">
      <c r="A27" s="54"/>
      <c r="B27" s="55" t="s">
        <v>208</v>
      </c>
      <c r="C27" s="50"/>
      <c r="D27" s="50"/>
      <c r="E27" s="50"/>
      <c r="G27" s="53"/>
      <c r="J27" s="75"/>
      <c r="M27" s="76"/>
      <c r="AI27" s="112"/>
    </row>
    <row r="28" s="14" customFormat="1" spans="1:35">
      <c r="A28" s="52"/>
      <c r="B28" s="55" t="s">
        <v>209</v>
      </c>
      <c r="C28" s="56"/>
      <c r="D28" s="56"/>
      <c r="E28" s="56"/>
      <c r="F28" s="56"/>
      <c r="G28" s="56"/>
      <c r="H28" s="56"/>
      <c r="I28" s="56"/>
      <c r="J28" s="77"/>
      <c r="K28" s="56"/>
      <c r="L28" s="56"/>
      <c r="M28" s="78"/>
      <c r="N28" s="56"/>
      <c r="O28" s="56"/>
      <c r="P28" s="56"/>
      <c r="AI28" s="112"/>
    </row>
    <row r="29" s="14" customFormat="1" customHeight="1" spans="1:35">
      <c r="A29" s="55"/>
      <c r="B29" s="55" t="s">
        <v>210</v>
      </c>
      <c r="C29" s="57"/>
      <c r="D29" s="57"/>
      <c r="E29" s="57"/>
      <c r="F29" s="57"/>
      <c r="G29" s="57"/>
      <c r="H29" s="57"/>
      <c r="I29" s="79"/>
      <c r="J29" s="80"/>
      <c r="K29" s="79"/>
      <c r="L29" s="79"/>
      <c r="M29" s="81"/>
      <c r="N29" s="79"/>
      <c r="O29" s="79"/>
      <c r="P29" s="79"/>
      <c r="AI29" s="112"/>
    </row>
    <row r="30" s="14" customFormat="1" customHeight="1" spans="1:35">
      <c r="A30" s="55"/>
      <c r="B30" s="55" t="s">
        <v>211</v>
      </c>
      <c r="C30" s="57"/>
      <c r="D30" s="57"/>
      <c r="E30" s="57"/>
      <c r="F30" s="57"/>
      <c r="G30" s="57"/>
      <c r="H30" s="57"/>
      <c r="I30" s="57"/>
      <c r="J30" s="82"/>
      <c r="K30" s="57"/>
      <c r="L30" s="79"/>
      <c r="M30" s="81"/>
      <c r="N30" s="79"/>
      <c r="O30" s="79"/>
      <c r="P30" s="79"/>
      <c r="AI30" s="112"/>
    </row>
    <row r="31" s="14" customFormat="1" customHeight="1" spans="1:35">
      <c r="A31" s="55"/>
      <c r="B31" s="55" t="s">
        <v>212</v>
      </c>
      <c r="C31" s="57"/>
      <c r="D31" s="57"/>
      <c r="E31" s="57"/>
      <c r="F31" s="57"/>
      <c r="G31" s="57"/>
      <c r="H31" s="57"/>
      <c r="I31" s="79"/>
      <c r="J31" s="80"/>
      <c r="K31" s="79"/>
      <c r="L31" s="79"/>
      <c r="M31" s="81"/>
      <c r="N31" s="79"/>
      <c r="O31" s="79"/>
      <c r="P31" s="79"/>
      <c r="AI31" s="112"/>
    </row>
    <row r="33" ht="11.25" customHeight="1" spans="2:2">
      <c r="B33" s="58" t="s">
        <v>213</v>
      </c>
    </row>
    <row r="34" spans="2:2">
      <c r="B34" s="59" t="s">
        <v>214</v>
      </c>
    </row>
    <row r="35" spans="2:2">
      <c r="B35" s="59" t="s">
        <v>215</v>
      </c>
    </row>
  </sheetData>
  <mergeCells count="39">
    <mergeCell ref="M1:P1"/>
    <mergeCell ref="M2:P2"/>
    <mergeCell ref="V2:AA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Q2:Q3"/>
    <mergeCell ref="R2:R3"/>
    <mergeCell ref="S2:S3"/>
    <mergeCell ref="T2:T3"/>
    <mergeCell ref="U2:U3"/>
    <mergeCell ref="AB2:AB3"/>
    <mergeCell ref="AC2:AC3"/>
    <mergeCell ref="AD2:AD3"/>
    <mergeCell ref="AE2:AE3"/>
    <mergeCell ref="AF2:AF3"/>
    <mergeCell ref="AG2:AG3"/>
    <mergeCell ref="AH2:AH3"/>
    <mergeCell ref="AI2:AI3"/>
    <mergeCell ref="AJ2:AJ3"/>
    <mergeCell ref="AK2:AK3"/>
    <mergeCell ref="AL2:AL3"/>
    <mergeCell ref="AM2:AM3"/>
    <mergeCell ref="AN2:AN3"/>
    <mergeCell ref="AO2:AO3"/>
    <mergeCell ref="AP2:AP3"/>
    <mergeCell ref="AQ2:AQ3"/>
    <mergeCell ref="AR2:AR3"/>
    <mergeCell ref="AS2:AS3"/>
    <mergeCell ref="AT2:AT3"/>
  </mergeCells>
  <conditionalFormatting sqref="B31">
    <cfRule type="duplicateValues" dxfId="4" priority="10" stopIfTrue="1"/>
  </conditionalFormatting>
  <conditionalFormatting sqref="B26:B30">
    <cfRule type="duplicateValues" dxfId="4" priority="13" stopIfTrue="1"/>
  </conditionalFormatting>
  <conditionalFormatting sqref="B34:B35">
    <cfRule type="duplicateValues" dxfId="4" priority="1" stopIfTrue="1"/>
  </conditionalFormatting>
  <conditionalFormatting sqref="C23:C25">
    <cfRule type="duplicateValues" dxfId="4" priority="17" stopIfTrue="1"/>
    <cfRule type="expression" dxfId="5" priority="19" stopIfTrue="1">
      <formula>AND(COUNTIF($B$19:$B$65455,C23)+COUNTIF($B$1:$B$3,C23)&gt;1,NOT(ISBLANK(C23)))</formula>
    </cfRule>
    <cfRule type="expression" dxfId="5" priority="21" stopIfTrue="1">
      <formula>AND(COUNTIF($B$30:$B$65406,C23)+COUNTIF($B$1:$B$29,C23)&gt;1,NOT(ISBLANK(C23)))</formula>
    </cfRule>
    <cfRule type="expression" dxfId="5" priority="23" stopIfTrue="1">
      <formula>AND(COUNTIF($B$19:$B$65444,C23)+COUNTIF($B$1:$B$3,C23)&gt;1,NOT(ISBLANK(C23)))</formula>
    </cfRule>
  </conditionalFormatting>
  <pageMargins left="0.235416666666667" right="0.235416666666667" top="0.747916666666667" bottom="0.747916666666667" header="0.313888888888889" footer="0.313888888888889"/>
  <pageSetup paperSize="9" scale="56" fitToWidth="2" orientation="landscape"/>
  <headerFooter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">
    <tabColor rgb="FF00B050"/>
    <pageSetUpPr fitToPage="1"/>
  </sheetPr>
  <dimension ref="A1:AT34"/>
  <sheetViews>
    <sheetView workbookViewId="0">
      <pane xSplit="6" ySplit="3" topLeftCell="G4" activePane="bottomRight" state="frozen"/>
      <selection/>
      <selection pane="topRight"/>
      <selection pane="bottomLeft"/>
      <selection pane="bottomRight" activeCell="B4" sqref="B4:P16"/>
    </sheetView>
  </sheetViews>
  <sheetFormatPr defaultColWidth="9" defaultRowHeight="13.5"/>
  <cols>
    <col min="1" max="1" width="4.45" style="15" customWidth="1"/>
    <col min="2" max="2" width="12.6333333333333" style="15" customWidth="1"/>
    <col min="3" max="3" width="10.45" style="15" customWidth="1"/>
    <col min="4" max="4" width="8.725" style="15" customWidth="1"/>
    <col min="5" max="5" width="19.45" style="16" customWidth="1"/>
    <col min="6" max="6" width="9" style="15"/>
    <col min="7" max="7" width="12.375" style="17" customWidth="1"/>
    <col min="8" max="8" width="4.63333333333333" style="15" hidden="1" customWidth="1"/>
    <col min="9" max="9" width="5.26666666666667" style="15" hidden="1" customWidth="1"/>
    <col min="10" max="10" width="11.725" style="18" hidden="1" customWidth="1"/>
    <col min="11" max="11" width="5.26666666666667" style="15" hidden="1" customWidth="1"/>
    <col min="12" max="12" width="11.725" style="15" customWidth="1"/>
    <col min="13" max="13" width="12.45" style="15" customWidth="1" outlineLevel="1"/>
    <col min="14" max="15" width="9" style="15" customWidth="1" outlineLevel="1"/>
    <col min="16" max="16" width="11.0916666666667" style="15" customWidth="1" outlineLevel="1"/>
    <col min="17" max="17" width="9.725" style="15" customWidth="1"/>
    <col min="18" max="18" width="9.45" style="15" customWidth="1"/>
    <col min="19" max="19" width="13.3666666666667" style="15" customWidth="1"/>
    <col min="20" max="21" width="12.2666666666667" style="15" customWidth="1"/>
    <col min="22" max="27" width="9" style="15" customWidth="1" outlineLevel="1"/>
    <col min="28" max="28" width="11.2666666666667" style="15" customWidth="1"/>
    <col min="29" max="29" width="8.45" style="15" customWidth="1"/>
    <col min="30" max="30" width="15.2666666666667" style="15" customWidth="1"/>
    <col min="31" max="31" width="13.3666666666667" style="15" customWidth="1"/>
    <col min="32" max="32" width="10.725" style="15" customWidth="1"/>
    <col min="33" max="33" width="12.2666666666667" style="15" customWidth="1"/>
    <col min="34" max="34" width="11.45" style="15" customWidth="1"/>
    <col min="35" max="35" width="7.90833333333333" style="19" customWidth="1"/>
    <col min="36" max="36" width="11.45" style="15" customWidth="1"/>
    <col min="37" max="37" width="9" style="15"/>
    <col min="38" max="38" width="11.45" style="15" customWidth="1"/>
    <col min="39" max="40" width="9" style="15" hidden="1" customWidth="1"/>
    <col min="41" max="41" width="19" style="15" hidden="1" customWidth="1"/>
    <col min="42" max="42" width="12.2666666666667" style="15" hidden="1" customWidth="1"/>
    <col min="43" max="43" width="9" style="15" hidden="1" customWidth="1"/>
    <col min="44" max="44" width="7" style="15" hidden="1" customWidth="1"/>
    <col min="45" max="45" width="6.725" style="15" hidden="1" customWidth="1"/>
    <col min="46" max="46" width="6.09166666666667" style="15" hidden="1" customWidth="1"/>
    <col min="47" max="16384" width="9" style="15"/>
  </cols>
  <sheetData>
    <row r="1" s="10" customFormat="1" ht="29.25" customHeight="1" spans="1:45">
      <c r="A1" s="20" t="s">
        <v>146</v>
      </c>
      <c r="B1" s="21"/>
      <c r="C1" s="22"/>
      <c r="D1" s="23"/>
      <c r="E1" s="24"/>
      <c r="F1" s="24"/>
      <c r="G1" s="25"/>
      <c r="J1" s="60"/>
      <c r="L1" s="61"/>
      <c r="M1" s="62" t="s">
        <v>147</v>
      </c>
      <c r="N1" s="62"/>
      <c r="O1" s="62"/>
      <c r="P1" s="62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  <c r="AC1" s="83"/>
      <c r="AD1" s="61"/>
      <c r="AE1" s="61"/>
      <c r="AF1" s="61"/>
      <c r="AG1" s="61"/>
      <c r="AH1" s="61"/>
      <c r="AI1" s="102"/>
      <c r="AJ1" s="61"/>
      <c r="AK1" s="61"/>
      <c r="AL1" s="61"/>
      <c r="AM1" s="24"/>
      <c r="AN1" s="24"/>
      <c r="AO1" s="113"/>
      <c r="AP1" s="24"/>
      <c r="AQ1" s="24"/>
      <c r="AR1" s="24"/>
      <c r="AS1" s="24"/>
    </row>
    <row r="2" s="11" customFormat="1" ht="20.15" customHeight="1" spans="1:46">
      <c r="A2" s="26" t="s">
        <v>0</v>
      </c>
      <c r="B2" s="27" t="s">
        <v>148</v>
      </c>
      <c r="C2" s="28" t="s">
        <v>149</v>
      </c>
      <c r="D2" s="28" t="s">
        <v>150</v>
      </c>
      <c r="E2" s="29" t="s">
        <v>151</v>
      </c>
      <c r="F2" s="30" t="s">
        <v>152</v>
      </c>
      <c r="G2" s="29" t="s">
        <v>153</v>
      </c>
      <c r="H2" s="29" t="s">
        <v>154</v>
      </c>
      <c r="I2" s="29" t="s">
        <v>155</v>
      </c>
      <c r="J2" s="63" t="s">
        <v>156</v>
      </c>
      <c r="K2" s="29" t="s">
        <v>157</v>
      </c>
      <c r="L2" s="29" t="s">
        <v>158</v>
      </c>
      <c r="M2" s="64" t="s">
        <v>159</v>
      </c>
      <c r="N2" s="65"/>
      <c r="O2" s="65"/>
      <c r="P2" s="66"/>
      <c r="Q2" s="30" t="s">
        <v>160</v>
      </c>
      <c r="R2" s="29" t="s">
        <v>161</v>
      </c>
      <c r="S2" s="30" t="s">
        <v>162</v>
      </c>
      <c r="T2" s="84" t="s">
        <v>163</v>
      </c>
      <c r="U2" s="30" t="s">
        <v>164</v>
      </c>
      <c r="V2" s="85" t="s">
        <v>165</v>
      </c>
      <c r="W2" s="86"/>
      <c r="X2" s="86"/>
      <c r="Y2" s="86"/>
      <c r="Z2" s="86"/>
      <c r="AA2" s="94"/>
      <c r="AB2" s="30" t="s">
        <v>166</v>
      </c>
      <c r="AC2" s="30" t="s">
        <v>167</v>
      </c>
      <c r="AD2" s="84" t="s">
        <v>168</v>
      </c>
      <c r="AE2" s="84" t="s">
        <v>169</v>
      </c>
      <c r="AF2" s="84" t="s">
        <v>170</v>
      </c>
      <c r="AG2" s="84" t="s">
        <v>171</v>
      </c>
      <c r="AH2" s="103" t="s">
        <v>172</v>
      </c>
      <c r="AI2" s="104" t="s">
        <v>173</v>
      </c>
      <c r="AJ2" s="103" t="s">
        <v>144</v>
      </c>
      <c r="AK2" s="28" t="s">
        <v>22</v>
      </c>
      <c r="AL2" s="103" t="s">
        <v>174</v>
      </c>
      <c r="AM2" s="29" t="s">
        <v>216</v>
      </c>
      <c r="AN2" s="29" t="s">
        <v>217</v>
      </c>
      <c r="AO2" s="114" t="s">
        <v>218</v>
      </c>
      <c r="AP2" s="29" t="s">
        <v>219</v>
      </c>
      <c r="AQ2" s="29" t="s">
        <v>220</v>
      </c>
      <c r="AR2" s="30" t="s">
        <v>221</v>
      </c>
      <c r="AS2" s="30" t="s">
        <v>222</v>
      </c>
      <c r="AT2" s="30" t="s">
        <v>223</v>
      </c>
    </row>
    <row r="3" s="11" customFormat="1" ht="27" customHeight="1" spans="1:46">
      <c r="A3" s="31"/>
      <c r="B3" s="32"/>
      <c r="C3" s="33"/>
      <c r="D3" s="33"/>
      <c r="E3" s="34"/>
      <c r="F3" s="35"/>
      <c r="G3" s="34"/>
      <c r="H3" s="34"/>
      <c r="I3" s="34"/>
      <c r="J3" s="67"/>
      <c r="K3" s="34"/>
      <c r="L3" s="34"/>
      <c r="M3" s="68" t="s">
        <v>175</v>
      </c>
      <c r="N3" s="68" t="s">
        <v>176</v>
      </c>
      <c r="O3" s="68" t="s">
        <v>177</v>
      </c>
      <c r="P3" s="68" t="s">
        <v>37</v>
      </c>
      <c r="Q3" s="35"/>
      <c r="R3" s="34"/>
      <c r="S3" s="35"/>
      <c r="T3" s="87"/>
      <c r="U3" s="35"/>
      <c r="V3" s="88" t="s">
        <v>178</v>
      </c>
      <c r="W3" s="88" t="s">
        <v>179</v>
      </c>
      <c r="X3" s="88" t="s">
        <v>180</v>
      </c>
      <c r="Y3" s="88" t="s">
        <v>181</v>
      </c>
      <c r="Z3" s="88" t="s">
        <v>182</v>
      </c>
      <c r="AA3" s="88" t="s">
        <v>183</v>
      </c>
      <c r="AB3" s="35"/>
      <c r="AC3" s="35"/>
      <c r="AD3" s="87"/>
      <c r="AE3" s="87"/>
      <c r="AF3" s="87"/>
      <c r="AG3" s="87"/>
      <c r="AH3" s="105"/>
      <c r="AI3" s="106"/>
      <c r="AJ3" s="105"/>
      <c r="AK3" s="33"/>
      <c r="AL3" s="105"/>
      <c r="AM3" s="34"/>
      <c r="AN3" s="34"/>
      <c r="AO3" s="115"/>
      <c r="AP3" s="34"/>
      <c r="AQ3" s="34"/>
      <c r="AR3" s="35"/>
      <c r="AS3" s="35"/>
      <c r="AT3" s="35"/>
    </row>
    <row r="4" s="12" customFormat="1" ht="18" customHeight="1" spans="1:46">
      <c r="A4" s="36">
        <v>1</v>
      </c>
      <c r="B4" s="37" t="s">
        <v>184</v>
      </c>
      <c r="C4" s="37" t="s">
        <v>61</v>
      </c>
      <c r="D4" s="37" t="s">
        <v>120</v>
      </c>
      <c r="E4" s="37" t="s">
        <v>62</v>
      </c>
      <c r="F4" s="38" t="s">
        <v>185</v>
      </c>
      <c r="G4" s="39">
        <v>13944441728</v>
      </c>
      <c r="H4" s="40"/>
      <c r="I4" s="40"/>
      <c r="J4" s="69"/>
      <c r="K4" s="40"/>
      <c r="L4" s="70">
        <v>8000</v>
      </c>
      <c r="M4" s="71">
        <v>344.57</v>
      </c>
      <c r="N4" s="71">
        <v>86.14</v>
      </c>
      <c r="O4" s="71">
        <f>VLOOKUP(C4,[3]Sheet1!$B$2:$F$14,5,0)</f>
        <v>12.92</v>
      </c>
      <c r="P4" s="71">
        <v>177.4</v>
      </c>
      <c r="Q4" s="89">
        <f t="shared" ref="Q4:Q19" si="0">ROUND(SUM(M4:P4),2)</f>
        <v>621.03</v>
      </c>
      <c r="R4" s="70">
        <v>0</v>
      </c>
      <c r="S4" s="90">
        <f>L4+IFERROR(VLOOKUP($E:$E,'（居民）工资表-11月'!$E:$S,15,0),0)</f>
        <v>88000</v>
      </c>
      <c r="T4" s="91">
        <f>5000+IFERROR(VLOOKUP($E:$E,'（居民）工资表-11月'!$E:$T,16,0),0)</f>
        <v>55000</v>
      </c>
      <c r="U4" s="91">
        <f>Q4+IFERROR(VLOOKUP($E:$E,'（居民）工资表-11月'!$E:$U,17,0),0)</f>
        <v>6689.14</v>
      </c>
      <c r="V4" s="70">
        <v>12000</v>
      </c>
      <c r="W4" s="70"/>
      <c r="X4" s="70">
        <v>12000</v>
      </c>
      <c r="Y4" s="70"/>
      <c r="Z4" s="70">
        <v>4800</v>
      </c>
      <c r="AA4" s="70"/>
      <c r="AB4" s="90">
        <f t="shared" ref="AB4:AB19" si="1">ROUND(SUM(V4:AA4),2)</f>
        <v>28800</v>
      </c>
      <c r="AC4" s="90">
        <f>R4+IFERROR(VLOOKUP($E:$E,'（居民）工资表-11月'!$E:$AC,25,0),0)</f>
        <v>0</v>
      </c>
      <c r="AD4" s="95">
        <f t="shared" ref="AD4:AD19" si="2">ROUND(S4-T4-U4-AB4-AC4,2)</f>
        <v>-2489.14</v>
      </c>
      <c r="AE4" s="96">
        <f>ROUND(MAX((AD4)*{0.03;0.1;0.2;0.25;0.3;0.35;0.45}-{0;2520;16920;31920;52920;85920;181920},0),2)</f>
        <v>0</v>
      </c>
      <c r="AF4" s="97">
        <f>IFERROR(VLOOKUP(E:E,'（居民）工资表-11月'!E:AF,28,0)+VLOOKUP(E:E,'（居民）工资表-11月'!E:AG,29,0),0)</f>
        <v>717.96</v>
      </c>
      <c r="AG4" s="97">
        <f t="shared" ref="AG4:AG19" si="3">IF((AE4-AF4)&lt;0,0,AE4-AF4)</f>
        <v>0</v>
      </c>
      <c r="AH4" s="107">
        <f t="shared" ref="AH4:AH19" si="4">ROUND(IF((L4-Q4-AG4)&lt;0,0,(L4-Q4-AG4)),2)</f>
        <v>7378.97</v>
      </c>
      <c r="AI4" s="108"/>
      <c r="AJ4" s="107">
        <f t="shared" ref="AJ4:AJ19" si="5">AH4+AI4</f>
        <v>7378.97</v>
      </c>
      <c r="AK4" s="109"/>
      <c r="AL4" s="107">
        <f t="shared" ref="AL4:AL19" si="6">AJ4+AG4+AK4</f>
        <v>7378.97</v>
      </c>
      <c r="AM4" s="109"/>
      <c r="AN4" s="109"/>
      <c r="AO4" s="109"/>
      <c r="AP4" s="109"/>
      <c r="AQ4" s="109"/>
      <c r="AR4" s="116" t="str">
        <f t="shared" ref="AR4:AR19" si="7">IF(LEN(E4)=18,IF(RIGHT(E4,1)="X",IF(CHOOSE(MOD(SUM(LEFT(RIGHT(E4,18))*7+LEFT(RIGHT(E4,17))*9+LEFT(RIGHT(E4,16))*10+LEFT(RIGHT(E4,15))*5+LEFT(RIGHT(E4,14))*8+LEFT(RIGHT(E4,13))*4+LEFT(RIGHT(E4,12))*2+LEFT(RIGHT(E4,11))*1+LEFT(RIGHT(E4,10))*6+LEFT(RIGHT(E4,9))*3+LEFT(RIGHT(E4,8))*7+LEFT(RIGHT(E4,7))*9+LEFT(RIGHT(E4,6))*10+LEFT(RIGHT(E4,5))*5+LEFT(RIGHT(E4,4))*8+LEFT(RIGHT(E4,3))*4+LEFT(RIGHT(E4,2))*2),11)+1,1,0,"X",9,8,7,6,5,4,3,2)=LEFT(RIGHT(E4,1)),"正确","错误"),IF(CHOOSE(MOD(SUM(LEFT(RIGHT(E4,18))*7+LEFT(RIGHT(E4,17))*9+LEFT(RIGHT(E4,16))*10+LEFT(RIGHT(E4,15))*5+LEFT(RIGHT(E4,14))*8+LEFT(RIGHT(E4,13))*4+LEFT(RIGHT(E4,12))*2+LEFT(RIGHT(E4,11))*1+LEFT(RIGHT(E4,10))*6+LEFT(RIGHT(E4,9))*3+LEFT(RIGHT(E4,8))*7+LEFT(RIGHT(E4,7))*9+LEFT(RIGHT(E4,6))*10+LEFT(RIGHT(E4,5))*5+LEFT(RIGHT(E4,4))*8+LEFT(RIGHT(E4,3))*4+LEFT(RIGHT(E4,2))*2),11)+1,1,0,"X",9,8,7,6,5,4,3,2)=LEFT(RIGHT(E4,1))*1,"正确","错误")),IF(LEN(E4)=15,"老号，请注意！",IF(LEN(E4)=0,"未填写身份证号码","位数不对！")))</f>
        <v>正确</v>
      </c>
      <c r="AS4" s="116" t="str">
        <f>IF(SUMPRODUCT(N(E$1:E$17=E4))&gt;1,"重复","不")</f>
        <v>不</v>
      </c>
      <c r="AT4" s="116" t="str">
        <f>IF(SUMPRODUCT(N(AO$1:AO$17=AO4))&gt;1,"重复","不")</f>
        <v>重复</v>
      </c>
    </row>
    <row r="5" s="12" customFormat="1" ht="18" customHeight="1" spans="1:46">
      <c r="A5" s="36">
        <v>2</v>
      </c>
      <c r="B5" s="37" t="s">
        <v>184</v>
      </c>
      <c r="C5" s="37" t="s">
        <v>121</v>
      </c>
      <c r="D5" s="37" t="s">
        <v>120</v>
      </c>
      <c r="E5" s="352" t="s">
        <v>122</v>
      </c>
      <c r="F5" s="38" t="s">
        <v>187</v>
      </c>
      <c r="G5" s="39">
        <v>15360550807</v>
      </c>
      <c r="H5" s="40"/>
      <c r="I5" s="40"/>
      <c r="J5" s="69"/>
      <c r="K5" s="40"/>
      <c r="L5" s="70">
        <v>6100</v>
      </c>
      <c r="M5" s="71">
        <v>422.72</v>
      </c>
      <c r="N5" s="71">
        <v>119.92</v>
      </c>
      <c r="O5" s="71">
        <f>VLOOKUP(C5,[3]Sheet1!$B$2:$F$14,5,0)</f>
        <v>4.6</v>
      </c>
      <c r="P5" s="71">
        <v>115</v>
      </c>
      <c r="Q5" s="89">
        <f t="shared" si="0"/>
        <v>662.24</v>
      </c>
      <c r="R5" s="70">
        <v>0</v>
      </c>
      <c r="S5" s="90">
        <f>L5+IFERROR(VLOOKUP($E:$E,'（居民）工资表-11月'!$E:$S,15,0),0)</f>
        <v>65960</v>
      </c>
      <c r="T5" s="91">
        <f>5000+IFERROR(VLOOKUP($E:$E,'（居民）工资表-11月'!$E:$T,16,0),0)</f>
        <v>55000</v>
      </c>
      <c r="U5" s="91">
        <f>Q5+IFERROR(VLOOKUP($E:$E,'（居民）工资表-11月'!$E:$U,17,0),0)</f>
        <v>7436.08</v>
      </c>
      <c r="V5" s="70"/>
      <c r="W5" s="70"/>
      <c r="X5" s="70"/>
      <c r="Y5" s="70"/>
      <c r="Z5" s="70"/>
      <c r="AA5" s="70"/>
      <c r="AB5" s="90">
        <f t="shared" si="1"/>
        <v>0</v>
      </c>
      <c r="AC5" s="90">
        <f>R5+IFERROR(VLOOKUP($E:$E,'（居民）工资表-11月'!$E:$AC,25,0),0)</f>
        <v>0</v>
      </c>
      <c r="AD5" s="95">
        <f t="shared" si="2"/>
        <v>3523.92</v>
      </c>
      <c r="AE5" s="96">
        <f>ROUND(MAX((AD5)*{0.03;0.1;0.2;0.25;0.3;0.35;0.45}-{0;2520;16920;31920;52920;85920;181920},0),2)</f>
        <v>105.72</v>
      </c>
      <c r="AF5" s="97">
        <f>IFERROR(VLOOKUP(E:E,'（居民）工资表-11月'!E:AF,28,0)+VLOOKUP(E:E,'（居民）工资表-11月'!E:AG,29,0),0)</f>
        <v>92.58</v>
      </c>
      <c r="AG5" s="97">
        <f t="shared" si="3"/>
        <v>13.14</v>
      </c>
      <c r="AH5" s="107">
        <f t="shared" si="4"/>
        <v>5424.62</v>
      </c>
      <c r="AI5" s="108"/>
      <c r="AJ5" s="107">
        <f t="shared" si="5"/>
        <v>5424.62</v>
      </c>
      <c r="AK5" s="109"/>
      <c r="AL5" s="107">
        <f t="shared" si="6"/>
        <v>5437.76</v>
      </c>
      <c r="AM5" s="109"/>
      <c r="AN5" s="109"/>
      <c r="AO5" s="109"/>
      <c r="AP5" s="109"/>
      <c r="AQ5" s="109"/>
      <c r="AR5" s="116" t="str">
        <f t="shared" si="7"/>
        <v>正确</v>
      </c>
      <c r="AS5" s="116" t="str">
        <f>IF(SUMPRODUCT(N(E$1:E$17=E5))&gt;1,"重复","不")</f>
        <v>不</v>
      </c>
      <c r="AT5" s="116" t="str">
        <f>IF(SUMPRODUCT(N(AO$1:AO$17=AO5))&gt;1,"重复","不")</f>
        <v>重复</v>
      </c>
    </row>
    <row r="6" s="12" customFormat="1" ht="18" customHeight="1" spans="1:46">
      <c r="A6" s="36">
        <v>3</v>
      </c>
      <c r="B6" s="37" t="s">
        <v>184</v>
      </c>
      <c r="C6" s="37" t="s">
        <v>123</v>
      </c>
      <c r="D6" s="37" t="s">
        <v>120</v>
      </c>
      <c r="E6" s="352" t="s">
        <v>124</v>
      </c>
      <c r="F6" s="38" t="s">
        <v>185</v>
      </c>
      <c r="G6" s="39" t="s">
        <v>125</v>
      </c>
      <c r="H6" s="40"/>
      <c r="I6" s="40"/>
      <c r="J6" s="69"/>
      <c r="K6" s="40"/>
      <c r="L6" s="70">
        <v>30060</v>
      </c>
      <c r="M6" s="71">
        <v>590.72</v>
      </c>
      <c r="N6" s="71">
        <v>147.68</v>
      </c>
      <c r="O6" s="71">
        <f>VLOOKUP(C6,[3]Sheet1!$B$2:$F$14,5,0)</f>
        <v>36.92</v>
      </c>
      <c r="P6" s="71">
        <v>188</v>
      </c>
      <c r="Q6" s="89">
        <f t="shared" si="0"/>
        <v>963.32</v>
      </c>
      <c r="R6" s="70">
        <v>0</v>
      </c>
      <c r="S6" s="90">
        <f>L6+IFERROR(VLOOKUP($E:$E,'（居民）工资表-11月'!$E:$S,15,0),0)</f>
        <v>330660</v>
      </c>
      <c r="T6" s="91">
        <f>5000+IFERROR(VLOOKUP($E:$E,'（居民）工资表-11月'!$E:$T,16,0),0)</f>
        <v>55000</v>
      </c>
      <c r="U6" s="91">
        <f>Q6+IFERROR(VLOOKUP($E:$E,'（居民）工资表-11月'!$E:$U,17,0),0)</f>
        <v>10537.44</v>
      </c>
      <c r="V6" s="70"/>
      <c r="W6" s="70"/>
      <c r="X6" s="70"/>
      <c r="Y6" s="70"/>
      <c r="Z6" s="70"/>
      <c r="AA6" s="70"/>
      <c r="AB6" s="90">
        <f t="shared" si="1"/>
        <v>0</v>
      </c>
      <c r="AC6" s="90">
        <f>R6+IFERROR(VLOOKUP($E:$E,'（居民）工资表-11月'!$E:$AC,25,0),0)</f>
        <v>0</v>
      </c>
      <c r="AD6" s="95">
        <f t="shared" si="2"/>
        <v>265122.56</v>
      </c>
      <c r="AE6" s="96">
        <f>ROUND(MAX((AD6)*{0.03;0.1;0.2;0.25;0.3;0.35;0.45}-{0;2520;16920;31920;52920;85920;181920},0),2)</f>
        <v>36104.51</v>
      </c>
      <c r="AF6" s="97">
        <f>IFERROR(VLOOKUP(E:E,'（居民）工资表-11月'!E:AF,28,0)+VLOOKUP(E:E,'（居民）工资表-11月'!E:AG,29,0),0)</f>
        <v>31285.18</v>
      </c>
      <c r="AG6" s="97">
        <f t="shared" si="3"/>
        <v>4819.33</v>
      </c>
      <c r="AH6" s="107">
        <f t="shared" si="4"/>
        <v>24277.35</v>
      </c>
      <c r="AI6" s="108"/>
      <c r="AJ6" s="107">
        <f t="shared" si="5"/>
        <v>24277.35</v>
      </c>
      <c r="AK6" s="109"/>
      <c r="AL6" s="107">
        <f t="shared" si="6"/>
        <v>29096.68</v>
      </c>
      <c r="AM6" s="109"/>
      <c r="AN6" s="109"/>
      <c r="AO6" s="109"/>
      <c r="AP6" s="109"/>
      <c r="AQ6" s="109"/>
      <c r="AR6" s="116" t="str">
        <f t="shared" si="7"/>
        <v>正确</v>
      </c>
      <c r="AS6" s="116" t="str">
        <f>IF(SUMPRODUCT(N(E$1:E$17=E6))&gt;1,"重复","不")</f>
        <v>不</v>
      </c>
      <c r="AT6" s="116" t="str">
        <f>IF(SUMPRODUCT(N(AO$1:AO$17=AO6))&gt;1,"重复","不")</f>
        <v>重复</v>
      </c>
    </row>
    <row r="7" s="12" customFormat="1" ht="18" customHeight="1" spans="1:46">
      <c r="A7" s="36">
        <v>4</v>
      </c>
      <c r="B7" s="37" t="s">
        <v>184</v>
      </c>
      <c r="C7" s="37" t="s">
        <v>126</v>
      </c>
      <c r="D7" s="37" t="s">
        <v>120</v>
      </c>
      <c r="E7" s="352" t="s">
        <v>127</v>
      </c>
      <c r="F7" s="38" t="s">
        <v>185</v>
      </c>
      <c r="G7" s="39" t="s">
        <v>128</v>
      </c>
      <c r="H7" s="40"/>
      <c r="I7" s="40"/>
      <c r="J7" s="69"/>
      <c r="K7" s="40"/>
      <c r="L7" s="70">
        <v>9000</v>
      </c>
      <c r="M7" s="71">
        <v>338.16</v>
      </c>
      <c r="N7" s="71">
        <v>93.7</v>
      </c>
      <c r="O7" s="71">
        <f>VLOOKUP(C7,[3]Sheet1!$B$2:$F$14,5,0)</f>
        <v>21.14</v>
      </c>
      <c r="P7" s="71">
        <v>97</v>
      </c>
      <c r="Q7" s="89">
        <f t="shared" si="0"/>
        <v>550</v>
      </c>
      <c r="R7" s="70">
        <v>0</v>
      </c>
      <c r="S7" s="90">
        <f>L7+IFERROR(VLOOKUP($E:$E,'（居民）工资表-11月'!$E:$S,15,0),0)</f>
        <v>100000</v>
      </c>
      <c r="T7" s="91">
        <f>5000+IFERROR(VLOOKUP($E:$E,'（居民）工资表-11月'!$E:$T,16,0),0)</f>
        <v>55000</v>
      </c>
      <c r="U7" s="91">
        <f>Q7+IFERROR(VLOOKUP($E:$E,'（居民）工资表-11月'!$E:$U,17,0),0)</f>
        <v>6116.87</v>
      </c>
      <c r="V7" s="70"/>
      <c r="W7" s="70"/>
      <c r="X7" s="70"/>
      <c r="Y7" s="70"/>
      <c r="Z7" s="70"/>
      <c r="AA7" s="70"/>
      <c r="AB7" s="90">
        <f t="shared" si="1"/>
        <v>0</v>
      </c>
      <c r="AC7" s="90">
        <f>R7+IFERROR(VLOOKUP($E:$E,'（居民）工资表-11月'!$E:$AC,25,0),0)</f>
        <v>0</v>
      </c>
      <c r="AD7" s="95">
        <f t="shared" si="2"/>
        <v>38883.13</v>
      </c>
      <c r="AE7" s="96">
        <f>ROUND(MAX((AD7)*{0.03;0.1;0.2;0.25;0.3;0.35;0.45}-{0;2520;16920;31920;52920;85920;181920},0),2)</f>
        <v>1368.31</v>
      </c>
      <c r="AF7" s="97">
        <f>IFERROR(VLOOKUP(E:E,'（居民）工资表-11月'!E:AF,28,0)+VLOOKUP(E:E,'（居民）工资表-11月'!E:AG,29,0),0)</f>
        <v>1062.99</v>
      </c>
      <c r="AG7" s="97">
        <f t="shared" si="3"/>
        <v>305.32</v>
      </c>
      <c r="AH7" s="107">
        <f t="shared" si="4"/>
        <v>8144.68</v>
      </c>
      <c r="AI7" s="108"/>
      <c r="AJ7" s="107">
        <f t="shared" si="5"/>
        <v>8144.68</v>
      </c>
      <c r="AK7" s="109"/>
      <c r="AL7" s="107">
        <f t="shared" si="6"/>
        <v>8450</v>
      </c>
      <c r="AM7" s="109"/>
      <c r="AN7" s="109"/>
      <c r="AO7" s="109"/>
      <c r="AP7" s="109"/>
      <c r="AQ7" s="109"/>
      <c r="AR7" s="116" t="str">
        <f t="shared" si="7"/>
        <v>正确</v>
      </c>
      <c r="AS7" s="116" t="str">
        <f>IF(SUMPRODUCT(N(E$1:E$17=E7))&gt;1,"重复","不")</f>
        <v>不</v>
      </c>
      <c r="AT7" s="116" t="str">
        <f>IF(SUMPRODUCT(N(AO$1:AO$17=AO7))&gt;1,"重复","不")</f>
        <v>重复</v>
      </c>
    </row>
    <row r="8" s="12" customFormat="1" ht="18" customHeight="1" spans="1:46">
      <c r="A8" s="36">
        <v>5</v>
      </c>
      <c r="B8" s="37" t="s">
        <v>184</v>
      </c>
      <c r="C8" s="37" t="s">
        <v>129</v>
      </c>
      <c r="D8" s="37" t="s">
        <v>120</v>
      </c>
      <c r="E8" s="352" t="s">
        <v>130</v>
      </c>
      <c r="F8" s="38" t="s">
        <v>185</v>
      </c>
      <c r="G8" s="39">
        <v>19356875630</v>
      </c>
      <c r="H8" s="40"/>
      <c r="I8" s="40"/>
      <c r="J8" s="69"/>
      <c r="K8" s="40"/>
      <c r="L8" s="70">
        <v>10500</v>
      </c>
      <c r="M8" s="71">
        <v>338.16</v>
      </c>
      <c r="N8" s="71">
        <v>90.54</v>
      </c>
      <c r="O8" s="71">
        <f>VLOOKUP(C8,[3]Sheet1!$B$2:$F$14,5,0)</f>
        <v>21.14</v>
      </c>
      <c r="P8" s="71">
        <v>344</v>
      </c>
      <c r="Q8" s="89">
        <f t="shared" si="0"/>
        <v>793.84</v>
      </c>
      <c r="R8" s="70">
        <v>0</v>
      </c>
      <c r="S8" s="90">
        <f>L8+IFERROR(VLOOKUP($E:$E,'（居民）工资表-11月'!$E:$S,15,0),0)</f>
        <v>118500</v>
      </c>
      <c r="T8" s="91">
        <f>5000+IFERROR(VLOOKUP($E:$E,'（居民）工资表-11月'!$E:$T,16,0),0)</f>
        <v>55000</v>
      </c>
      <c r="U8" s="91">
        <f>Q8+IFERROR(VLOOKUP($E:$E,'（居民）工资表-11月'!$E:$U,17,0),0)</f>
        <v>8797.76</v>
      </c>
      <c r="V8" s="70"/>
      <c r="W8" s="70"/>
      <c r="X8" s="70"/>
      <c r="Y8" s="70"/>
      <c r="Z8" s="70"/>
      <c r="AA8" s="70"/>
      <c r="AB8" s="90">
        <f t="shared" si="1"/>
        <v>0</v>
      </c>
      <c r="AC8" s="90">
        <f>R8+IFERROR(VLOOKUP($E:$E,'（居民）工资表-11月'!$E:$AC,25,0),0)</f>
        <v>0</v>
      </c>
      <c r="AD8" s="95">
        <f t="shared" si="2"/>
        <v>54702.24</v>
      </c>
      <c r="AE8" s="96">
        <f>ROUND(MAX((AD8)*{0.03;0.1;0.2;0.25;0.3;0.35;0.45}-{0;2520;16920;31920;52920;85920;181920},0),2)</f>
        <v>2950.22</v>
      </c>
      <c r="AF8" s="97">
        <f>IFERROR(VLOOKUP(E:E,'（居民）工资表-11月'!E:AF,28,0)+VLOOKUP(E:E,'（居民）工资表-11月'!E:AG,29,0),0)</f>
        <v>2479.61</v>
      </c>
      <c r="AG8" s="97">
        <f t="shared" si="3"/>
        <v>470.61</v>
      </c>
      <c r="AH8" s="107">
        <f t="shared" si="4"/>
        <v>9235.55</v>
      </c>
      <c r="AI8" s="108"/>
      <c r="AJ8" s="107">
        <f t="shared" si="5"/>
        <v>9235.55</v>
      </c>
      <c r="AK8" s="109"/>
      <c r="AL8" s="107">
        <f t="shared" si="6"/>
        <v>9706.16</v>
      </c>
      <c r="AM8" s="109"/>
      <c r="AN8" s="109"/>
      <c r="AO8" s="109"/>
      <c r="AP8" s="109"/>
      <c r="AQ8" s="109"/>
      <c r="AR8" s="116" t="str">
        <f t="shared" si="7"/>
        <v>正确</v>
      </c>
      <c r="AS8" s="116" t="str">
        <f>IF(SUMPRODUCT(N(E$1:E$17=E8))&gt;1,"重复","不")</f>
        <v>不</v>
      </c>
      <c r="AT8" s="116" t="str">
        <f>IF(SUMPRODUCT(N(AO$1:AO$17=AO8))&gt;1,"重复","不")</f>
        <v>重复</v>
      </c>
    </row>
    <row r="9" s="12" customFormat="1" ht="18" customHeight="1" spans="1:46">
      <c r="A9" s="36">
        <v>6</v>
      </c>
      <c r="B9" s="37" t="s">
        <v>184</v>
      </c>
      <c r="C9" s="37" t="s">
        <v>131</v>
      </c>
      <c r="D9" s="37" t="s">
        <v>120</v>
      </c>
      <c r="E9" s="352" t="s">
        <v>132</v>
      </c>
      <c r="F9" s="38" t="s">
        <v>185</v>
      </c>
      <c r="G9" s="39">
        <v>13973652684</v>
      </c>
      <c r="H9" s="40"/>
      <c r="I9" s="40"/>
      <c r="J9" s="69"/>
      <c r="K9" s="40"/>
      <c r="L9" s="70">
        <v>6500</v>
      </c>
      <c r="M9" s="71">
        <v>322.16</v>
      </c>
      <c r="N9" s="71">
        <v>95.54</v>
      </c>
      <c r="O9" s="71">
        <f>VLOOKUP(C9,[3]Sheet1!$B$2:$F$14,5,0)</f>
        <v>12.08</v>
      </c>
      <c r="P9" s="71">
        <v>100</v>
      </c>
      <c r="Q9" s="89">
        <f t="shared" si="0"/>
        <v>529.78</v>
      </c>
      <c r="R9" s="70">
        <v>0</v>
      </c>
      <c r="S9" s="90">
        <f>L9+IFERROR(VLOOKUP($E:$E,'（居民）工资表-11月'!$E:$S,15,0),0)</f>
        <v>71500</v>
      </c>
      <c r="T9" s="91">
        <f>5000+IFERROR(VLOOKUP($E:$E,'（居民）工资表-11月'!$E:$T,16,0),0)</f>
        <v>55000</v>
      </c>
      <c r="U9" s="91">
        <f>Q9+IFERROR(VLOOKUP($E:$E,'（居民）工资表-11月'!$E:$U,17,0),0)</f>
        <v>5795.42</v>
      </c>
      <c r="V9" s="70"/>
      <c r="W9" s="70"/>
      <c r="X9" s="70"/>
      <c r="Y9" s="70"/>
      <c r="Z9" s="70"/>
      <c r="AA9" s="70"/>
      <c r="AB9" s="90">
        <f t="shared" si="1"/>
        <v>0</v>
      </c>
      <c r="AC9" s="90">
        <f>R9+IFERROR(VLOOKUP($E:$E,'（居民）工资表-11月'!$E:$AC,25,0),0)</f>
        <v>0</v>
      </c>
      <c r="AD9" s="95">
        <f t="shared" si="2"/>
        <v>10704.58</v>
      </c>
      <c r="AE9" s="96">
        <f>ROUND(MAX((AD9)*{0.03;0.1;0.2;0.25;0.3;0.35;0.45}-{0;2520;16920;31920;52920;85920;181920},0),2)</f>
        <v>321.14</v>
      </c>
      <c r="AF9" s="97">
        <f>IFERROR(VLOOKUP(E:E,'（居民）工资表-11月'!E:AF,28,0)+VLOOKUP(E:E,'（居民）工资表-11月'!E:AG,29,0),0)</f>
        <v>292.03</v>
      </c>
      <c r="AG9" s="97">
        <f t="shared" si="3"/>
        <v>29.11</v>
      </c>
      <c r="AH9" s="107">
        <f t="shared" si="4"/>
        <v>5941.11</v>
      </c>
      <c r="AI9" s="108"/>
      <c r="AJ9" s="107">
        <f t="shared" si="5"/>
        <v>5941.11</v>
      </c>
      <c r="AK9" s="109"/>
      <c r="AL9" s="107">
        <f t="shared" si="6"/>
        <v>5970.22</v>
      </c>
      <c r="AM9" s="109"/>
      <c r="AN9" s="109"/>
      <c r="AO9" s="109"/>
      <c r="AP9" s="109"/>
      <c r="AQ9" s="109"/>
      <c r="AR9" s="116" t="str">
        <f t="shared" si="7"/>
        <v>正确</v>
      </c>
      <c r="AS9" s="116" t="str">
        <f>IF(SUMPRODUCT(N(E$1:E$17=E9))&gt;1,"重复","不")</f>
        <v>不</v>
      </c>
      <c r="AT9" s="116" t="str">
        <f>IF(SUMPRODUCT(N(AO$1:AO$17=AO9))&gt;1,"重复","不")</f>
        <v>重复</v>
      </c>
    </row>
    <row r="10" s="12" customFormat="1" ht="18" customHeight="1" spans="1:46">
      <c r="A10" s="36">
        <v>7</v>
      </c>
      <c r="B10" s="37" t="s">
        <v>184</v>
      </c>
      <c r="C10" s="37" t="s">
        <v>192</v>
      </c>
      <c r="D10" s="37" t="s">
        <v>120</v>
      </c>
      <c r="E10" s="352" t="s">
        <v>193</v>
      </c>
      <c r="F10" s="38" t="s">
        <v>187</v>
      </c>
      <c r="G10" s="39" t="s">
        <v>194</v>
      </c>
      <c r="H10" s="40"/>
      <c r="I10" s="40"/>
      <c r="J10" s="69"/>
      <c r="K10" s="40"/>
      <c r="L10" s="70">
        <v>4447.97</v>
      </c>
      <c r="M10" s="71">
        <v>401.04</v>
      </c>
      <c r="N10" s="71">
        <v>122.26</v>
      </c>
      <c r="O10" s="71">
        <f>VLOOKUP(C10,[3]Sheet1!$B$2:$F$14,5,0)</f>
        <v>25.07</v>
      </c>
      <c r="P10" s="71">
        <v>116</v>
      </c>
      <c r="Q10" s="89">
        <f t="shared" si="0"/>
        <v>664.37</v>
      </c>
      <c r="R10" s="70">
        <v>0</v>
      </c>
      <c r="S10" s="90">
        <f>L10+IFERROR(VLOOKUP($E:$E,'（居民）工资表-11月'!$E:$S,15,0),0)</f>
        <v>49284.95</v>
      </c>
      <c r="T10" s="91">
        <f>5000+IFERROR(VLOOKUP($E:$E,'（居民）工资表-11月'!$E:$T,16,0),0)</f>
        <v>55000</v>
      </c>
      <c r="U10" s="91">
        <f>Q10+IFERROR(VLOOKUP($E:$E,'（居民）工资表-11月'!$E:$U,17,0),0)</f>
        <v>7142.52</v>
      </c>
      <c r="V10" s="70"/>
      <c r="W10" s="70"/>
      <c r="X10" s="70"/>
      <c r="Y10" s="70"/>
      <c r="Z10" s="70"/>
      <c r="AA10" s="70"/>
      <c r="AB10" s="90">
        <f t="shared" si="1"/>
        <v>0</v>
      </c>
      <c r="AC10" s="90">
        <f>R10+IFERROR(VLOOKUP($E:$E,'（居民）工资表-11月'!$E:$AC,25,0),0)</f>
        <v>0</v>
      </c>
      <c r="AD10" s="95">
        <f t="shared" si="2"/>
        <v>-12857.57</v>
      </c>
      <c r="AE10" s="96">
        <f>ROUND(MAX((AD10)*{0.03;0.1;0.2;0.25;0.3;0.35;0.45}-{0;2520;16920;31920;52920;85920;181920},0),2)</f>
        <v>0</v>
      </c>
      <c r="AF10" s="97">
        <f>IFERROR(VLOOKUP(E:E,'（居民）工资表-11月'!E:AF,28,0)+VLOOKUP(E:E,'（居民）工资表-11月'!E:AG,29,0),0)</f>
        <v>0</v>
      </c>
      <c r="AG10" s="97">
        <f t="shared" si="3"/>
        <v>0</v>
      </c>
      <c r="AH10" s="107">
        <f t="shared" si="4"/>
        <v>3783.6</v>
      </c>
      <c r="AI10" s="108"/>
      <c r="AJ10" s="107">
        <f t="shared" si="5"/>
        <v>3783.6</v>
      </c>
      <c r="AK10" s="109"/>
      <c r="AL10" s="107">
        <f t="shared" si="6"/>
        <v>3783.6</v>
      </c>
      <c r="AM10" s="109"/>
      <c r="AN10" s="109"/>
      <c r="AO10" s="109"/>
      <c r="AP10" s="109"/>
      <c r="AQ10" s="109"/>
      <c r="AR10" s="116" t="str">
        <f t="shared" si="7"/>
        <v>正确</v>
      </c>
      <c r="AS10" s="116" t="str">
        <f>IF(SUMPRODUCT(N(E$1:E$17=E10))&gt;1,"重复","不")</f>
        <v>不</v>
      </c>
      <c r="AT10" s="116" t="str">
        <f>IF(SUMPRODUCT(N(AO$1:AO$17=AO10))&gt;1,"重复","不")</f>
        <v>重复</v>
      </c>
    </row>
    <row r="11" s="12" customFormat="1" ht="18" customHeight="1" spans="1:46">
      <c r="A11" s="36">
        <v>8</v>
      </c>
      <c r="B11" s="37" t="s">
        <v>184</v>
      </c>
      <c r="C11" s="37" t="s">
        <v>133</v>
      </c>
      <c r="D11" s="37" t="s">
        <v>120</v>
      </c>
      <c r="E11" s="352" t="s">
        <v>134</v>
      </c>
      <c r="F11" s="38" t="s">
        <v>185</v>
      </c>
      <c r="G11" s="39">
        <v>18356553626</v>
      </c>
      <c r="H11" s="40"/>
      <c r="I11" s="40"/>
      <c r="J11" s="69"/>
      <c r="K11" s="40"/>
      <c r="L11" s="70">
        <v>9000</v>
      </c>
      <c r="M11" s="71">
        <v>338.16</v>
      </c>
      <c r="N11" s="71">
        <v>124.54</v>
      </c>
      <c r="O11" s="71">
        <f>VLOOKUP(C11,[3]Sheet1!$B$2:$F$14,5,0)</f>
        <v>21.14</v>
      </c>
      <c r="P11" s="71">
        <v>97</v>
      </c>
      <c r="Q11" s="89">
        <f t="shared" si="0"/>
        <v>580.84</v>
      </c>
      <c r="R11" s="70">
        <v>0</v>
      </c>
      <c r="S11" s="90">
        <f>L11+IFERROR(VLOOKUP($E:$E,'（居民）工资表-11月'!$E:$S,15,0),0)</f>
        <v>97500</v>
      </c>
      <c r="T11" s="91">
        <f>5000+IFERROR(VLOOKUP($E:$E,'（居民）工资表-11月'!$E:$T,16,0),0)</f>
        <v>55000</v>
      </c>
      <c r="U11" s="91">
        <f>Q11+IFERROR(VLOOKUP($E:$E,'（居民）工资表-11月'!$E:$U,17,0),0)</f>
        <v>6454.76</v>
      </c>
      <c r="V11" s="70"/>
      <c r="W11" s="70"/>
      <c r="X11" s="70"/>
      <c r="Y11" s="70"/>
      <c r="Z11" s="70"/>
      <c r="AA11" s="70"/>
      <c r="AB11" s="90">
        <f t="shared" si="1"/>
        <v>0</v>
      </c>
      <c r="AC11" s="90">
        <f>R11+IFERROR(VLOOKUP($E:$E,'（居民）工资表-11月'!$E:$AC,25,0),0)</f>
        <v>0</v>
      </c>
      <c r="AD11" s="95">
        <f t="shared" si="2"/>
        <v>36045.24</v>
      </c>
      <c r="AE11" s="96">
        <f>ROUND(MAX((AD11)*{0.03;0.1;0.2;0.25;0.3;0.35;0.45}-{0;2520;16920;31920;52920;85920;181920},0),2)</f>
        <v>1084.52</v>
      </c>
      <c r="AF11" s="97">
        <f>IFERROR(VLOOKUP(E:E,'（居民）工资表-11月'!E:AF,28,0)+VLOOKUP(E:E,'（居民）工资表-11月'!E:AG,29,0),0)</f>
        <v>978.78</v>
      </c>
      <c r="AG11" s="97">
        <f t="shared" si="3"/>
        <v>105.74</v>
      </c>
      <c r="AH11" s="107">
        <f t="shared" si="4"/>
        <v>8313.42</v>
      </c>
      <c r="AI11" s="108"/>
      <c r="AJ11" s="107">
        <f t="shared" si="5"/>
        <v>8313.42</v>
      </c>
      <c r="AK11" s="109"/>
      <c r="AL11" s="107">
        <f t="shared" si="6"/>
        <v>8419.16</v>
      </c>
      <c r="AM11" s="109"/>
      <c r="AN11" s="109"/>
      <c r="AO11" s="109"/>
      <c r="AP11" s="109"/>
      <c r="AQ11" s="109"/>
      <c r="AR11" s="116" t="str">
        <f t="shared" si="7"/>
        <v>正确</v>
      </c>
      <c r="AS11" s="116" t="str">
        <f>IF(SUMPRODUCT(N(E$1:E$17=E11))&gt;1,"重复","不")</f>
        <v>不</v>
      </c>
      <c r="AT11" s="116" t="str">
        <f>IF(SUMPRODUCT(N(AO$1:AO$17=AO11))&gt;1,"重复","不")</f>
        <v>重复</v>
      </c>
    </row>
    <row r="12" s="12" customFormat="1" ht="18" customHeight="1" spans="1:46">
      <c r="A12" s="36">
        <v>9</v>
      </c>
      <c r="B12" s="37" t="s">
        <v>184</v>
      </c>
      <c r="C12" s="37" t="s">
        <v>135</v>
      </c>
      <c r="D12" s="37" t="s">
        <v>120</v>
      </c>
      <c r="E12" s="352" t="s">
        <v>136</v>
      </c>
      <c r="F12" s="38" t="s">
        <v>185</v>
      </c>
      <c r="G12" s="39">
        <v>18326897140</v>
      </c>
      <c r="H12" s="40"/>
      <c r="I12" s="40"/>
      <c r="J12" s="69"/>
      <c r="K12" s="40"/>
      <c r="L12" s="70">
        <v>7500</v>
      </c>
      <c r="M12" s="71">
        <v>338.16</v>
      </c>
      <c r="N12" s="71">
        <v>90.54</v>
      </c>
      <c r="O12" s="71">
        <f>VLOOKUP(C12,[3]Sheet1!$B$2:$F$14,5,0)</f>
        <v>21.14</v>
      </c>
      <c r="P12" s="71">
        <v>344</v>
      </c>
      <c r="Q12" s="89">
        <f t="shared" si="0"/>
        <v>793.84</v>
      </c>
      <c r="R12" s="70">
        <v>0</v>
      </c>
      <c r="S12" s="90">
        <f>L12+IFERROR(VLOOKUP($E:$E,'（居民）工资表-11月'!$E:$S,15,0),0)</f>
        <v>81000</v>
      </c>
      <c r="T12" s="91">
        <f>5000+IFERROR(VLOOKUP($E:$E,'（居民）工资表-11月'!$E:$T,16,0),0)</f>
        <v>55000</v>
      </c>
      <c r="U12" s="91">
        <f>Q12+IFERROR(VLOOKUP($E:$E,'（居民）工资表-11月'!$E:$U,17,0),0)</f>
        <v>8797.76</v>
      </c>
      <c r="V12" s="70"/>
      <c r="W12" s="70"/>
      <c r="X12" s="70"/>
      <c r="Y12" s="70"/>
      <c r="Z12" s="70"/>
      <c r="AA12" s="70"/>
      <c r="AB12" s="90">
        <f t="shared" si="1"/>
        <v>0</v>
      </c>
      <c r="AC12" s="90">
        <f>R12+IFERROR(VLOOKUP($E:$E,'（居民）工资表-11月'!$E:$AC,25,0),0)</f>
        <v>0</v>
      </c>
      <c r="AD12" s="95">
        <f t="shared" si="2"/>
        <v>17202.24</v>
      </c>
      <c r="AE12" s="96">
        <f>ROUND(MAX((AD12)*{0.03;0.1;0.2;0.25;0.3;0.35;0.45}-{0;2520;16920;31920;52920;85920;181920},0),2)</f>
        <v>516.07</v>
      </c>
      <c r="AF12" s="97">
        <f>IFERROR(VLOOKUP(E:E,'（居民）工资表-11月'!E:AF,28,0)+VLOOKUP(E:E,'（居民）工资表-11月'!E:AG,29,0),0)</f>
        <v>464.88</v>
      </c>
      <c r="AG12" s="97">
        <f t="shared" si="3"/>
        <v>51.1900000000001</v>
      </c>
      <c r="AH12" s="107">
        <f t="shared" si="4"/>
        <v>6654.97</v>
      </c>
      <c r="AI12" s="108"/>
      <c r="AJ12" s="107">
        <f t="shared" si="5"/>
        <v>6654.97</v>
      </c>
      <c r="AK12" s="109"/>
      <c r="AL12" s="107">
        <f t="shared" si="6"/>
        <v>6706.16</v>
      </c>
      <c r="AM12" s="109"/>
      <c r="AN12" s="109"/>
      <c r="AO12" s="109"/>
      <c r="AP12" s="109"/>
      <c r="AQ12" s="109"/>
      <c r="AR12" s="116" t="str">
        <f t="shared" si="7"/>
        <v>正确</v>
      </c>
      <c r="AS12" s="116" t="str">
        <f>IF(SUMPRODUCT(N(E$1:E$17=E12))&gt;1,"重复","不")</f>
        <v>不</v>
      </c>
      <c r="AT12" s="116" t="str">
        <f>IF(SUMPRODUCT(N(AO$1:AO$17=AO12))&gt;1,"重复","不")</f>
        <v>重复</v>
      </c>
    </row>
    <row r="13" s="12" customFormat="1" ht="18" customHeight="1" spans="1:46">
      <c r="A13" s="36">
        <v>10</v>
      </c>
      <c r="B13" s="37" t="s">
        <v>184</v>
      </c>
      <c r="C13" s="37" t="s">
        <v>137</v>
      </c>
      <c r="D13" s="37" t="s">
        <v>120</v>
      </c>
      <c r="E13" s="352" t="s">
        <v>138</v>
      </c>
      <c r="F13" s="38" t="s">
        <v>185</v>
      </c>
      <c r="G13" s="39">
        <v>17201857014</v>
      </c>
      <c r="H13" s="40"/>
      <c r="I13" s="40"/>
      <c r="J13" s="69"/>
      <c r="K13" s="40"/>
      <c r="L13" s="70">
        <v>8000</v>
      </c>
      <c r="M13" s="71">
        <v>338.16</v>
      </c>
      <c r="N13" s="71">
        <v>90.54</v>
      </c>
      <c r="O13" s="71">
        <f>VLOOKUP(C13,[3]Sheet1!$B$2:$F$14,5,0)</f>
        <v>21.14</v>
      </c>
      <c r="P13" s="71">
        <v>344</v>
      </c>
      <c r="Q13" s="89">
        <f t="shared" si="0"/>
        <v>793.84</v>
      </c>
      <c r="R13" s="70">
        <v>0</v>
      </c>
      <c r="S13" s="90">
        <f>L13+IFERROR(VLOOKUP($E:$E,'（居民）工资表-11月'!$E:$S,15,0),0)</f>
        <v>85000</v>
      </c>
      <c r="T13" s="91">
        <f>5000+IFERROR(VLOOKUP($E:$E,'（居民）工资表-11月'!$E:$T,16,0),0)</f>
        <v>55000</v>
      </c>
      <c r="U13" s="91">
        <f>Q13+IFERROR(VLOOKUP($E:$E,'（居民）工资表-11月'!$E:$U,17,0),0)</f>
        <v>8807.46</v>
      </c>
      <c r="V13" s="70"/>
      <c r="W13" s="70"/>
      <c r="X13" s="70"/>
      <c r="Y13" s="70"/>
      <c r="Z13" s="70"/>
      <c r="AA13" s="70"/>
      <c r="AB13" s="90">
        <f t="shared" si="1"/>
        <v>0</v>
      </c>
      <c r="AC13" s="90">
        <f>R13+IFERROR(VLOOKUP($E:$E,'（居民）工资表-11月'!$E:$AC,25,0),0)</f>
        <v>0</v>
      </c>
      <c r="AD13" s="95">
        <f t="shared" si="2"/>
        <v>21192.54</v>
      </c>
      <c r="AE13" s="96">
        <f>ROUND(MAX((AD13)*{0.03;0.1;0.2;0.25;0.3;0.35;0.45}-{0;2520;16920;31920;52920;85920;181920},0),2)</f>
        <v>635.78</v>
      </c>
      <c r="AF13" s="97">
        <f>IFERROR(VLOOKUP(E:E,'（居民）工资表-11月'!E:AF,28,0)+VLOOKUP(E:E,'（居民）工资表-11月'!E:AG,29,0),0)</f>
        <v>569.59</v>
      </c>
      <c r="AG13" s="97">
        <f t="shared" si="3"/>
        <v>66.1899999999999</v>
      </c>
      <c r="AH13" s="107">
        <f t="shared" si="4"/>
        <v>7139.97</v>
      </c>
      <c r="AI13" s="108"/>
      <c r="AJ13" s="107">
        <f t="shared" si="5"/>
        <v>7139.97</v>
      </c>
      <c r="AK13" s="109"/>
      <c r="AL13" s="107">
        <f t="shared" si="6"/>
        <v>7206.16</v>
      </c>
      <c r="AM13" s="109"/>
      <c r="AN13" s="109"/>
      <c r="AO13" s="109"/>
      <c r="AP13" s="109"/>
      <c r="AQ13" s="109"/>
      <c r="AR13" s="116" t="str">
        <f t="shared" si="7"/>
        <v>正确</v>
      </c>
      <c r="AS13" s="116" t="str">
        <f>IF(SUMPRODUCT(N(E$1:E$17=E13))&gt;1,"重复","不")</f>
        <v>不</v>
      </c>
      <c r="AT13" s="116" t="str">
        <f>IF(SUMPRODUCT(N(AO$1:AO$17=AO13))&gt;1,"重复","不")</f>
        <v>重复</v>
      </c>
    </row>
    <row r="14" s="12" customFormat="1" ht="18" customHeight="1" spans="1:46">
      <c r="A14" s="36">
        <v>11</v>
      </c>
      <c r="B14" s="37" t="s">
        <v>184</v>
      </c>
      <c r="C14" s="37" t="s">
        <v>139</v>
      </c>
      <c r="D14" s="37" t="s">
        <v>120</v>
      </c>
      <c r="E14" s="352" t="s">
        <v>140</v>
      </c>
      <c r="F14" s="38" t="s">
        <v>187</v>
      </c>
      <c r="G14" s="39"/>
      <c r="H14" s="40"/>
      <c r="I14" s="40"/>
      <c r="J14" s="69"/>
      <c r="K14" s="40"/>
      <c r="L14" s="70">
        <v>6000</v>
      </c>
      <c r="M14" s="71">
        <v>338.16</v>
      </c>
      <c r="N14" s="71">
        <v>84.54</v>
      </c>
      <c r="O14" s="71">
        <f>VLOOKUP(C14,[3]Sheet1!$B$2:$F$14,5,0)</f>
        <v>21.14</v>
      </c>
      <c r="P14" s="71">
        <v>103</v>
      </c>
      <c r="Q14" s="89">
        <f t="shared" si="0"/>
        <v>546.84</v>
      </c>
      <c r="R14" s="70">
        <v>0</v>
      </c>
      <c r="S14" s="90">
        <f>L14+IFERROR(VLOOKUP($E:$E,'（居民）工资表-11月'!$E:$S,15,0),0)</f>
        <v>66000</v>
      </c>
      <c r="T14" s="91">
        <f>5000+IFERROR(VLOOKUP($E:$E,'（居民）工资表-11月'!$E:$T,16,0),0)</f>
        <v>55000</v>
      </c>
      <c r="U14" s="91">
        <f>Q14+IFERROR(VLOOKUP($E:$E,'（居民）工资表-11月'!$E:$U,17,0),0)</f>
        <v>6080.76</v>
      </c>
      <c r="V14" s="70"/>
      <c r="W14" s="70"/>
      <c r="X14" s="70"/>
      <c r="Y14" s="70"/>
      <c r="Z14" s="70"/>
      <c r="AA14" s="70"/>
      <c r="AB14" s="90">
        <f t="shared" si="1"/>
        <v>0</v>
      </c>
      <c r="AC14" s="90">
        <f>R14+IFERROR(VLOOKUP($E:$E,'（居民）工资表-11月'!$E:$AC,25,0),0)</f>
        <v>0</v>
      </c>
      <c r="AD14" s="95">
        <f t="shared" si="2"/>
        <v>4919.24</v>
      </c>
      <c r="AE14" s="96">
        <f>ROUND(MAX((AD14)*{0.03;0.1;0.2;0.25;0.3;0.35;0.45}-{0;2520;16920;31920;52920;85920;181920},0),2)</f>
        <v>147.58</v>
      </c>
      <c r="AF14" s="97">
        <f>IFERROR(VLOOKUP(E:E,'（居民）工资表-11月'!E:AF,28,0)+VLOOKUP(E:E,'（居民）工资表-11月'!E:AG,29,0),0)</f>
        <v>133.98</v>
      </c>
      <c r="AG14" s="97">
        <f t="shared" si="3"/>
        <v>13.6</v>
      </c>
      <c r="AH14" s="107">
        <f t="shared" si="4"/>
        <v>5439.56</v>
      </c>
      <c r="AI14" s="108"/>
      <c r="AJ14" s="107">
        <f t="shared" si="5"/>
        <v>5439.56</v>
      </c>
      <c r="AK14" s="109"/>
      <c r="AL14" s="107">
        <f t="shared" si="6"/>
        <v>5453.16</v>
      </c>
      <c r="AM14" s="109"/>
      <c r="AN14" s="109"/>
      <c r="AO14" s="109"/>
      <c r="AP14" s="109"/>
      <c r="AQ14" s="109"/>
      <c r="AR14" s="116" t="str">
        <f t="shared" si="7"/>
        <v>正确</v>
      </c>
      <c r="AS14" s="116" t="str">
        <f>IF(SUMPRODUCT(N(E$1:E$17=E14))&gt;1,"重复","不")</f>
        <v>不</v>
      </c>
      <c r="AT14" s="116" t="str">
        <f>IF(SUMPRODUCT(N(AO$1:AO$17=AO14))&gt;1,"重复","不")</f>
        <v>重复</v>
      </c>
    </row>
    <row r="15" s="12" customFormat="1" ht="18" customHeight="1" spans="1:46">
      <c r="A15" s="36">
        <v>12</v>
      </c>
      <c r="B15" s="37" t="s">
        <v>184</v>
      </c>
      <c r="C15" s="37" t="s">
        <v>141</v>
      </c>
      <c r="D15" s="37" t="s">
        <v>120</v>
      </c>
      <c r="E15" s="352" t="s">
        <v>142</v>
      </c>
      <c r="F15" s="38" t="s">
        <v>185</v>
      </c>
      <c r="G15" s="39">
        <v>15056587375</v>
      </c>
      <c r="H15" s="40"/>
      <c r="I15" s="40"/>
      <c r="J15" s="69"/>
      <c r="K15" s="40"/>
      <c r="L15" s="70">
        <v>10000</v>
      </c>
      <c r="M15" s="71">
        <v>338.16</v>
      </c>
      <c r="N15" s="71">
        <v>93.7</v>
      </c>
      <c r="O15" s="71">
        <f>VLOOKUP(C15,[3]Sheet1!$B$2:$F$14,5,0)</f>
        <v>21.14</v>
      </c>
      <c r="P15" s="71">
        <v>97</v>
      </c>
      <c r="Q15" s="89">
        <f t="shared" si="0"/>
        <v>550</v>
      </c>
      <c r="R15" s="70">
        <v>0</v>
      </c>
      <c r="S15" s="90">
        <f>L15+IFERROR(VLOOKUP($E:$E,'（居民）工资表-11月'!$E:$S,15,0),0)</f>
        <v>109904.76</v>
      </c>
      <c r="T15" s="91">
        <f>5000+IFERROR(VLOOKUP($E:$E,'（居民）工资表-11月'!$E:$T,16,0),0)</f>
        <v>55000</v>
      </c>
      <c r="U15" s="91">
        <f>Q15+IFERROR(VLOOKUP($E:$E,'（居民）工资表-11月'!$E:$U,17,0),0)</f>
        <v>6116.87</v>
      </c>
      <c r="V15" s="70"/>
      <c r="W15" s="70"/>
      <c r="X15" s="70"/>
      <c r="Y15" s="70"/>
      <c r="Z15" s="70"/>
      <c r="AA15" s="70"/>
      <c r="AB15" s="90">
        <f t="shared" si="1"/>
        <v>0</v>
      </c>
      <c r="AC15" s="90">
        <f>R15+IFERROR(VLOOKUP($E:$E,'（居民）工资表-11月'!$E:$AC,25,0),0)</f>
        <v>0</v>
      </c>
      <c r="AD15" s="95">
        <f t="shared" si="2"/>
        <v>48787.89</v>
      </c>
      <c r="AE15" s="96">
        <f>ROUND(MAX((AD15)*{0.03;0.1;0.2;0.25;0.3;0.35;0.45}-{0;2520;16920;31920;52920;85920;181920},0),2)</f>
        <v>2358.79</v>
      </c>
      <c r="AF15" s="97">
        <f>IFERROR(VLOOKUP(E:E,'（居民）工资表-11月'!E:AF,28,0)+VLOOKUP(E:E,'（居民）工资表-11月'!E:AG,29,0),0)</f>
        <v>1913.79</v>
      </c>
      <c r="AG15" s="97">
        <f t="shared" si="3"/>
        <v>445</v>
      </c>
      <c r="AH15" s="107">
        <f t="shared" si="4"/>
        <v>9005</v>
      </c>
      <c r="AI15" s="108"/>
      <c r="AJ15" s="107">
        <f t="shared" si="5"/>
        <v>9005</v>
      </c>
      <c r="AK15" s="109"/>
      <c r="AL15" s="107">
        <f t="shared" si="6"/>
        <v>9450</v>
      </c>
      <c r="AM15" s="109"/>
      <c r="AN15" s="109"/>
      <c r="AO15" s="109"/>
      <c r="AP15" s="109"/>
      <c r="AQ15" s="109"/>
      <c r="AR15" s="116" t="str">
        <f t="shared" si="7"/>
        <v>正确</v>
      </c>
      <c r="AS15" s="116" t="str">
        <f>IF(SUMPRODUCT(N(E$1:E$17=E15))&gt;1,"重复","不")</f>
        <v>不</v>
      </c>
      <c r="AT15" s="116" t="str">
        <f>IF(SUMPRODUCT(N(AO$1:AO$17=AO15))&gt;1,"重复","不")</f>
        <v>重复</v>
      </c>
    </row>
    <row r="16" s="12" customFormat="1" ht="18" customHeight="1" spans="1:46">
      <c r="A16" s="36">
        <v>12</v>
      </c>
      <c r="B16" s="37" t="s">
        <v>184</v>
      </c>
      <c r="C16" s="37" t="s">
        <v>204</v>
      </c>
      <c r="D16" s="37" t="s">
        <v>120</v>
      </c>
      <c r="E16" s="37" t="s">
        <v>205</v>
      </c>
      <c r="F16" s="38" t="s">
        <v>185</v>
      </c>
      <c r="G16" s="39">
        <v>13711361074</v>
      </c>
      <c r="H16" s="40"/>
      <c r="I16" s="40"/>
      <c r="J16" s="69"/>
      <c r="K16" s="40"/>
      <c r="L16" s="70">
        <v>7600</v>
      </c>
      <c r="M16" s="71">
        <v>337.92</v>
      </c>
      <c r="N16" s="71">
        <v>91.48</v>
      </c>
      <c r="O16" s="71">
        <f>VLOOKUP(C16,[3]Sheet1!$B$2:$F$14,5,0)</f>
        <v>12.67</v>
      </c>
      <c r="P16" s="71">
        <v>110.5</v>
      </c>
      <c r="Q16" s="89">
        <f t="shared" si="0"/>
        <v>552.57</v>
      </c>
      <c r="R16" s="70">
        <v>0</v>
      </c>
      <c r="S16" s="90">
        <f>L16+IFERROR(VLOOKUP($E:$E,'（居民）工资表-11月'!$E:$S,15,0),0)</f>
        <v>51110.65</v>
      </c>
      <c r="T16" s="91">
        <f>5000+IFERROR(VLOOKUP($E:$E,'（居民）工资表-11月'!$E:$T,16,0),0)</f>
        <v>40000</v>
      </c>
      <c r="U16" s="91">
        <f>Q16+IFERROR(VLOOKUP($E:$E,'（居民）工资表-11月'!$E:$U,17,0),0)</f>
        <v>4973.13</v>
      </c>
      <c r="V16" s="70"/>
      <c r="W16" s="70"/>
      <c r="X16" s="70"/>
      <c r="Y16" s="70"/>
      <c r="Z16" s="70"/>
      <c r="AA16" s="70"/>
      <c r="AB16" s="90">
        <f t="shared" si="1"/>
        <v>0</v>
      </c>
      <c r="AC16" s="90">
        <f>R16+IFERROR(VLOOKUP($E:$E,'（居民）工资表-11月'!$E:$AC,25,0),0)</f>
        <v>0</v>
      </c>
      <c r="AD16" s="95">
        <f t="shared" si="2"/>
        <v>6137.52</v>
      </c>
      <c r="AE16" s="96">
        <f>ROUND(MAX((AD16)*{0.03;0.1;0.2;0.25;0.3;0.35;0.45}-{0;2520;16920;31920;52920;85920;181920},0),2)</f>
        <v>184.13</v>
      </c>
      <c r="AF16" s="97">
        <f>IFERROR(VLOOKUP(E:E,'（居民）工资表-11月'!E:AF,28,0)+VLOOKUP(E:E,'（居民）工资表-11月'!E:AG,29,0),0)</f>
        <v>122.7</v>
      </c>
      <c r="AG16" s="97">
        <f t="shared" si="3"/>
        <v>61.43</v>
      </c>
      <c r="AH16" s="107">
        <f t="shared" si="4"/>
        <v>6986</v>
      </c>
      <c r="AI16" s="108"/>
      <c r="AJ16" s="107">
        <f t="shared" si="5"/>
        <v>6986</v>
      </c>
      <c r="AK16" s="109"/>
      <c r="AL16" s="107">
        <f t="shared" si="6"/>
        <v>7047.43</v>
      </c>
      <c r="AM16" s="109"/>
      <c r="AN16" s="109"/>
      <c r="AO16" s="109"/>
      <c r="AP16" s="109"/>
      <c r="AQ16" s="109"/>
      <c r="AR16" s="116" t="str">
        <f t="shared" si="7"/>
        <v>正确</v>
      </c>
      <c r="AS16" s="116" t="str">
        <f>IF(SUMPRODUCT(N(E$1:E$17=E16))&gt;1,"重复","不")</f>
        <v>不</v>
      </c>
      <c r="AT16" s="116" t="str">
        <f>IF(SUMPRODUCT(N(AO$1:AO$17=AO16))&gt;1,"重复","不")</f>
        <v>重复</v>
      </c>
    </row>
    <row r="17" s="12" customFormat="1" ht="18" customHeight="1" spans="1:46">
      <c r="A17" s="36"/>
      <c r="B17" s="37"/>
      <c r="C17" s="37"/>
      <c r="D17" s="37"/>
      <c r="E17" s="37"/>
      <c r="F17" s="38"/>
      <c r="G17" s="39"/>
      <c r="H17" s="40"/>
      <c r="I17" s="40"/>
      <c r="J17" s="69"/>
      <c r="K17" s="40"/>
      <c r="L17" s="70"/>
      <c r="M17" s="71"/>
      <c r="N17" s="71"/>
      <c r="O17" s="71"/>
      <c r="P17" s="71"/>
      <c r="Q17" s="89"/>
      <c r="R17" s="70"/>
      <c r="S17" s="90"/>
      <c r="T17" s="91"/>
      <c r="U17" s="91"/>
      <c r="V17" s="70"/>
      <c r="W17" s="70"/>
      <c r="X17" s="70"/>
      <c r="Y17" s="70"/>
      <c r="Z17" s="70"/>
      <c r="AA17" s="70"/>
      <c r="AB17" s="90"/>
      <c r="AC17" s="90"/>
      <c r="AD17" s="95"/>
      <c r="AE17" s="96"/>
      <c r="AF17" s="97"/>
      <c r="AG17" s="97"/>
      <c r="AH17" s="107"/>
      <c r="AI17" s="108"/>
      <c r="AJ17" s="107"/>
      <c r="AK17" s="109"/>
      <c r="AL17" s="107"/>
      <c r="AM17" s="109"/>
      <c r="AN17" s="109"/>
      <c r="AO17" s="109"/>
      <c r="AP17" s="109"/>
      <c r="AQ17" s="109"/>
      <c r="AR17" s="116"/>
      <c r="AS17" s="116"/>
      <c r="AT17" s="116"/>
    </row>
    <row r="18" s="13" customFormat="1" ht="18" customHeight="1" spans="1:46">
      <c r="A18" s="41"/>
      <c r="B18" s="42" t="s">
        <v>143</v>
      </c>
      <c r="C18" s="42"/>
      <c r="D18" s="43"/>
      <c r="E18" s="44"/>
      <c r="F18" s="45"/>
      <c r="G18" s="46"/>
      <c r="H18" s="45"/>
      <c r="I18" s="72"/>
      <c r="J18" s="73"/>
      <c r="K18" s="72"/>
      <c r="L18" s="74">
        <f t="shared" ref="L18:AL18" si="8">SUM(L4:L17)</f>
        <v>122707.97</v>
      </c>
      <c r="M18" s="74">
        <f t="shared" si="8"/>
        <v>4786.25</v>
      </c>
      <c r="N18" s="74">
        <f t="shared" si="8"/>
        <v>1331.12</v>
      </c>
      <c r="O18" s="74">
        <f t="shared" si="8"/>
        <v>252.24</v>
      </c>
      <c r="P18" s="74">
        <f t="shared" si="8"/>
        <v>2232.9</v>
      </c>
      <c r="Q18" s="74">
        <f t="shared" si="8"/>
        <v>8602.51</v>
      </c>
      <c r="R18" s="74">
        <f t="shared" si="8"/>
        <v>0</v>
      </c>
      <c r="S18" s="74">
        <f t="shared" si="8"/>
        <v>1314420.36</v>
      </c>
      <c r="T18" s="74">
        <f t="shared" si="8"/>
        <v>700000</v>
      </c>
      <c r="U18" s="74">
        <f t="shared" si="8"/>
        <v>93745.97</v>
      </c>
      <c r="V18" s="74">
        <f t="shared" si="8"/>
        <v>12000</v>
      </c>
      <c r="W18" s="74">
        <f t="shared" si="8"/>
        <v>0</v>
      </c>
      <c r="X18" s="74">
        <f t="shared" si="8"/>
        <v>12000</v>
      </c>
      <c r="Y18" s="74">
        <f t="shared" si="8"/>
        <v>0</v>
      </c>
      <c r="Z18" s="74">
        <f t="shared" si="8"/>
        <v>4800</v>
      </c>
      <c r="AA18" s="74">
        <f t="shared" si="8"/>
        <v>0</v>
      </c>
      <c r="AB18" s="74">
        <f t="shared" si="8"/>
        <v>28800</v>
      </c>
      <c r="AC18" s="74">
        <f t="shared" si="8"/>
        <v>0</v>
      </c>
      <c r="AD18" s="74">
        <f t="shared" si="8"/>
        <v>491874.39</v>
      </c>
      <c r="AE18" s="74">
        <f t="shared" si="8"/>
        <v>45776.77</v>
      </c>
      <c r="AF18" s="74">
        <f t="shared" si="8"/>
        <v>40114.07</v>
      </c>
      <c r="AG18" s="74">
        <f t="shared" si="8"/>
        <v>6380.66</v>
      </c>
      <c r="AH18" s="74">
        <f t="shared" si="8"/>
        <v>107724.8</v>
      </c>
      <c r="AI18" s="126">
        <f t="shared" si="8"/>
        <v>0</v>
      </c>
      <c r="AJ18" s="74">
        <f t="shared" si="8"/>
        <v>107724.8</v>
      </c>
      <c r="AK18" s="74">
        <f t="shared" si="8"/>
        <v>0</v>
      </c>
      <c r="AL18" s="74">
        <f t="shared" si="8"/>
        <v>114105.46</v>
      </c>
      <c r="AM18" s="110"/>
      <c r="AN18" s="110"/>
      <c r="AO18" s="110"/>
      <c r="AP18" s="110"/>
      <c r="AQ18" s="110"/>
      <c r="AR18" s="45"/>
      <c r="AS18" s="45"/>
      <c r="AT18" s="118"/>
    </row>
    <row r="21" spans="30:30">
      <c r="AD21" s="101"/>
    </row>
    <row r="22" ht="18.75" customHeight="1" spans="2:30">
      <c r="B22" s="47" t="s">
        <v>144</v>
      </c>
      <c r="C22" s="47" t="s">
        <v>145</v>
      </c>
      <c r="D22" s="47" t="s">
        <v>22</v>
      </c>
      <c r="E22" s="47" t="s">
        <v>23</v>
      </c>
      <c r="AD22" s="10"/>
    </row>
    <row r="23" ht="18.75" customHeight="1" spans="2:5">
      <c r="B23" s="48">
        <f>AJ18</f>
        <v>107724.8</v>
      </c>
      <c r="C23" s="48">
        <f>AG18</f>
        <v>6380.66</v>
      </c>
      <c r="D23" s="48">
        <f>AK18</f>
        <v>0</v>
      </c>
      <c r="E23" s="48">
        <f>B23+C23+D23</f>
        <v>114105.46</v>
      </c>
    </row>
    <row r="24" spans="2:5">
      <c r="B24" s="49"/>
      <c r="C24" s="49"/>
      <c r="D24" s="49"/>
      <c r="E24" s="49"/>
    </row>
    <row r="25" s="14" customFormat="1" spans="1:35">
      <c r="A25" s="51" t="s">
        <v>206</v>
      </c>
      <c r="B25" s="52" t="s">
        <v>207</v>
      </c>
      <c r="C25" s="50"/>
      <c r="D25" s="50"/>
      <c r="E25" s="50"/>
      <c r="G25" s="53"/>
      <c r="J25" s="75"/>
      <c r="M25" s="76"/>
      <c r="AI25" s="112"/>
    </row>
    <row r="26" s="14" customFormat="1" spans="1:35">
      <c r="A26" s="54"/>
      <c r="B26" s="55" t="s">
        <v>208</v>
      </c>
      <c r="C26" s="50"/>
      <c r="D26" s="50"/>
      <c r="E26" s="50"/>
      <c r="G26" s="53"/>
      <c r="J26" s="75"/>
      <c r="M26" s="76"/>
      <c r="AI26" s="112"/>
    </row>
    <row r="27" s="14" customFormat="1" spans="1:35">
      <c r="A27" s="52"/>
      <c r="B27" s="55" t="s">
        <v>209</v>
      </c>
      <c r="C27" s="56"/>
      <c r="D27" s="56"/>
      <c r="E27" s="56"/>
      <c r="F27" s="56"/>
      <c r="G27" s="56"/>
      <c r="H27" s="56"/>
      <c r="I27" s="56"/>
      <c r="J27" s="77"/>
      <c r="K27" s="56"/>
      <c r="L27" s="56"/>
      <c r="M27" s="78"/>
      <c r="N27" s="56"/>
      <c r="O27" s="56"/>
      <c r="P27" s="56"/>
      <c r="AI27" s="112"/>
    </row>
    <row r="28" s="14" customFormat="1" customHeight="1" spans="1:35">
      <c r="A28" s="55"/>
      <c r="B28" s="55" t="s">
        <v>210</v>
      </c>
      <c r="C28" s="57"/>
      <c r="D28" s="57"/>
      <c r="E28" s="57"/>
      <c r="F28" s="57"/>
      <c r="G28" s="57"/>
      <c r="H28" s="57"/>
      <c r="I28" s="79"/>
      <c r="J28" s="80"/>
      <c r="K28" s="79"/>
      <c r="L28" s="79"/>
      <c r="M28" s="81"/>
      <c r="N28" s="79"/>
      <c r="O28" s="79"/>
      <c r="P28" s="79"/>
      <c r="AI28" s="112"/>
    </row>
    <row r="29" s="14" customFormat="1" customHeight="1" spans="1:35">
      <c r="A29" s="55"/>
      <c r="B29" s="55" t="s">
        <v>211</v>
      </c>
      <c r="C29" s="57"/>
      <c r="D29" s="57"/>
      <c r="E29" s="57"/>
      <c r="F29" s="57"/>
      <c r="G29" s="57"/>
      <c r="H29" s="57"/>
      <c r="I29" s="57"/>
      <c r="J29" s="82"/>
      <c r="K29" s="57"/>
      <c r="L29" s="79"/>
      <c r="M29" s="81"/>
      <c r="N29" s="79"/>
      <c r="O29" s="79"/>
      <c r="P29" s="79"/>
      <c r="AI29" s="112"/>
    </row>
    <row r="30" s="14" customFormat="1" customHeight="1" spans="1:35">
      <c r="A30" s="55"/>
      <c r="B30" s="55" t="s">
        <v>212</v>
      </c>
      <c r="C30" s="57"/>
      <c r="D30" s="57"/>
      <c r="E30" s="57"/>
      <c r="F30" s="57"/>
      <c r="G30" s="57"/>
      <c r="H30" s="57"/>
      <c r="I30" s="79"/>
      <c r="J30" s="80"/>
      <c r="K30" s="79"/>
      <c r="L30" s="79"/>
      <c r="M30" s="81"/>
      <c r="N30" s="79"/>
      <c r="O30" s="79"/>
      <c r="P30" s="79"/>
      <c r="AI30" s="112"/>
    </row>
    <row r="32" ht="11.25" customHeight="1" spans="2:2">
      <c r="B32" s="58" t="s">
        <v>213</v>
      </c>
    </row>
    <row r="33" spans="2:2">
      <c r="B33" s="59" t="s">
        <v>214</v>
      </c>
    </row>
    <row r="34" spans="2:2">
      <c r="B34" s="59" t="s">
        <v>215</v>
      </c>
    </row>
  </sheetData>
  <autoFilter xmlns:etc="http://www.wps.cn/officeDocument/2017/etCustomData" ref="A3:AT18" etc:filterBottomFollowUsedRange="0">
    <extLst/>
  </autoFilter>
  <mergeCells count="39">
    <mergeCell ref="M1:P1"/>
    <mergeCell ref="M2:P2"/>
    <mergeCell ref="V2:AA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Q2:Q3"/>
    <mergeCell ref="R2:R3"/>
    <mergeCell ref="S2:S3"/>
    <mergeCell ref="T2:T3"/>
    <mergeCell ref="U2:U3"/>
    <mergeCell ref="AB2:AB3"/>
    <mergeCell ref="AC2:AC3"/>
    <mergeCell ref="AD2:AD3"/>
    <mergeCell ref="AE2:AE3"/>
    <mergeCell ref="AF2:AF3"/>
    <mergeCell ref="AG2:AG3"/>
    <mergeCell ref="AH2:AH3"/>
    <mergeCell ref="AI2:AI3"/>
    <mergeCell ref="AJ2:AJ3"/>
    <mergeCell ref="AK2:AK3"/>
    <mergeCell ref="AL2:AL3"/>
    <mergeCell ref="AM2:AM3"/>
    <mergeCell ref="AN2:AN3"/>
    <mergeCell ref="AO2:AO3"/>
    <mergeCell ref="AP2:AP3"/>
    <mergeCell ref="AQ2:AQ3"/>
    <mergeCell ref="AR2:AR3"/>
    <mergeCell ref="AS2:AS3"/>
    <mergeCell ref="AT2:AT3"/>
  </mergeCells>
  <conditionalFormatting sqref="B30">
    <cfRule type="duplicateValues" dxfId="4" priority="2" stopIfTrue="1"/>
  </conditionalFormatting>
  <conditionalFormatting sqref="B25:B29">
    <cfRule type="duplicateValues" dxfId="4" priority="3" stopIfTrue="1"/>
  </conditionalFormatting>
  <conditionalFormatting sqref="B33:B34">
    <cfRule type="duplicateValues" dxfId="4" priority="1" stopIfTrue="1"/>
  </conditionalFormatting>
  <conditionalFormatting sqref="C22:C24">
    <cfRule type="duplicateValues" dxfId="4" priority="4" stopIfTrue="1"/>
    <cfRule type="expression" dxfId="5" priority="5" stopIfTrue="1">
      <formula>AND(COUNTIF($B$18:$B$65454,C22)+COUNTIF($B$1:$B$3,C22)&gt;1,NOT(ISBLANK(C22)))</formula>
    </cfRule>
    <cfRule type="expression" dxfId="5" priority="6" stopIfTrue="1">
      <formula>AND(COUNTIF($B$29:$B$65405,C22)+COUNTIF($B$1:$B$28,C22)&gt;1,NOT(ISBLANK(C22)))</formula>
    </cfRule>
    <cfRule type="expression" dxfId="5" priority="7" stopIfTrue="1">
      <formula>AND(COUNTIF($B$18:$B$65443,C22)+COUNTIF($B$1:$B$3,C22)&gt;1,NOT(ISBLANK(C22)))</formula>
    </cfRule>
  </conditionalFormatting>
  <pageMargins left="0.235416666666667" right="0.235416666666667" top="0.747916666666667" bottom="0.747916666666667" header="0.313888888888889" footer="0.313888888888889"/>
  <pageSetup paperSize="9" scale="56" fitToWidth="2" orientation="landscape"/>
  <headerFooter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3">
    <tabColor rgb="FF00B050"/>
  </sheetPr>
  <dimension ref="A1:AT34"/>
  <sheetViews>
    <sheetView workbookViewId="0">
      <pane xSplit="6" ySplit="3" topLeftCell="AD4" activePane="bottomRight" state="frozen"/>
      <selection/>
      <selection pane="topRight"/>
      <selection pane="bottomLeft"/>
      <selection pane="bottomRight" activeCell="F18" sqref="F18"/>
    </sheetView>
  </sheetViews>
  <sheetFormatPr defaultColWidth="9" defaultRowHeight="13.5"/>
  <cols>
    <col min="1" max="1" width="4.45" style="15" customWidth="1"/>
    <col min="2" max="2" width="12.6333333333333" style="15" customWidth="1"/>
    <col min="3" max="3" width="10.45" style="15" customWidth="1"/>
    <col min="4" max="4" width="8.725" style="15" customWidth="1"/>
    <col min="5" max="5" width="19.45" style="16" customWidth="1"/>
    <col min="6" max="6" width="9" style="15"/>
    <col min="7" max="7" width="11.9083333333333" style="17" customWidth="1"/>
    <col min="8" max="8" width="4.63333333333333" style="15" hidden="1" customWidth="1"/>
    <col min="9" max="9" width="5.26666666666667" style="15" hidden="1" customWidth="1"/>
    <col min="10" max="10" width="11.725" style="18" hidden="1" customWidth="1"/>
    <col min="11" max="11" width="5.26666666666667" style="15" hidden="1" customWidth="1"/>
    <col min="12" max="12" width="11.725" style="15" customWidth="1"/>
    <col min="13" max="13" width="9.45" style="15" customWidth="1" outlineLevel="1"/>
    <col min="14" max="15" width="9" style="15" customWidth="1" outlineLevel="1"/>
    <col min="16" max="16" width="11.0916666666667" style="15" customWidth="1" outlineLevel="1"/>
    <col min="17" max="17" width="9.725" style="15" customWidth="1"/>
    <col min="18" max="18" width="9.45" style="15" customWidth="1"/>
    <col min="19" max="19" width="11.45" style="15" customWidth="1"/>
    <col min="20" max="21" width="12.2666666666667" style="15" customWidth="1"/>
    <col min="22" max="27" width="9" style="15" customWidth="1" outlineLevel="1"/>
    <col min="28" max="28" width="11.2666666666667" style="15" customWidth="1"/>
    <col min="29" max="29" width="8.45" style="15" customWidth="1"/>
    <col min="30" max="30" width="15.2666666666667" style="15" customWidth="1"/>
    <col min="31" max="31" width="14" style="15" customWidth="1"/>
    <col min="32" max="32" width="10.725" style="15" customWidth="1"/>
    <col min="33" max="33" width="12.2666666666667" style="15" customWidth="1"/>
    <col min="34" max="34" width="11.45" style="15" customWidth="1"/>
    <col min="35" max="35" width="7.90833333333333" style="19" customWidth="1"/>
    <col min="36" max="36" width="11.45" style="15" customWidth="1"/>
    <col min="37" max="37" width="9" style="15"/>
    <col min="38" max="38" width="11.25" style="15" customWidth="1"/>
    <col min="39" max="39" width="0.75" style="15" hidden="1" customWidth="1"/>
    <col min="40" max="40" width="9" style="15" hidden="1" customWidth="1"/>
    <col min="41" max="41" width="19" style="15" hidden="1" customWidth="1"/>
    <col min="42" max="42" width="12.2666666666667" style="15" hidden="1" customWidth="1"/>
    <col min="43" max="43" width="9" style="15" hidden="1" customWidth="1"/>
    <col min="44" max="44" width="7" style="15" hidden="1" customWidth="1"/>
    <col min="45" max="45" width="6.725" style="15" hidden="1" customWidth="1"/>
    <col min="46" max="46" width="6.09166666666667" style="15" hidden="1" customWidth="1"/>
    <col min="47" max="16384" width="9" style="15"/>
  </cols>
  <sheetData>
    <row r="1" s="10" customFormat="1" ht="29.25" customHeight="1" spans="1:45">
      <c r="A1" s="20" t="s">
        <v>146</v>
      </c>
      <c r="B1" s="21"/>
      <c r="C1" s="22"/>
      <c r="D1" s="23"/>
      <c r="E1" s="24"/>
      <c r="F1" s="24"/>
      <c r="G1" s="25"/>
      <c r="J1" s="60"/>
      <c r="L1" s="61"/>
      <c r="M1" s="62" t="s">
        <v>147</v>
      </c>
      <c r="N1" s="62"/>
      <c r="O1" s="62"/>
      <c r="P1" s="62"/>
      <c r="Q1" s="83"/>
      <c r="R1" s="83"/>
      <c r="S1" s="83"/>
      <c r="T1" s="83"/>
      <c r="U1" s="83">
        <f>U4/2</f>
        <v>310.515</v>
      </c>
      <c r="V1" s="83"/>
      <c r="W1" s="83"/>
      <c r="X1" s="83"/>
      <c r="Y1" s="83"/>
      <c r="Z1" s="83"/>
      <c r="AA1" s="83"/>
      <c r="AB1" s="83"/>
      <c r="AC1" s="83"/>
      <c r="AD1" s="61"/>
      <c r="AE1" s="61"/>
      <c r="AF1" s="61"/>
      <c r="AG1" s="61"/>
      <c r="AH1" s="61"/>
      <c r="AI1" s="102"/>
      <c r="AJ1" s="61"/>
      <c r="AK1" s="61"/>
      <c r="AL1" s="61"/>
      <c r="AM1" s="24"/>
      <c r="AN1" s="24"/>
      <c r="AO1" s="113"/>
      <c r="AP1" s="24"/>
      <c r="AQ1" s="24"/>
      <c r="AR1" s="24"/>
      <c r="AS1" s="24"/>
    </row>
    <row r="2" s="11" customFormat="1" ht="20.15" customHeight="1" spans="1:46">
      <c r="A2" s="26" t="s">
        <v>0</v>
      </c>
      <c r="B2" s="27" t="s">
        <v>148</v>
      </c>
      <c r="C2" s="28" t="s">
        <v>149</v>
      </c>
      <c r="D2" s="28" t="s">
        <v>150</v>
      </c>
      <c r="E2" s="29" t="s">
        <v>151</v>
      </c>
      <c r="F2" s="30" t="s">
        <v>152</v>
      </c>
      <c r="G2" s="29" t="s">
        <v>153</v>
      </c>
      <c r="H2" s="29" t="s">
        <v>154</v>
      </c>
      <c r="I2" s="29" t="s">
        <v>155</v>
      </c>
      <c r="J2" s="63" t="s">
        <v>156</v>
      </c>
      <c r="K2" s="29" t="s">
        <v>157</v>
      </c>
      <c r="L2" s="29" t="s">
        <v>158</v>
      </c>
      <c r="M2" s="64" t="s">
        <v>159</v>
      </c>
      <c r="N2" s="65"/>
      <c r="O2" s="65"/>
      <c r="P2" s="66"/>
      <c r="Q2" s="30" t="s">
        <v>160</v>
      </c>
      <c r="R2" s="29" t="s">
        <v>161</v>
      </c>
      <c r="S2" s="30" t="s">
        <v>162</v>
      </c>
      <c r="T2" s="84" t="s">
        <v>163</v>
      </c>
      <c r="U2" s="30" t="s">
        <v>164</v>
      </c>
      <c r="V2" s="85" t="s">
        <v>165</v>
      </c>
      <c r="W2" s="86"/>
      <c r="X2" s="86"/>
      <c r="Y2" s="86"/>
      <c r="Z2" s="86"/>
      <c r="AA2" s="94"/>
      <c r="AB2" s="30" t="s">
        <v>166</v>
      </c>
      <c r="AC2" s="30" t="s">
        <v>167</v>
      </c>
      <c r="AD2" s="84" t="s">
        <v>168</v>
      </c>
      <c r="AE2" s="84" t="s">
        <v>169</v>
      </c>
      <c r="AF2" s="84" t="s">
        <v>170</v>
      </c>
      <c r="AG2" s="84" t="s">
        <v>171</v>
      </c>
      <c r="AH2" s="103" t="s">
        <v>172</v>
      </c>
      <c r="AI2" s="104" t="s">
        <v>173</v>
      </c>
      <c r="AJ2" s="103" t="s">
        <v>144</v>
      </c>
      <c r="AK2" s="28" t="s">
        <v>225</v>
      </c>
      <c r="AL2" s="103" t="s">
        <v>174</v>
      </c>
      <c r="AM2" s="29" t="s">
        <v>216</v>
      </c>
      <c r="AN2" s="29" t="s">
        <v>217</v>
      </c>
      <c r="AO2" s="114" t="s">
        <v>218</v>
      </c>
      <c r="AP2" s="29" t="s">
        <v>219</v>
      </c>
      <c r="AQ2" s="29" t="s">
        <v>220</v>
      </c>
      <c r="AR2" s="30" t="s">
        <v>221</v>
      </c>
      <c r="AS2" s="30" t="s">
        <v>222</v>
      </c>
      <c r="AT2" s="30" t="s">
        <v>223</v>
      </c>
    </row>
    <row r="3" s="11" customFormat="1" ht="27" customHeight="1" spans="1:46">
      <c r="A3" s="31"/>
      <c r="B3" s="32"/>
      <c r="C3" s="33"/>
      <c r="D3" s="33"/>
      <c r="E3" s="34"/>
      <c r="F3" s="35"/>
      <c r="G3" s="34"/>
      <c r="H3" s="34"/>
      <c r="I3" s="34"/>
      <c r="J3" s="67"/>
      <c r="K3" s="34"/>
      <c r="L3" s="34"/>
      <c r="M3" s="68" t="s">
        <v>175</v>
      </c>
      <c r="N3" s="68" t="s">
        <v>176</v>
      </c>
      <c r="O3" s="68" t="s">
        <v>177</v>
      </c>
      <c r="P3" s="68" t="s">
        <v>37</v>
      </c>
      <c r="Q3" s="35"/>
      <c r="R3" s="34"/>
      <c r="S3" s="35"/>
      <c r="T3" s="87"/>
      <c r="U3" s="35"/>
      <c r="V3" s="88" t="s">
        <v>178</v>
      </c>
      <c r="W3" s="88" t="s">
        <v>179</v>
      </c>
      <c r="X3" s="88" t="s">
        <v>180</v>
      </c>
      <c r="Y3" s="88" t="s">
        <v>181</v>
      </c>
      <c r="Z3" s="88" t="s">
        <v>182</v>
      </c>
      <c r="AA3" s="88" t="s">
        <v>183</v>
      </c>
      <c r="AB3" s="35"/>
      <c r="AC3" s="35"/>
      <c r="AD3" s="87"/>
      <c r="AE3" s="87"/>
      <c r="AF3" s="87"/>
      <c r="AG3" s="87"/>
      <c r="AH3" s="105"/>
      <c r="AI3" s="106"/>
      <c r="AJ3" s="105"/>
      <c r="AK3" s="33"/>
      <c r="AL3" s="105"/>
      <c r="AM3" s="34"/>
      <c r="AN3" s="34"/>
      <c r="AO3" s="115"/>
      <c r="AP3" s="34"/>
      <c r="AQ3" s="34"/>
      <c r="AR3" s="35"/>
      <c r="AS3" s="35"/>
      <c r="AT3" s="35"/>
    </row>
    <row r="4" s="12" customFormat="1" ht="18" customHeight="1" spans="1:46">
      <c r="A4" s="36">
        <v>1</v>
      </c>
      <c r="B4" s="37" t="s">
        <v>184</v>
      </c>
      <c r="C4" s="37" t="s">
        <v>61</v>
      </c>
      <c r="D4" s="37" t="s">
        <v>120</v>
      </c>
      <c r="E4" s="37" t="s">
        <v>62</v>
      </c>
      <c r="F4" s="38" t="s">
        <v>185</v>
      </c>
      <c r="G4" s="39">
        <v>13944441728</v>
      </c>
      <c r="H4" s="40"/>
      <c r="I4" s="40"/>
      <c r="J4" s="69"/>
      <c r="K4" s="40"/>
      <c r="L4" s="70">
        <v>8000</v>
      </c>
      <c r="M4" s="71">
        <v>344.57</v>
      </c>
      <c r="N4" s="71">
        <v>86.14</v>
      </c>
      <c r="O4" s="71">
        <v>12.92</v>
      </c>
      <c r="P4" s="71">
        <v>177.4</v>
      </c>
      <c r="Q4" s="70">
        <f t="shared" ref="Q4:Q16" si="0">ROUND(SUM(M4:P4),2)</f>
        <v>621.03</v>
      </c>
      <c r="R4" s="70">
        <v>0</v>
      </c>
      <c r="S4" s="92">
        <f t="shared" ref="S4:S16" si="1">L4</f>
        <v>8000</v>
      </c>
      <c r="T4" s="93">
        <v>5000</v>
      </c>
      <c r="U4" s="93">
        <f t="shared" ref="U4:U16" si="2">Q4</f>
        <v>621.03</v>
      </c>
      <c r="V4" s="70"/>
      <c r="W4" s="70"/>
      <c r="X4" s="70"/>
      <c r="Y4" s="70"/>
      <c r="Z4" s="70"/>
      <c r="AA4" s="70"/>
      <c r="AB4" s="92">
        <f t="shared" ref="AB4:AB16" si="3">ROUND(SUM(V4:AA4),2)</f>
        <v>0</v>
      </c>
      <c r="AC4" s="92">
        <f t="shared" ref="AC4:AC16" si="4">R4</f>
        <v>0</v>
      </c>
      <c r="AD4" s="98">
        <f t="shared" ref="AD4:AD16" si="5">ROUND(S4-T4-U4-AB4-AC4,2)</f>
        <v>2378.97</v>
      </c>
      <c r="AE4" s="99">
        <f>ROUND(MAX((AD4)*{0.03;0.1;0.2;0.25;0.3;0.35;0.45}-{0;2520;16920;31920;52920;85920;181920},0),2)</f>
        <v>71.37</v>
      </c>
      <c r="AF4" s="100">
        <v>0</v>
      </c>
      <c r="AG4" s="100">
        <f t="shared" ref="AG4:AG16" si="6">IF((AE4-AF4)&lt;0,0,AE4-AF4)</f>
        <v>71.37</v>
      </c>
      <c r="AH4" s="109">
        <f t="shared" ref="AH4:AH16" si="7">ROUND(IF((L4-Q4-AG4)&lt;0,0,(L4-Q4-AG4)),2)</f>
        <v>7307.6</v>
      </c>
      <c r="AI4" s="108"/>
      <c r="AJ4" s="109">
        <f t="shared" ref="AJ4:AJ16" si="8">AH4+AI4</f>
        <v>7307.6</v>
      </c>
      <c r="AK4" s="109"/>
      <c r="AL4" s="109">
        <f t="shared" ref="AL4:AL16" si="9">AJ4+AG4+AK4</f>
        <v>7378.97</v>
      </c>
      <c r="AM4" s="109"/>
      <c r="AN4" s="109"/>
      <c r="AO4" s="109"/>
      <c r="AP4" s="109"/>
      <c r="AQ4" s="109"/>
      <c r="AR4" s="117" t="str">
        <f t="shared" ref="AR4:AR16" si="10">IF(LEN(E4)=18,IF(RIGHT(E4,1)="X",IF(CHOOSE(MOD(SUM(LEFT(RIGHT(E4,18))*7+LEFT(RIGHT(E4,17))*9+LEFT(RIGHT(E4,16))*10+LEFT(RIGHT(E4,15))*5+LEFT(RIGHT(E4,14))*8+LEFT(RIGHT(E4,13))*4+LEFT(RIGHT(E4,12))*2+LEFT(RIGHT(E4,11))*1+LEFT(RIGHT(E4,10))*6+LEFT(RIGHT(E4,9))*3+LEFT(RIGHT(E4,8))*7+LEFT(RIGHT(E4,7))*9+LEFT(RIGHT(E4,6))*10+LEFT(RIGHT(E4,5))*5+LEFT(RIGHT(E4,4))*8+LEFT(RIGHT(E4,3))*4+LEFT(RIGHT(E4,2))*2),11)+1,1,0,"X",9,8,7,6,5,4,3,2)=LEFT(RIGHT(E4,1)),"正确","错误"),IF(CHOOSE(MOD(SUM(LEFT(RIGHT(E4,18))*7+LEFT(RIGHT(E4,17))*9+LEFT(RIGHT(E4,16))*10+LEFT(RIGHT(E4,15))*5+LEFT(RIGHT(E4,14))*8+LEFT(RIGHT(E4,13))*4+LEFT(RIGHT(E4,12))*2+LEFT(RIGHT(E4,11))*1+LEFT(RIGHT(E4,10))*6+LEFT(RIGHT(E4,9))*3+LEFT(RIGHT(E4,8))*7+LEFT(RIGHT(E4,7))*9+LEFT(RIGHT(E4,6))*10+LEFT(RIGHT(E4,5))*5+LEFT(RIGHT(E4,4))*8+LEFT(RIGHT(E4,3))*4+LEFT(RIGHT(E4,2))*2),11)+1,1,0,"X",9,8,7,6,5,4,3,2)=LEFT(RIGHT(E4,1))*1,"正确","错误")),IF(LEN(E4)=15,"老号，请注意！",IF(LEN(E4)=0,"未填写身份证号码","位数不对！")))</f>
        <v>正确</v>
      </c>
      <c r="AS4" s="117" t="str">
        <f>IF(SUMPRODUCT(N(E$1:E$17=E4))&gt;1,"重复","不")</f>
        <v>不</v>
      </c>
      <c r="AT4" s="117" t="str">
        <f>IF(SUMPRODUCT(N(AO$1:AO$17=AO4))&gt;1,"重复","不")</f>
        <v>重复</v>
      </c>
    </row>
    <row r="5" s="12" customFormat="1" ht="18" customHeight="1" spans="1:46">
      <c r="A5" s="36">
        <v>2</v>
      </c>
      <c r="B5" s="37" t="s">
        <v>184</v>
      </c>
      <c r="C5" s="37" t="s">
        <v>121</v>
      </c>
      <c r="D5" s="37" t="s">
        <v>120</v>
      </c>
      <c r="E5" s="352" t="s">
        <v>122</v>
      </c>
      <c r="F5" s="38" t="s">
        <v>187</v>
      </c>
      <c r="G5" s="39">
        <v>15360550807</v>
      </c>
      <c r="H5" s="40"/>
      <c r="I5" s="40"/>
      <c r="J5" s="69"/>
      <c r="K5" s="40"/>
      <c r="L5" s="70">
        <v>6160</v>
      </c>
      <c r="M5" s="71">
        <v>560.96</v>
      </c>
      <c r="N5" s="71">
        <v>133.12</v>
      </c>
      <c r="O5" s="71">
        <v>4.6</v>
      </c>
      <c r="P5" s="71">
        <v>115</v>
      </c>
      <c r="Q5" s="70">
        <f t="shared" si="0"/>
        <v>813.68</v>
      </c>
      <c r="R5" s="70">
        <v>0</v>
      </c>
      <c r="S5" s="92">
        <f t="shared" si="1"/>
        <v>6160</v>
      </c>
      <c r="T5" s="93">
        <v>5000</v>
      </c>
      <c r="U5" s="93">
        <f t="shared" si="2"/>
        <v>813.68</v>
      </c>
      <c r="V5" s="70"/>
      <c r="W5" s="70"/>
      <c r="X5" s="70"/>
      <c r="Y5" s="70"/>
      <c r="Z5" s="70"/>
      <c r="AA5" s="70"/>
      <c r="AB5" s="92">
        <f t="shared" si="3"/>
        <v>0</v>
      </c>
      <c r="AC5" s="92">
        <f t="shared" si="4"/>
        <v>0</v>
      </c>
      <c r="AD5" s="98">
        <f t="shared" si="5"/>
        <v>346.32</v>
      </c>
      <c r="AE5" s="99">
        <f>ROUND(MAX((AD5)*{0.03;0.1;0.2;0.25;0.3;0.35;0.45}-{0;2520;16920;31920;52920;85920;181920},0),2)</f>
        <v>10.39</v>
      </c>
      <c r="AF5" s="100">
        <v>0</v>
      </c>
      <c r="AG5" s="100">
        <f t="shared" si="6"/>
        <v>10.39</v>
      </c>
      <c r="AH5" s="109">
        <f t="shared" si="7"/>
        <v>5335.93</v>
      </c>
      <c r="AI5" s="108"/>
      <c r="AJ5" s="109">
        <f t="shared" si="8"/>
        <v>5335.93</v>
      </c>
      <c r="AK5" s="109"/>
      <c r="AL5" s="109">
        <f t="shared" si="9"/>
        <v>5346.32</v>
      </c>
      <c r="AM5" s="109"/>
      <c r="AN5" s="109"/>
      <c r="AO5" s="109"/>
      <c r="AP5" s="109"/>
      <c r="AQ5" s="109"/>
      <c r="AR5" s="117" t="str">
        <f t="shared" si="10"/>
        <v>正确</v>
      </c>
      <c r="AS5" s="117" t="str">
        <f>IF(SUMPRODUCT(N(E$1:E$17=E5))&gt;1,"重复","不")</f>
        <v>不</v>
      </c>
      <c r="AT5" s="117" t="str">
        <f>IF(SUMPRODUCT(N(AO$1:AO$17=AO5))&gt;1,"重复","不")</f>
        <v>重复</v>
      </c>
    </row>
    <row r="6" s="12" customFormat="1" ht="18" customHeight="1" spans="1:46">
      <c r="A6" s="36">
        <v>3</v>
      </c>
      <c r="B6" s="37" t="s">
        <v>184</v>
      </c>
      <c r="C6" s="37" t="s">
        <v>123</v>
      </c>
      <c r="D6" s="37" t="s">
        <v>120</v>
      </c>
      <c r="E6" s="352" t="s">
        <v>124</v>
      </c>
      <c r="F6" s="38" t="s">
        <v>185</v>
      </c>
      <c r="G6" s="39" t="s">
        <v>125</v>
      </c>
      <c r="H6" s="40"/>
      <c r="I6" s="40"/>
      <c r="J6" s="69"/>
      <c r="K6" s="40"/>
      <c r="L6" s="70">
        <v>30060</v>
      </c>
      <c r="M6" s="71">
        <v>590.72</v>
      </c>
      <c r="N6" s="71">
        <v>147.68</v>
      </c>
      <c r="O6" s="71">
        <v>36.92</v>
      </c>
      <c r="P6" s="71">
        <v>188</v>
      </c>
      <c r="Q6" s="70">
        <f t="shared" si="0"/>
        <v>963.32</v>
      </c>
      <c r="R6" s="70">
        <v>0</v>
      </c>
      <c r="S6" s="92">
        <f t="shared" si="1"/>
        <v>30060</v>
      </c>
      <c r="T6" s="93">
        <v>5000</v>
      </c>
      <c r="U6" s="93">
        <f t="shared" si="2"/>
        <v>963.32</v>
      </c>
      <c r="V6" s="70"/>
      <c r="W6" s="70"/>
      <c r="X6" s="70"/>
      <c r="Y6" s="70"/>
      <c r="Z6" s="70"/>
      <c r="AA6" s="70"/>
      <c r="AB6" s="92">
        <f t="shared" si="3"/>
        <v>0</v>
      </c>
      <c r="AC6" s="92">
        <f t="shared" si="4"/>
        <v>0</v>
      </c>
      <c r="AD6" s="98">
        <f t="shared" si="5"/>
        <v>24096.68</v>
      </c>
      <c r="AE6" s="99">
        <f>ROUND(MAX((AD6)*{0.03;0.1;0.2;0.25;0.3;0.35;0.45}-{0;2520;16920;31920;52920;85920;181920},0),2)</f>
        <v>722.9</v>
      </c>
      <c r="AF6" s="100">
        <v>0</v>
      </c>
      <c r="AG6" s="100">
        <f t="shared" si="6"/>
        <v>722.9</v>
      </c>
      <c r="AH6" s="109">
        <f t="shared" si="7"/>
        <v>28373.78</v>
      </c>
      <c r="AI6" s="108"/>
      <c r="AJ6" s="109">
        <f t="shared" si="8"/>
        <v>28373.78</v>
      </c>
      <c r="AK6" s="109"/>
      <c r="AL6" s="109">
        <f t="shared" si="9"/>
        <v>29096.68</v>
      </c>
      <c r="AM6" s="109"/>
      <c r="AN6" s="109"/>
      <c r="AO6" s="109"/>
      <c r="AP6" s="109"/>
      <c r="AQ6" s="109"/>
      <c r="AR6" s="117" t="str">
        <f t="shared" si="10"/>
        <v>正确</v>
      </c>
      <c r="AS6" s="117" t="str">
        <f>IF(SUMPRODUCT(N(E$1:E$17=E6))&gt;1,"重复","不")</f>
        <v>不</v>
      </c>
      <c r="AT6" s="117" t="str">
        <f>IF(SUMPRODUCT(N(AO$1:AO$17=AO6))&gt;1,"重复","不")</f>
        <v>重复</v>
      </c>
    </row>
    <row r="7" s="12" customFormat="1" ht="18" customHeight="1" spans="1:46">
      <c r="A7" s="36">
        <v>4</v>
      </c>
      <c r="B7" s="37" t="s">
        <v>184</v>
      </c>
      <c r="C7" s="37" t="s">
        <v>126</v>
      </c>
      <c r="D7" s="37" t="s">
        <v>120</v>
      </c>
      <c r="E7" s="352" t="s">
        <v>127</v>
      </c>
      <c r="F7" s="38" t="s">
        <v>185</v>
      </c>
      <c r="G7" s="39" t="s">
        <v>128</v>
      </c>
      <c r="H7" s="40"/>
      <c r="I7" s="40"/>
      <c r="J7" s="69"/>
      <c r="K7" s="40"/>
      <c r="L7" s="70">
        <v>9000</v>
      </c>
      <c r="M7" s="71">
        <v>338.16</v>
      </c>
      <c r="N7" s="71">
        <v>93.7</v>
      </c>
      <c r="O7" s="71">
        <v>21.14</v>
      </c>
      <c r="P7" s="71">
        <v>97</v>
      </c>
      <c r="Q7" s="70">
        <f t="shared" si="0"/>
        <v>550</v>
      </c>
      <c r="R7" s="70">
        <v>0</v>
      </c>
      <c r="S7" s="92">
        <f t="shared" si="1"/>
        <v>9000</v>
      </c>
      <c r="T7" s="93">
        <v>5000</v>
      </c>
      <c r="U7" s="93">
        <f t="shared" si="2"/>
        <v>550</v>
      </c>
      <c r="V7" s="70"/>
      <c r="W7" s="70"/>
      <c r="X7" s="70"/>
      <c r="Y7" s="70"/>
      <c r="Z7" s="70"/>
      <c r="AA7" s="70"/>
      <c r="AB7" s="92">
        <f t="shared" si="3"/>
        <v>0</v>
      </c>
      <c r="AC7" s="92">
        <f t="shared" si="4"/>
        <v>0</v>
      </c>
      <c r="AD7" s="98">
        <f t="shared" si="5"/>
        <v>3450</v>
      </c>
      <c r="AE7" s="99">
        <f>ROUND(MAX((AD7)*{0.03;0.1;0.2;0.25;0.3;0.35;0.45}-{0;2520;16920;31920;52920;85920;181920},0),2)</f>
        <v>103.5</v>
      </c>
      <c r="AF7" s="100">
        <v>0</v>
      </c>
      <c r="AG7" s="100">
        <f t="shared" si="6"/>
        <v>103.5</v>
      </c>
      <c r="AH7" s="109">
        <f t="shared" si="7"/>
        <v>8346.5</v>
      </c>
      <c r="AI7" s="108"/>
      <c r="AJ7" s="109">
        <f t="shared" si="8"/>
        <v>8346.5</v>
      </c>
      <c r="AK7" s="109"/>
      <c r="AL7" s="109">
        <f t="shared" si="9"/>
        <v>8450</v>
      </c>
      <c r="AM7" s="109"/>
      <c r="AN7" s="109"/>
      <c r="AO7" s="109"/>
      <c r="AP7" s="109"/>
      <c r="AQ7" s="109"/>
      <c r="AR7" s="117" t="str">
        <f t="shared" si="10"/>
        <v>正确</v>
      </c>
      <c r="AS7" s="117" t="str">
        <f>IF(SUMPRODUCT(N(E$1:E$17=E7))&gt;1,"重复","不")</f>
        <v>不</v>
      </c>
      <c r="AT7" s="117" t="str">
        <f>IF(SUMPRODUCT(N(AO$1:AO$17=AO7))&gt;1,"重复","不")</f>
        <v>重复</v>
      </c>
    </row>
    <row r="8" s="12" customFormat="1" ht="18" customHeight="1" spans="1:46">
      <c r="A8" s="36">
        <v>5</v>
      </c>
      <c r="B8" s="37" t="s">
        <v>184</v>
      </c>
      <c r="C8" s="37" t="s">
        <v>129</v>
      </c>
      <c r="D8" s="37" t="s">
        <v>120</v>
      </c>
      <c r="E8" s="352" t="s">
        <v>130</v>
      </c>
      <c r="F8" s="38" t="s">
        <v>185</v>
      </c>
      <c r="G8" s="39">
        <v>19356875630</v>
      </c>
      <c r="H8" s="40"/>
      <c r="I8" s="40"/>
      <c r="J8" s="69"/>
      <c r="K8" s="40"/>
      <c r="L8" s="70">
        <v>10500</v>
      </c>
      <c r="M8" s="71">
        <v>338.16</v>
      </c>
      <c r="N8" s="71">
        <v>90.54</v>
      </c>
      <c r="O8" s="71">
        <v>21.14</v>
      </c>
      <c r="P8" s="71">
        <v>344</v>
      </c>
      <c r="Q8" s="70">
        <f t="shared" si="0"/>
        <v>793.84</v>
      </c>
      <c r="R8" s="70">
        <v>0</v>
      </c>
      <c r="S8" s="92">
        <f t="shared" si="1"/>
        <v>10500</v>
      </c>
      <c r="T8" s="93">
        <v>5000</v>
      </c>
      <c r="U8" s="93">
        <f t="shared" si="2"/>
        <v>793.84</v>
      </c>
      <c r="V8" s="70"/>
      <c r="W8" s="70"/>
      <c r="X8" s="70"/>
      <c r="Y8" s="70"/>
      <c r="Z8" s="70"/>
      <c r="AA8" s="70"/>
      <c r="AB8" s="92">
        <f t="shared" si="3"/>
        <v>0</v>
      </c>
      <c r="AC8" s="92">
        <f t="shared" si="4"/>
        <v>0</v>
      </c>
      <c r="AD8" s="98">
        <f t="shared" si="5"/>
        <v>4706.16</v>
      </c>
      <c r="AE8" s="99">
        <f>ROUND(MAX((AD8)*{0.03;0.1;0.2;0.25;0.3;0.35;0.45}-{0;2520;16920;31920;52920;85920;181920},0),2)</f>
        <v>141.18</v>
      </c>
      <c r="AF8" s="100">
        <v>0</v>
      </c>
      <c r="AG8" s="100">
        <f t="shared" si="6"/>
        <v>141.18</v>
      </c>
      <c r="AH8" s="109">
        <f t="shared" si="7"/>
        <v>9564.98</v>
      </c>
      <c r="AI8" s="108"/>
      <c r="AJ8" s="109">
        <f t="shared" si="8"/>
        <v>9564.98</v>
      </c>
      <c r="AK8" s="109"/>
      <c r="AL8" s="109">
        <f t="shared" si="9"/>
        <v>9706.16</v>
      </c>
      <c r="AM8" s="109"/>
      <c r="AN8" s="109"/>
      <c r="AO8" s="109"/>
      <c r="AP8" s="109"/>
      <c r="AQ8" s="109"/>
      <c r="AR8" s="117" t="str">
        <f t="shared" si="10"/>
        <v>正确</v>
      </c>
      <c r="AS8" s="117" t="str">
        <f>IF(SUMPRODUCT(N(E$1:E$17=E8))&gt;1,"重复","不")</f>
        <v>不</v>
      </c>
      <c r="AT8" s="117" t="str">
        <f>IF(SUMPRODUCT(N(AO$1:AO$17=AO8))&gt;1,"重复","不")</f>
        <v>重复</v>
      </c>
    </row>
    <row r="9" s="12" customFormat="1" ht="18" customHeight="1" spans="1:46">
      <c r="A9" s="36">
        <v>6</v>
      </c>
      <c r="B9" s="37" t="s">
        <v>184</v>
      </c>
      <c r="C9" s="37" t="s">
        <v>131</v>
      </c>
      <c r="D9" s="37" t="s">
        <v>120</v>
      </c>
      <c r="E9" s="352" t="s">
        <v>132</v>
      </c>
      <c r="F9" s="38" t="s">
        <v>185</v>
      </c>
      <c r="G9" s="39">
        <v>13973652684</v>
      </c>
      <c r="H9" s="40"/>
      <c r="I9" s="40"/>
      <c r="J9" s="69"/>
      <c r="K9" s="40"/>
      <c r="L9" s="70">
        <v>6500</v>
      </c>
      <c r="M9" s="71">
        <v>322.16</v>
      </c>
      <c r="N9" s="71">
        <v>95.54</v>
      </c>
      <c r="O9" s="71">
        <v>12.08</v>
      </c>
      <c r="P9" s="71">
        <v>100</v>
      </c>
      <c r="Q9" s="70">
        <f t="shared" si="0"/>
        <v>529.78</v>
      </c>
      <c r="R9" s="70">
        <v>0</v>
      </c>
      <c r="S9" s="92">
        <f t="shared" si="1"/>
        <v>6500</v>
      </c>
      <c r="T9" s="93">
        <v>5000</v>
      </c>
      <c r="U9" s="93">
        <f t="shared" si="2"/>
        <v>529.78</v>
      </c>
      <c r="V9" s="70"/>
      <c r="W9" s="70"/>
      <c r="X9" s="70"/>
      <c r="Y9" s="70"/>
      <c r="Z9" s="70"/>
      <c r="AA9" s="70"/>
      <c r="AB9" s="92">
        <f t="shared" si="3"/>
        <v>0</v>
      </c>
      <c r="AC9" s="92">
        <f t="shared" si="4"/>
        <v>0</v>
      </c>
      <c r="AD9" s="98">
        <f t="shared" si="5"/>
        <v>970.22</v>
      </c>
      <c r="AE9" s="99">
        <f>ROUND(MAX((AD9)*{0.03;0.1;0.2;0.25;0.3;0.35;0.45}-{0;2520;16920;31920;52920;85920;181920},0),2)</f>
        <v>29.11</v>
      </c>
      <c r="AF9" s="100">
        <v>0</v>
      </c>
      <c r="AG9" s="100">
        <f t="shared" si="6"/>
        <v>29.11</v>
      </c>
      <c r="AH9" s="109">
        <f t="shared" si="7"/>
        <v>5941.11</v>
      </c>
      <c r="AI9" s="108"/>
      <c r="AJ9" s="109">
        <f t="shared" si="8"/>
        <v>5941.11</v>
      </c>
      <c r="AK9" s="109"/>
      <c r="AL9" s="109">
        <f t="shared" si="9"/>
        <v>5970.22</v>
      </c>
      <c r="AM9" s="109"/>
      <c r="AN9" s="109"/>
      <c r="AO9" s="109"/>
      <c r="AP9" s="109"/>
      <c r="AQ9" s="109"/>
      <c r="AR9" s="117" t="str">
        <f t="shared" si="10"/>
        <v>正确</v>
      </c>
      <c r="AS9" s="117" t="str">
        <f>IF(SUMPRODUCT(N(E$1:E$17=E9))&gt;1,"重复","不")</f>
        <v>不</v>
      </c>
      <c r="AT9" s="117" t="str">
        <f>IF(SUMPRODUCT(N(AO$1:AO$17=AO9))&gt;1,"重复","不")</f>
        <v>重复</v>
      </c>
    </row>
    <row r="10" s="12" customFormat="1" ht="18" customHeight="1" spans="1:46">
      <c r="A10" s="36">
        <v>7</v>
      </c>
      <c r="B10" s="37" t="s">
        <v>184</v>
      </c>
      <c r="C10" s="37" t="s">
        <v>192</v>
      </c>
      <c r="D10" s="37" t="s">
        <v>120</v>
      </c>
      <c r="E10" s="352" t="s">
        <v>193</v>
      </c>
      <c r="F10" s="38" t="s">
        <v>187</v>
      </c>
      <c r="G10" s="39" t="s">
        <v>194</v>
      </c>
      <c r="H10" s="40"/>
      <c r="I10" s="40"/>
      <c r="J10" s="69"/>
      <c r="K10" s="40"/>
      <c r="L10" s="70">
        <v>4422.9</v>
      </c>
      <c r="M10" s="71">
        <v>401.04</v>
      </c>
      <c r="N10" s="71">
        <v>122.26</v>
      </c>
      <c r="O10" s="71">
        <v>25.07</v>
      </c>
      <c r="P10" s="71">
        <v>116</v>
      </c>
      <c r="Q10" s="70">
        <f t="shared" si="0"/>
        <v>664.37</v>
      </c>
      <c r="R10" s="70">
        <v>0</v>
      </c>
      <c r="S10" s="92">
        <f t="shared" si="1"/>
        <v>4422.9</v>
      </c>
      <c r="T10" s="93">
        <v>5000</v>
      </c>
      <c r="U10" s="93">
        <f t="shared" si="2"/>
        <v>664.37</v>
      </c>
      <c r="V10" s="70"/>
      <c r="W10" s="70"/>
      <c r="X10" s="70"/>
      <c r="Y10" s="70"/>
      <c r="Z10" s="70"/>
      <c r="AA10" s="70"/>
      <c r="AB10" s="92">
        <f t="shared" si="3"/>
        <v>0</v>
      </c>
      <c r="AC10" s="92">
        <f t="shared" si="4"/>
        <v>0</v>
      </c>
      <c r="AD10" s="98">
        <f t="shared" si="5"/>
        <v>-1241.47</v>
      </c>
      <c r="AE10" s="99">
        <f>ROUND(MAX((AD10)*{0.03;0.1;0.2;0.25;0.3;0.35;0.45}-{0;2520;16920;31920;52920;85920;181920},0),2)</f>
        <v>0</v>
      </c>
      <c r="AF10" s="100">
        <v>0</v>
      </c>
      <c r="AG10" s="100">
        <f t="shared" si="6"/>
        <v>0</v>
      </c>
      <c r="AH10" s="109">
        <f t="shared" si="7"/>
        <v>3758.53</v>
      </c>
      <c r="AI10" s="108"/>
      <c r="AJ10" s="109">
        <f t="shared" si="8"/>
        <v>3758.53</v>
      </c>
      <c r="AK10" s="109"/>
      <c r="AL10" s="109">
        <f t="shared" si="9"/>
        <v>3758.53</v>
      </c>
      <c r="AM10" s="109"/>
      <c r="AN10" s="109"/>
      <c r="AO10" s="109"/>
      <c r="AP10" s="109"/>
      <c r="AQ10" s="109"/>
      <c r="AR10" s="117" t="str">
        <f t="shared" si="10"/>
        <v>正确</v>
      </c>
      <c r="AS10" s="117" t="str">
        <f>IF(SUMPRODUCT(N(E$1:E$17=E10))&gt;1,"重复","不")</f>
        <v>不</v>
      </c>
      <c r="AT10" s="117" t="str">
        <f>IF(SUMPRODUCT(N(AO$1:AO$17=AO10))&gt;1,"重复","不")</f>
        <v>重复</v>
      </c>
    </row>
    <row r="11" s="12" customFormat="1" ht="18" customHeight="1" spans="1:46">
      <c r="A11" s="36">
        <v>8</v>
      </c>
      <c r="B11" s="37" t="s">
        <v>184</v>
      </c>
      <c r="C11" s="37" t="s">
        <v>133</v>
      </c>
      <c r="D11" s="37" t="s">
        <v>120</v>
      </c>
      <c r="E11" s="352" t="s">
        <v>134</v>
      </c>
      <c r="F11" s="38" t="s">
        <v>185</v>
      </c>
      <c r="G11" s="39">
        <v>18356553626</v>
      </c>
      <c r="H11" s="40"/>
      <c r="I11" s="40"/>
      <c r="J11" s="69"/>
      <c r="K11" s="40"/>
      <c r="L11" s="70">
        <v>9000</v>
      </c>
      <c r="M11" s="71">
        <v>338.16</v>
      </c>
      <c r="N11" s="71">
        <v>124.54</v>
      </c>
      <c r="O11" s="71">
        <v>21.14</v>
      </c>
      <c r="P11" s="71">
        <v>97</v>
      </c>
      <c r="Q11" s="70">
        <f t="shared" si="0"/>
        <v>580.84</v>
      </c>
      <c r="R11" s="70">
        <v>0</v>
      </c>
      <c r="S11" s="92">
        <f t="shared" si="1"/>
        <v>9000</v>
      </c>
      <c r="T11" s="93">
        <v>5000</v>
      </c>
      <c r="U11" s="93">
        <f t="shared" si="2"/>
        <v>580.84</v>
      </c>
      <c r="V11" s="70"/>
      <c r="W11" s="70"/>
      <c r="X11" s="70"/>
      <c r="Y11" s="70"/>
      <c r="Z11" s="70"/>
      <c r="AA11" s="70"/>
      <c r="AB11" s="92">
        <f t="shared" si="3"/>
        <v>0</v>
      </c>
      <c r="AC11" s="92">
        <f t="shared" si="4"/>
        <v>0</v>
      </c>
      <c r="AD11" s="98">
        <f t="shared" si="5"/>
        <v>3419.16</v>
      </c>
      <c r="AE11" s="99">
        <f>ROUND(MAX((AD11)*{0.03;0.1;0.2;0.25;0.3;0.35;0.45}-{0;2520;16920;31920;52920;85920;181920},0),2)</f>
        <v>102.57</v>
      </c>
      <c r="AF11" s="100">
        <v>0</v>
      </c>
      <c r="AG11" s="100">
        <f t="shared" si="6"/>
        <v>102.57</v>
      </c>
      <c r="AH11" s="109">
        <f t="shared" si="7"/>
        <v>8316.59</v>
      </c>
      <c r="AI11" s="108"/>
      <c r="AJ11" s="109">
        <f t="shared" si="8"/>
        <v>8316.59</v>
      </c>
      <c r="AK11" s="109"/>
      <c r="AL11" s="109">
        <f t="shared" si="9"/>
        <v>8419.16</v>
      </c>
      <c r="AM11" s="109"/>
      <c r="AN11" s="109"/>
      <c r="AO11" s="109"/>
      <c r="AP11" s="109"/>
      <c r="AQ11" s="109"/>
      <c r="AR11" s="117" t="str">
        <f t="shared" si="10"/>
        <v>正确</v>
      </c>
      <c r="AS11" s="117" t="str">
        <f>IF(SUMPRODUCT(N(E$1:E$17=E11))&gt;1,"重复","不")</f>
        <v>不</v>
      </c>
      <c r="AT11" s="117" t="str">
        <f>IF(SUMPRODUCT(N(AO$1:AO$17=AO11))&gt;1,"重复","不")</f>
        <v>重复</v>
      </c>
    </row>
    <row r="12" s="12" customFormat="1" ht="18" customHeight="1" spans="1:46">
      <c r="A12" s="36">
        <v>9</v>
      </c>
      <c r="B12" s="37" t="s">
        <v>184</v>
      </c>
      <c r="C12" s="37" t="s">
        <v>135</v>
      </c>
      <c r="D12" s="37" t="s">
        <v>120</v>
      </c>
      <c r="E12" s="352" t="s">
        <v>136</v>
      </c>
      <c r="F12" s="38" t="s">
        <v>185</v>
      </c>
      <c r="G12" s="39">
        <v>18326897140</v>
      </c>
      <c r="H12" s="40"/>
      <c r="I12" s="40"/>
      <c r="J12" s="69"/>
      <c r="K12" s="40"/>
      <c r="L12" s="70">
        <v>7500</v>
      </c>
      <c r="M12" s="71">
        <v>338.16</v>
      </c>
      <c r="N12" s="71">
        <v>90.54</v>
      </c>
      <c r="O12" s="71">
        <v>21.14</v>
      </c>
      <c r="P12" s="71">
        <v>344</v>
      </c>
      <c r="Q12" s="70">
        <f t="shared" si="0"/>
        <v>793.84</v>
      </c>
      <c r="R12" s="70">
        <v>0</v>
      </c>
      <c r="S12" s="92">
        <f t="shared" si="1"/>
        <v>7500</v>
      </c>
      <c r="T12" s="93">
        <v>5000</v>
      </c>
      <c r="U12" s="93">
        <f t="shared" si="2"/>
        <v>793.84</v>
      </c>
      <c r="V12" s="70"/>
      <c r="W12" s="70"/>
      <c r="X12" s="70"/>
      <c r="Y12" s="70"/>
      <c r="Z12" s="70"/>
      <c r="AA12" s="70"/>
      <c r="AB12" s="92">
        <f t="shared" si="3"/>
        <v>0</v>
      </c>
      <c r="AC12" s="92">
        <f t="shared" si="4"/>
        <v>0</v>
      </c>
      <c r="AD12" s="98">
        <f t="shared" si="5"/>
        <v>1706.16</v>
      </c>
      <c r="AE12" s="99">
        <f>ROUND(MAX((AD12)*{0.03;0.1;0.2;0.25;0.3;0.35;0.45}-{0;2520;16920;31920;52920;85920;181920},0),2)</f>
        <v>51.18</v>
      </c>
      <c r="AF12" s="100">
        <v>0</v>
      </c>
      <c r="AG12" s="100">
        <f t="shared" si="6"/>
        <v>51.18</v>
      </c>
      <c r="AH12" s="109">
        <f t="shared" si="7"/>
        <v>6654.98</v>
      </c>
      <c r="AI12" s="108"/>
      <c r="AJ12" s="109">
        <f t="shared" si="8"/>
        <v>6654.98</v>
      </c>
      <c r="AK12" s="109"/>
      <c r="AL12" s="109">
        <f t="shared" si="9"/>
        <v>6706.16</v>
      </c>
      <c r="AM12" s="109"/>
      <c r="AN12" s="109"/>
      <c r="AO12" s="109"/>
      <c r="AP12" s="109"/>
      <c r="AQ12" s="109"/>
      <c r="AR12" s="117" t="str">
        <f t="shared" si="10"/>
        <v>正确</v>
      </c>
      <c r="AS12" s="117" t="str">
        <f>IF(SUMPRODUCT(N(E$1:E$17=E12))&gt;1,"重复","不")</f>
        <v>不</v>
      </c>
      <c r="AT12" s="117" t="str">
        <f>IF(SUMPRODUCT(N(AO$1:AO$17=AO12))&gt;1,"重复","不")</f>
        <v>重复</v>
      </c>
    </row>
    <row r="13" s="12" customFormat="1" ht="18" customHeight="1" spans="1:46">
      <c r="A13" s="36">
        <v>10</v>
      </c>
      <c r="B13" s="37" t="s">
        <v>184</v>
      </c>
      <c r="C13" s="37" t="s">
        <v>137</v>
      </c>
      <c r="D13" s="37" t="s">
        <v>120</v>
      </c>
      <c r="E13" s="352" t="s">
        <v>138</v>
      </c>
      <c r="F13" s="38" t="s">
        <v>185</v>
      </c>
      <c r="G13" s="39">
        <v>17201857014</v>
      </c>
      <c r="H13" s="40"/>
      <c r="I13" s="40"/>
      <c r="J13" s="69"/>
      <c r="K13" s="40"/>
      <c r="L13" s="70">
        <v>8000</v>
      </c>
      <c r="M13" s="71">
        <v>338.16</v>
      </c>
      <c r="N13" s="71">
        <v>90.54</v>
      </c>
      <c r="O13" s="71">
        <v>21.14</v>
      </c>
      <c r="P13" s="71">
        <v>344</v>
      </c>
      <c r="Q13" s="70">
        <f t="shared" si="0"/>
        <v>793.84</v>
      </c>
      <c r="R13" s="70">
        <v>0</v>
      </c>
      <c r="S13" s="92">
        <f t="shared" si="1"/>
        <v>8000</v>
      </c>
      <c r="T13" s="93">
        <v>5000</v>
      </c>
      <c r="U13" s="93">
        <f t="shared" si="2"/>
        <v>793.84</v>
      </c>
      <c r="V13" s="70"/>
      <c r="W13" s="70"/>
      <c r="X13" s="70"/>
      <c r="Y13" s="70"/>
      <c r="Z13" s="70"/>
      <c r="AA13" s="70"/>
      <c r="AB13" s="92">
        <f t="shared" si="3"/>
        <v>0</v>
      </c>
      <c r="AC13" s="92">
        <f t="shared" si="4"/>
        <v>0</v>
      </c>
      <c r="AD13" s="98">
        <f t="shared" si="5"/>
        <v>2206.16</v>
      </c>
      <c r="AE13" s="99">
        <f>ROUND(MAX((AD13)*{0.03;0.1;0.2;0.25;0.3;0.35;0.45}-{0;2520;16920;31920;52920;85920;181920},0),2)</f>
        <v>66.18</v>
      </c>
      <c r="AF13" s="100">
        <v>0</v>
      </c>
      <c r="AG13" s="100">
        <f t="shared" si="6"/>
        <v>66.18</v>
      </c>
      <c r="AH13" s="109">
        <f t="shared" si="7"/>
        <v>7139.98</v>
      </c>
      <c r="AI13" s="108"/>
      <c r="AJ13" s="109">
        <f t="shared" si="8"/>
        <v>7139.98</v>
      </c>
      <c r="AK13" s="109"/>
      <c r="AL13" s="109">
        <f t="shared" si="9"/>
        <v>7206.16</v>
      </c>
      <c r="AM13" s="109"/>
      <c r="AN13" s="109"/>
      <c r="AO13" s="109"/>
      <c r="AP13" s="109"/>
      <c r="AQ13" s="109"/>
      <c r="AR13" s="117" t="str">
        <f t="shared" si="10"/>
        <v>正确</v>
      </c>
      <c r="AS13" s="117" t="str">
        <f>IF(SUMPRODUCT(N(E$1:E$17=E13))&gt;1,"重复","不")</f>
        <v>不</v>
      </c>
      <c r="AT13" s="117" t="str">
        <f>IF(SUMPRODUCT(N(AO$1:AO$17=AO13))&gt;1,"重复","不")</f>
        <v>重复</v>
      </c>
    </row>
    <row r="14" s="12" customFormat="1" ht="18" customHeight="1" spans="1:46">
      <c r="A14" s="36">
        <v>11</v>
      </c>
      <c r="B14" s="37" t="s">
        <v>184</v>
      </c>
      <c r="C14" s="37" t="s">
        <v>139</v>
      </c>
      <c r="D14" s="37" t="s">
        <v>120</v>
      </c>
      <c r="E14" s="352" t="s">
        <v>140</v>
      </c>
      <c r="F14" s="38" t="s">
        <v>187</v>
      </c>
      <c r="G14" s="39"/>
      <c r="H14" s="40"/>
      <c r="I14" s="40"/>
      <c r="J14" s="69"/>
      <c r="K14" s="40"/>
      <c r="L14" s="70">
        <v>6000</v>
      </c>
      <c r="M14" s="71">
        <v>338.16</v>
      </c>
      <c r="N14" s="71">
        <v>84.54</v>
      </c>
      <c r="O14" s="71">
        <v>21.14</v>
      </c>
      <c r="P14" s="71">
        <v>103</v>
      </c>
      <c r="Q14" s="70">
        <f t="shared" si="0"/>
        <v>546.84</v>
      </c>
      <c r="R14" s="70">
        <v>0</v>
      </c>
      <c r="S14" s="92">
        <f t="shared" si="1"/>
        <v>6000</v>
      </c>
      <c r="T14" s="93">
        <v>5000</v>
      </c>
      <c r="U14" s="93">
        <f t="shared" si="2"/>
        <v>546.84</v>
      </c>
      <c r="V14" s="70"/>
      <c r="W14" s="70"/>
      <c r="X14" s="70"/>
      <c r="Y14" s="70"/>
      <c r="Z14" s="70"/>
      <c r="AA14" s="70"/>
      <c r="AB14" s="92">
        <f t="shared" si="3"/>
        <v>0</v>
      </c>
      <c r="AC14" s="92">
        <f t="shared" si="4"/>
        <v>0</v>
      </c>
      <c r="AD14" s="98">
        <f t="shared" si="5"/>
        <v>453.16</v>
      </c>
      <c r="AE14" s="99">
        <f>ROUND(MAX((AD14)*{0.03;0.1;0.2;0.25;0.3;0.35;0.45}-{0;2520;16920;31920;52920;85920;181920},0),2)</f>
        <v>13.59</v>
      </c>
      <c r="AF14" s="100">
        <v>0</v>
      </c>
      <c r="AG14" s="100">
        <f t="shared" si="6"/>
        <v>13.59</v>
      </c>
      <c r="AH14" s="109">
        <f t="shared" si="7"/>
        <v>5439.57</v>
      </c>
      <c r="AI14" s="108"/>
      <c r="AJ14" s="109">
        <f t="shared" si="8"/>
        <v>5439.57</v>
      </c>
      <c r="AK14" s="109"/>
      <c r="AL14" s="109">
        <f t="shared" si="9"/>
        <v>5453.16</v>
      </c>
      <c r="AM14" s="109"/>
      <c r="AN14" s="109"/>
      <c r="AO14" s="109"/>
      <c r="AP14" s="109"/>
      <c r="AQ14" s="109"/>
      <c r="AR14" s="117" t="str">
        <f t="shared" si="10"/>
        <v>正确</v>
      </c>
      <c r="AS14" s="117" t="str">
        <f>IF(SUMPRODUCT(N(E$1:E$17=E14))&gt;1,"重复","不")</f>
        <v>不</v>
      </c>
      <c r="AT14" s="117" t="str">
        <f>IF(SUMPRODUCT(N(AO$1:AO$17=AO14))&gt;1,"重复","不")</f>
        <v>重复</v>
      </c>
    </row>
    <row r="15" s="12" customFormat="1" ht="18" customHeight="1" spans="1:46">
      <c r="A15" s="36">
        <v>12</v>
      </c>
      <c r="B15" s="37" t="s">
        <v>184</v>
      </c>
      <c r="C15" s="37" t="s">
        <v>141</v>
      </c>
      <c r="D15" s="37" t="s">
        <v>120</v>
      </c>
      <c r="E15" s="352" t="s">
        <v>142</v>
      </c>
      <c r="F15" s="38" t="s">
        <v>185</v>
      </c>
      <c r="G15" s="39">
        <v>15056587375</v>
      </c>
      <c r="H15" s="40"/>
      <c r="I15" s="40"/>
      <c r="J15" s="69"/>
      <c r="K15" s="40"/>
      <c r="L15" s="70">
        <v>10000</v>
      </c>
      <c r="M15" s="71">
        <v>338.16</v>
      </c>
      <c r="N15" s="71">
        <v>93.7</v>
      </c>
      <c r="O15" s="71">
        <v>21.14</v>
      </c>
      <c r="P15" s="71">
        <v>97</v>
      </c>
      <c r="Q15" s="70">
        <f t="shared" si="0"/>
        <v>550</v>
      </c>
      <c r="R15" s="70">
        <v>0</v>
      </c>
      <c r="S15" s="92">
        <f t="shared" si="1"/>
        <v>10000</v>
      </c>
      <c r="T15" s="93">
        <v>5000</v>
      </c>
      <c r="U15" s="93">
        <f t="shared" si="2"/>
        <v>550</v>
      </c>
      <c r="V15" s="70"/>
      <c r="W15" s="70"/>
      <c r="X15" s="70"/>
      <c r="Y15" s="70"/>
      <c r="Z15" s="70"/>
      <c r="AA15" s="70"/>
      <c r="AB15" s="92">
        <f t="shared" si="3"/>
        <v>0</v>
      </c>
      <c r="AC15" s="92">
        <f t="shared" si="4"/>
        <v>0</v>
      </c>
      <c r="AD15" s="98">
        <f t="shared" si="5"/>
        <v>4450</v>
      </c>
      <c r="AE15" s="99">
        <f>ROUND(MAX((AD15)*{0.03;0.1;0.2;0.25;0.3;0.35;0.45}-{0;2520;16920;31920;52920;85920;181920},0),2)</f>
        <v>133.5</v>
      </c>
      <c r="AF15" s="100">
        <v>0</v>
      </c>
      <c r="AG15" s="100">
        <f t="shared" si="6"/>
        <v>133.5</v>
      </c>
      <c r="AH15" s="109">
        <f t="shared" si="7"/>
        <v>9316.5</v>
      </c>
      <c r="AI15" s="108"/>
      <c r="AJ15" s="109">
        <f t="shared" si="8"/>
        <v>9316.5</v>
      </c>
      <c r="AK15" s="109"/>
      <c r="AL15" s="109">
        <f t="shared" si="9"/>
        <v>9450</v>
      </c>
      <c r="AM15" s="109"/>
      <c r="AN15" s="109"/>
      <c r="AO15" s="109"/>
      <c r="AP15" s="109"/>
      <c r="AQ15" s="109"/>
      <c r="AR15" s="117" t="str">
        <f t="shared" si="10"/>
        <v>正确</v>
      </c>
      <c r="AS15" s="117" t="str">
        <f>IF(SUMPRODUCT(N(E$1:E$17=E15))&gt;1,"重复","不")</f>
        <v>不</v>
      </c>
      <c r="AT15" s="117" t="str">
        <f>IF(SUMPRODUCT(N(AO$1:AO$17=AO15))&gt;1,"重复","不")</f>
        <v>重复</v>
      </c>
    </row>
    <row r="16" s="12" customFormat="1" ht="18" customHeight="1" spans="1:46">
      <c r="A16" s="36">
        <v>13</v>
      </c>
      <c r="B16" s="37" t="s">
        <v>184</v>
      </c>
      <c r="C16" s="37" t="s">
        <v>204</v>
      </c>
      <c r="D16" s="37" t="s">
        <v>120</v>
      </c>
      <c r="E16" s="37" t="s">
        <v>205</v>
      </c>
      <c r="F16" s="38" t="s">
        <v>185</v>
      </c>
      <c r="G16" s="39">
        <v>13711361074</v>
      </c>
      <c r="H16" s="40"/>
      <c r="I16" s="40"/>
      <c r="J16" s="69"/>
      <c r="K16" s="40"/>
      <c r="L16" s="70">
        <v>7600</v>
      </c>
      <c r="M16" s="71">
        <v>359.52</v>
      </c>
      <c r="N16" s="71">
        <v>96.88</v>
      </c>
      <c r="O16" s="71">
        <v>13.48</v>
      </c>
      <c r="P16" s="71">
        <v>110.5</v>
      </c>
      <c r="Q16" s="70">
        <f t="shared" si="0"/>
        <v>580.38</v>
      </c>
      <c r="R16" s="70">
        <v>0</v>
      </c>
      <c r="S16" s="92">
        <f t="shared" si="1"/>
        <v>7600</v>
      </c>
      <c r="T16" s="93">
        <v>5000</v>
      </c>
      <c r="U16" s="93">
        <f t="shared" si="2"/>
        <v>580.38</v>
      </c>
      <c r="V16" s="70"/>
      <c r="W16" s="70"/>
      <c r="X16" s="70"/>
      <c r="Y16" s="70"/>
      <c r="Z16" s="70"/>
      <c r="AA16" s="70"/>
      <c r="AB16" s="92">
        <f t="shared" si="3"/>
        <v>0</v>
      </c>
      <c r="AC16" s="92">
        <f t="shared" si="4"/>
        <v>0</v>
      </c>
      <c r="AD16" s="98">
        <f t="shared" si="5"/>
        <v>2019.62</v>
      </c>
      <c r="AE16" s="99">
        <f>ROUND(MAX((AD16)*{0.03;0.1;0.2;0.25;0.3;0.35;0.45}-{0;2520;16920;31920;52920;85920;181920},0),2)</f>
        <v>60.59</v>
      </c>
      <c r="AF16" s="100">
        <v>0</v>
      </c>
      <c r="AG16" s="100">
        <f t="shared" si="6"/>
        <v>60.59</v>
      </c>
      <c r="AH16" s="109">
        <f t="shared" si="7"/>
        <v>6959.03</v>
      </c>
      <c r="AI16" s="108"/>
      <c r="AJ16" s="109">
        <f t="shared" si="8"/>
        <v>6959.03</v>
      </c>
      <c r="AK16" s="109"/>
      <c r="AL16" s="109">
        <f t="shared" si="9"/>
        <v>7019.62</v>
      </c>
      <c r="AM16" s="109"/>
      <c r="AN16" s="109"/>
      <c r="AO16" s="109"/>
      <c r="AP16" s="109"/>
      <c r="AQ16" s="109"/>
      <c r="AR16" s="117" t="str">
        <f t="shared" si="10"/>
        <v>正确</v>
      </c>
      <c r="AS16" s="117" t="str">
        <f>IF(SUMPRODUCT(N(E$1:E$17=E16))&gt;1,"重复","不")</f>
        <v>不</v>
      </c>
      <c r="AT16" s="117" t="str">
        <f>IF(SUMPRODUCT(N(AO$1:AO$17=AO16))&gt;1,"重复","不")</f>
        <v>重复</v>
      </c>
    </row>
    <row r="17" s="12" customFormat="1" ht="18" customHeight="1" spans="1:46">
      <c r="A17" s="36"/>
      <c r="B17" s="37"/>
      <c r="C17" s="37"/>
      <c r="D17" s="37"/>
      <c r="E17" s="37"/>
      <c r="F17" s="38"/>
      <c r="G17" s="39"/>
      <c r="H17" s="40"/>
      <c r="I17" s="40"/>
      <c r="J17" s="69"/>
      <c r="K17" s="40"/>
      <c r="L17" s="70"/>
      <c r="M17" s="71"/>
      <c r="N17" s="71"/>
      <c r="O17" s="71"/>
      <c r="P17" s="71"/>
      <c r="Q17" s="89"/>
      <c r="R17" s="70"/>
      <c r="S17" s="90"/>
      <c r="T17" s="91"/>
      <c r="U17" s="91"/>
      <c r="V17" s="125"/>
      <c r="W17" s="125"/>
      <c r="X17" s="125"/>
      <c r="Y17" s="125"/>
      <c r="Z17" s="125"/>
      <c r="AA17" s="125"/>
      <c r="AB17" s="90"/>
      <c r="AC17" s="90"/>
      <c r="AD17" s="95"/>
      <c r="AE17" s="96"/>
      <c r="AF17" s="97"/>
      <c r="AG17" s="97"/>
      <c r="AH17" s="107"/>
      <c r="AI17" s="108"/>
      <c r="AJ17" s="107"/>
      <c r="AK17" s="109"/>
      <c r="AL17" s="107"/>
      <c r="AM17" s="109"/>
      <c r="AN17" s="109"/>
      <c r="AO17" s="109"/>
      <c r="AP17" s="109"/>
      <c r="AQ17" s="109"/>
      <c r="AR17" s="116"/>
      <c r="AS17" s="116"/>
      <c r="AT17" s="116"/>
    </row>
    <row r="18" s="13" customFormat="1" ht="18" customHeight="1" spans="1:46">
      <c r="A18" s="41"/>
      <c r="B18" s="42" t="s">
        <v>143</v>
      </c>
      <c r="C18" s="42"/>
      <c r="D18" s="43"/>
      <c r="E18" s="44"/>
      <c r="F18" s="45"/>
      <c r="G18" s="46"/>
      <c r="H18" s="45"/>
      <c r="I18" s="72"/>
      <c r="J18" s="73"/>
      <c r="K18" s="72"/>
      <c r="L18" s="74">
        <f>SUM(L4:L17)</f>
        <v>122742.9</v>
      </c>
      <c r="M18" s="74">
        <f t="shared" ref="M18:AL18" si="11">SUM(M4:M17)</f>
        <v>4946.09</v>
      </c>
      <c r="N18" s="74">
        <f t="shared" si="11"/>
        <v>1349.72</v>
      </c>
      <c r="O18" s="74">
        <f t="shared" si="11"/>
        <v>253.05</v>
      </c>
      <c r="P18" s="74">
        <f t="shared" si="11"/>
        <v>2232.9</v>
      </c>
      <c r="Q18" s="74">
        <f t="shared" si="11"/>
        <v>8781.76</v>
      </c>
      <c r="R18" s="74">
        <f t="shared" si="11"/>
        <v>0</v>
      </c>
      <c r="S18" s="74">
        <f t="shared" si="11"/>
        <v>122742.9</v>
      </c>
      <c r="T18" s="74">
        <f t="shared" si="11"/>
        <v>65000</v>
      </c>
      <c r="U18" s="74">
        <f t="shared" si="11"/>
        <v>8781.76</v>
      </c>
      <c r="V18" s="74">
        <f t="shared" si="11"/>
        <v>0</v>
      </c>
      <c r="W18" s="74">
        <f t="shared" si="11"/>
        <v>0</v>
      </c>
      <c r="X18" s="74">
        <f t="shared" si="11"/>
        <v>0</v>
      </c>
      <c r="Y18" s="74">
        <f t="shared" si="11"/>
        <v>0</v>
      </c>
      <c r="Z18" s="74">
        <f t="shared" si="11"/>
        <v>0</v>
      </c>
      <c r="AA18" s="74">
        <f t="shared" si="11"/>
        <v>0</v>
      </c>
      <c r="AB18" s="74">
        <f t="shared" si="11"/>
        <v>0</v>
      </c>
      <c r="AC18" s="74">
        <f t="shared" si="11"/>
        <v>0</v>
      </c>
      <c r="AD18" s="74">
        <f t="shared" si="11"/>
        <v>48961.14</v>
      </c>
      <c r="AE18" s="74">
        <f t="shared" si="11"/>
        <v>1506.06</v>
      </c>
      <c r="AF18" s="74">
        <f t="shared" si="11"/>
        <v>0</v>
      </c>
      <c r="AG18" s="74">
        <f t="shared" si="11"/>
        <v>1506.06</v>
      </c>
      <c r="AH18" s="74">
        <f t="shared" si="11"/>
        <v>112455.08</v>
      </c>
      <c r="AI18" s="74">
        <f t="shared" si="11"/>
        <v>0</v>
      </c>
      <c r="AJ18" s="74">
        <f t="shared" si="11"/>
        <v>112455.08</v>
      </c>
      <c r="AK18" s="74">
        <f t="shared" si="11"/>
        <v>0</v>
      </c>
      <c r="AL18" s="74">
        <f t="shared" si="11"/>
        <v>113961.14</v>
      </c>
      <c r="AM18" s="110"/>
      <c r="AN18" s="110"/>
      <c r="AO18" s="110"/>
      <c r="AP18" s="110"/>
      <c r="AQ18" s="110"/>
      <c r="AR18" s="45"/>
      <c r="AS18" s="45"/>
      <c r="AT18" s="118"/>
    </row>
    <row r="19" spans="38:38">
      <c r="AL19" s="15">
        <v>31841.4778</v>
      </c>
    </row>
    <row r="21" spans="30:30">
      <c r="AD21" s="101"/>
    </row>
    <row r="22" ht="18.75" customHeight="1" spans="2:30">
      <c r="B22" s="47" t="s">
        <v>144</v>
      </c>
      <c r="C22" s="47" t="s">
        <v>145</v>
      </c>
      <c r="D22" s="47" t="s">
        <v>225</v>
      </c>
      <c r="E22" s="47" t="s">
        <v>23</v>
      </c>
      <c r="AD22" s="10"/>
    </row>
    <row r="23" ht="18.75" customHeight="1" spans="2:5">
      <c r="B23" s="48">
        <f>AJ18</f>
        <v>112455.08</v>
      </c>
      <c r="C23" s="48">
        <f>AG18</f>
        <v>1506.06</v>
      </c>
      <c r="D23" s="48">
        <f>AK18</f>
        <v>0</v>
      </c>
      <c r="E23" s="48">
        <f>B23+C23+D23</f>
        <v>113961.14</v>
      </c>
    </row>
    <row r="24" spans="2:5">
      <c r="B24" s="49"/>
      <c r="C24" s="49"/>
      <c r="D24" s="49"/>
      <c r="E24" s="49"/>
    </row>
    <row r="25" s="14" customFormat="1" spans="1:35">
      <c r="A25" s="51" t="s">
        <v>206</v>
      </c>
      <c r="B25" s="52" t="s">
        <v>207</v>
      </c>
      <c r="C25" s="50"/>
      <c r="D25" s="50"/>
      <c r="E25" s="50"/>
      <c r="G25" s="53"/>
      <c r="J25" s="75"/>
      <c r="M25" s="76"/>
      <c r="AI25" s="112"/>
    </row>
    <row r="26" s="14" customFormat="1" spans="1:35">
      <c r="A26" s="54"/>
      <c r="B26" s="55" t="s">
        <v>208</v>
      </c>
      <c r="C26" s="50"/>
      <c r="D26" s="50"/>
      <c r="E26" s="50"/>
      <c r="G26" s="53"/>
      <c r="J26" s="75"/>
      <c r="M26" s="76"/>
      <c r="AI26" s="112"/>
    </row>
    <row r="27" s="14" customFormat="1" spans="1:35">
      <c r="A27" s="52"/>
      <c r="B27" s="55" t="s">
        <v>209</v>
      </c>
      <c r="C27" s="56"/>
      <c r="D27" s="56"/>
      <c r="E27" s="56"/>
      <c r="F27" s="56"/>
      <c r="G27" s="56"/>
      <c r="H27" s="56"/>
      <c r="I27" s="56"/>
      <c r="J27" s="77"/>
      <c r="K27" s="56"/>
      <c r="L27" s="56"/>
      <c r="M27" s="78"/>
      <c r="N27" s="56"/>
      <c r="O27" s="56"/>
      <c r="P27" s="56"/>
      <c r="AI27" s="112"/>
    </row>
    <row r="28" s="14" customFormat="1" customHeight="1" spans="1:35">
      <c r="A28" s="55"/>
      <c r="B28" s="55" t="s">
        <v>210</v>
      </c>
      <c r="C28" s="57"/>
      <c r="D28" s="57"/>
      <c r="E28" s="57"/>
      <c r="F28" s="57"/>
      <c r="G28" s="57"/>
      <c r="H28" s="57"/>
      <c r="I28" s="79"/>
      <c r="J28" s="80"/>
      <c r="K28" s="79"/>
      <c r="L28" s="79"/>
      <c r="M28" s="81"/>
      <c r="N28" s="79"/>
      <c r="O28" s="79"/>
      <c r="P28" s="79"/>
      <c r="AI28" s="112"/>
    </row>
    <row r="29" s="14" customFormat="1" customHeight="1" spans="1:35">
      <c r="A29" s="55"/>
      <c r="B29" s="55" t="s">
        <v>211</v>
      </c>
      <c r="C29" s="57"/>
      <c r="D29" s="57"/>
      <c r="E29" s="57"/>
      <c r="F29" s="57"/>
      <c r="G29" s="57"/>
      <c r="H29" s="57"/>
      <c r="I29" s="57"/>
      <c r="J29" s="82"/>
      <c r="K29" s="57"/>
      <c r="L29" s="79"/>
      <c r="M29" s="81"/>
      <c r="N29" s="79"/>
      <c r="O29" s="79"/>
      <c r="P29" s="79"/>
      <c r="AI29" s="112"/>
    </row>
    <row r="30" s="14" customFormat="1" customHeight="1" spans="1:35">
      <c r="A30" s="55"/>
      <c r="B30" s="55" t="s">
        <v>212</v>
      </c>
      <c r="C30" s="57"/>
      <c r="D30" s="57"/>
      <c r="E30" s="57"/>
      <c r="F30" s="57"/>
      <c r="G30" s="57"/>
      <c r="H30" s="57"/>
      <c r="I30" s="79"/>
      <c r="J30" s="80"/>
      <c r="K30" s="79"/>
      <c r="L30" s="79"/>
      <c r="M30" s="81"/>
      <c r="N30" s="79"/>
      <c r="O30" s="79"/>
      <c r="P30" s="79"/>
      <c r="AI30" s="112"/>
    </row>
    <row r="32" ht="11.25" customHeight="1" spans="2:2">
      <c r="B32" s="58" t="s">
        <v>213</v>
      </c>
    </row>
    <row r="33" spans="2:2">
      <c r="B33" s="59" t="s">
        <v>214</v>
      </c>
    </row>
    <row r="34" spans="2:2">
      <c r="B34" s="59" t="s">
        <v>215</v>
      </c>
    </row>
  </sheetData>
  <autoFilter xmlns:etc="http://www.wps.cn/officeDocument/2017/etCustomData" ref="A3:AT19" etc:filterBottomFollowUsedRange="0">
    <extLst/>
  </autoFilter>
  <mergeCells count="39">
    <mergeCell ref="M1:P1"/>
    <mergeCell ref="M2:P2"/>
    <mergeCell ref="V2:AA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Q2:Q3"/>
    <mergeCell ref="R2:R3"/>
    <mergeCell ref="S2:S3"/>
    <mergeCell ref="T2:T3"/>
    <mergeCell ref="U2:U3"/>
    <mergeCell ref="AB2:AB3"/>
    <mergeCell ref="AC2:AC3"/>
    <mergeCell ref="AD2:AD3"/>
    <mergeCell ref="AE2:AE3"/>
    <mergeCell ref="AF2:AF3"/>
    <mergeCell ref="AG2:AG3"/>
    <mergeCell ref="AH2:AH3"/>
    <mergeCell ref="AI2:AI3"/>
    <mergeCell ref="AJ2:AJ3"/>
    <mergeCell ref="AK2:AK3"/>
    <mergeCell ref="AL2:AL3"/>
    <mergeCell ref="AM2:AM3"/>
    <mergeCell ref="AN2:AN3"/>
    <mergeCell ref="AO2:AO3"/>
    <mergeCell ref="AP2:AP3"/>
    <mergeCell ref="AQ2:AQ3"/>
    <mergeCell ref="AR2:AR3"/>
    <mergeCell ref="AS2:AS3"/>
    <mergeCell ref="AT2:AT3"/>
  </mergeCells>
  <conditionalFormatting sqref="B30">
    <cfRule type="duplicateValues" dxfId="4" priority="2" stopIfTrue="1"/>
  </conditionalFormatting>
  <conditionalFormatting sqref="B25:B29">
    <cfRule type="duplicateValues" dxfId="4" priority="3" stopIfTrue="1"/>
  </conditionalFormatting>
  <conditionalFormatting sqref="B33:B34">
    <cfRule type="duplicateValues" dxfId="4" priority="1" stopIfTrue="1"/>
  </conditionalFormatting>
  <conditionalFormatting sqref="C22:C24">
    <cfRule type="duplicateValues" dxfId="4" priority="4" stopIfTrue="1"/>
    <cfRule type="expression" dxfId="5" priority="5" stopIfTrue="1">
      <formula>AND(COUNTIF($B$18:$B$65454,C22)+COUNTIF($B$1:$B$3,C22)&gt;1,NOT(ISBLANK(C22)))</formula>
    </cfRule>
    <cfRule type="expression" dxfId="5" priority="6" stopIfTrue="1">
      <formula>AND(COUNTIF($B$29:$B$65405,C22)+COUNTIF($B$1:$B$28,C22)&gt;1,NOT(ISBLANK(C22)))</formula>
    </cfRule>
    <cfRule type="expression" dxfId="5" priority="7" stopIfTrue="1">
      <formula>AND(COUNTIF($B$18:$B$65443,C22)+COUNTIF($B$1:$B$3,C22)&gt;1,NOT(ISBLANK(C22)))</formula>
    </cfRule>
  </conditionalFormatting>
  <pageMargins left="0.235416666666667" right="0.235416666666667" top="0.747916666666667" bottom="0.747916666666667" header="0.313888888888889" footer="0.313888888888889"/>
  <pageSetup paperSize="9" scale="40" fitToWidth="2" orientation="landscape"/>
  <headerFooter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4">
    <tabColor rgb="FF00B050"/>
    <pageSetUpPr fitToPage="1"/>
  </sheetPr>
  <dimension ref="A1:AV35"/>
  <sheetViews>
    <sheetView workbookViewId="0">
      <pane xSplit="6" ySplit="3" topLeftCell="G4" activePane="bottomRight" state="frozen"/>
      <selection/>
      <selection pane="topRight"/>
      <selection pane="bottomLeft"/>
      <selection pane="bottomRight" activeCell="C4" sqref="C4:P17"/>
    </sheetView>
  </sheetViews>
  <sheetFormatPr defaultColWidth="9" defaultRowHeight="13.5"/>
  <cols>
    <col min="1" max="1" width="4.45" style="15" customWidth="1"/>
    <col min="2" max="2" width="12.6333333333333" style="15" customWidth="1"/>
    <col min="3" max="3" width="10.45" style="15" customWidth="1"/>
    <col min="4" max="4" width="8.725" style="15" customWidth="1"/>
    <col min="5" max="5" width="19.45" style="16" customWidth="1"/>
    <col min="6" max="6" width="9" style="15"/>
    <col min="7" max="7" width="11.9083333333333" style="17" customWidth="1"/>
    <col min="8" max="8" width="4.63333333333333" style="15" hidden="1" customWidth="1"/>
    <col min="9" max="9" width="5.26666666666667" style="15" hidden="1" customWidth="1"/>
    <col min="10" max="10" width="11.725" style="18" hidden="1" customWidth="1"/>
    <col min="11" max="11" width="5.26666666666667" style="15" hidden="1" customWidth="1"/>
    <col min="12" max="12" width="11.725" style="15" customWidth="1"/>
    <col min="13" max="13" width="9.45" style="15" customWidth="1" outlineLevel="1"/>
    <col min="14" max="15" width="9" style="15" customWidth="1" outlineLevel="1"/>
    <col min="16" max="16" width="11.0916666666667" style="15" customWidth="1" outlineLevel="1"/>
    <col min="17" max="17" width="9.725" style="15" customWidth="1"/>
    <col min="18" max="18" width="9.45" style="15" customWidth="1"/>
    <col min="19" max="19" width="11.45" style="15" customWidth="1"/>
    <col min="20" max="21" width="12.2666666666667" style="15" customWidth="1"/>
    <col min="22" max="27" width="9" style="15" customWidth="1" outlineLevel="1"/>
    <col min="28" max="28" width="11.2666666666667" style="15" customWidth="1"/>
    <col min="29" max="29" width="8.45" style="15" customWidth="1"/>
    <col min="30" max="30" width="15.2666666666667" style="15" customWidth="1"/>
    <col min="31" max="31" width="14" style="15" customWidth="1"/>
    <col min="32" max="32" width="10.725" style="15" customWidth="1"/>
    <col min="33" max="33" width="12.2666666666667" style="15" customWidth="1"/>
    <col min="34" max="34" width="11.45" style="15" customWidth="1"/>
    <col min="35" max="35" width="7.90833333333333" style="19" customWidth="1"/>
    <col min="36" max="36" width="11.45" style="15" customWidth="1"/>
    <col min="37" max="37" width="9" style="15"/>
    <col min="38" max="38" width="11.45" style="15" customWidth="1"/>
    <col min="39" max="40" width="9" style="15" hidden="1" customWidth="1"/>
    <col min="41" max="41" width="19" style="15" hidden="1" customWidth="1"/>
    <col min="42" max="42" width="12.2666666666667" style="15" hidden="1" customWidth="1"/>
    <col min="43" max="43" width="9" style="15" hidden="1" customWidth="1"/>
    <col min="44" max="44" width="7" style="15" hidden="1" customWidth="1"/>
    <col min="45" max="45" width="6.725" style="15" hidden="1" customWidth="1"/>
    <col min="46" max="46" width="6.09166666666667" style="15" hidden="1" customWidth="1"/>
    <col min="47" max="16384" width="9" style="15"/>
  </cols>
  <sheetData>
    <row r="1" s="10" customFormat="1" ht="29.25" customHeight="1" spans="1:45">
      <c r="A1" s="20" t="s">
        <v>146</v>
      </c>
      <c r="B1" s="21"/>
      <c r="C1" s="22"/>
      <c r="D1" s="23"/>
      <c r="E1" s="24"/>
      <c r="F1" s="24"/>
      <c r="G1" s="25"/>
      <c r="J1" s="60"/>
      <c r="L1" s="61"/>
      <c r="M1" s="62" t="s">
        <v>147</v>
      </c>
      <c r="N1" s="62"/>
      <c r="O1" s="62"/>
      <c r="P1" s="62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  <c r="AC1" s="83"/>
      <c r="AD1" s="61"/>
      <c r="AE1" s="61"/>
      <c r="AF1" s="61"/>
      <c r="AG1" s="61"/>
      <c r="AH1" s="61"/>
      <c r="AI1" s="102"/>
      <c r="AJ1" s="61"/>
      <c r="AK1" s="61"/>
      <c r="AL1" s="61"/>
      <c r="AM1" s="24"/>
      <c r="AN1" s="24"/>
      <c r="AO1" s="113"/>
      <c r="AP1" s="24"/>
      <c r="AQ1" s="24"/>
      <c r="AR1" s="24"/>
      <c r="AS1" s="24"/>
    </row>
    <row r="2" s="11" customFormat="1" ht="20.15" customHeight="1" spans="1:46">
      <c r="A2" s="26" t="s">
        <v>0</v>
      </c>
      <c r="B2" s="27" t="s">
        <v>148</v>
      </c>
      <c r="C2" s="28" t="s">
        <v>149</v>
      </c>
      <c r="D2" s="28" t="s">
        <v>150</v>
      </c>
      <c r="E2" s="29" t="s">
        <v>151</v>
      </c>
      <c r="F2" s="30" t="s">
        <v>152</v>
      </c>
      <c r="G2" s="29" t="s">
        <v>153</v>
      </c>
      <c r="H2" s="29" t="s">
        <v>154</v>
      </c>
      <c r="I2" s="29" t="s">
        <v>155</v>
      </c>
      <c r="J2" s="63" t="s">
        <v>156</v>
      </c>
      <c r="K2" s="29" t="s">
        <v>157</v>
      </c>
      <c r="L2" s="29" t="s">
        <v>158</v>
      </c>
      <c r="M2" s="64" t="s">
        <v>159</v>
      </c>
      <c r="N2" s="65"/>
      <c r="O2" s="65"/>
      <c r="P2" s="66"/>
      <c r="Q2" s="30" t="s">
        <v>160</v>
      </c>
      <c r="R2" s="29" t="s">
        <v>161</v>
      </c>
      <c r="S2" s="30" t="s">
        <v>162</v>
      </c>
      <c r="T2" s="84" t="s">
        <v>163</v>
      </c>
      <c r="U2" s="30" t="s">
        <v>164</v>
      </c>
      <c r="V2" s="85" t="s">
        <v>165</v>
      </c>
      <c r="W2" s="86"/>
      <c r="X2" s="86"/>
      <c r="Y2" s="86"/>
      <c r="Z2" s="86"/>
      <c r="AA2" s="94"/>
      <c r="AB2" s="30" t="s">
        <v>166</v>
      </c>
      <c r="AC2" s="30" t="s">
        <v>167</v>
      </c>
      <c r="AD2" s="84" t="s">
        <v>168</v>
      </c>
      <c r="AE2" s="84" t="s">
        <v>169</v>
      </c>
      <c r="AF2" s="84" t="s">
        <v>170</v>
      </c>
      <c r="AG2" s="84" t="s">
        <v>171</v>
      </c>
      <c r="AH2" s="103" t="s">
        <v>172</v>
      </c>
      <c r="AI2" s="104" t="s">
        <v>173</v>
      </c>
      <c r="AJ2" s="103" t="s">
        <v>144</v>
      </c>
      <c r="AK2" s="28" t="s">
        <v>22</v>
      </c>
      <c r="AL2" s="103" t="s">
        <v>174</v>
      </c>
      <c r="AM2" s="29" t="s">
        <v>216</v>
      </c>
      <c r="AN2" s="29" t="s">
        <v>217</v>
      </c>
      <c r="AO2" s="114" t="s">
        <v>218</v>
      </c>
      <c r="AP2" s="29" t="s">
        <v>219</v>
      </c>
      <c r="AQ2" s="29" t="s">
        <v>220</v>
      </c>
      <c r="AR2" s="30" t="s">
        <v>221</v>
      </c>
      <c r="AS2" s="30" t="s">
        <v>222</v>
      </c>
      <c r="AT2" s="30" t="s">
        <v>223</v>
      </c>
    </row>
    <row r="3" s="11" customFormat="1" ht="27" customHeight="1" spans="1:46">
      <c r="A3" s="31"/>
      <c r="B3" s="32"/>
      <c r="C3" s="33"/>
      <c r="D3" s="33"/>
      <c r="E3" s="34"/>
      <c r="F3" s="35"/>
      <c r="G3" s="34"/>
      <c r="H3" s="34"/>
      <c r="I3" s="34"/>
      <c r="J3" s="67"/>
      <c r="K3" s="34"/>
      <c r="L3" s="34"/>
      <c r="M3" s="68" t="s">
        <v>175</v>
      </c>
      <c r="N3" s="68" t="s">
        <v>176</v>
      </c>
      <c r="O3" s="68" t="s">
        <v>177</v>
      </c>
      <c r="P3" s="68" t="s">
        <v>37</v>
      </c>
      <c r="Q3" s="35"/>
      <c r="R3" s="34"/>
      <c r="S3" s="35"/>
      <c r="T3" s="87"/>
      <c r="U3" s="35"/>
      <c r="V3" s="88" t="s">
        <v>178</v>
      </c>
      <c r="W3" s="88" t="s">
        <v>179</v>
      </c>
      <c r="X3" s="88" t="s">
        <v>180</v>
      </c>
      <c r="Y3" s="88" t="s">
        <v>181</v>
      </c>
      <c r="Z3" s="88" t="s">
        <v>182</v>
      </c>
      <c r="AA3" s="88" t="s">
        <v>183</v>
      </c>
      <c r="AB3" s="35"/>
      <c r="AC3" s="35"/>
      <c r="AD3" s="87"/>
      <c r="AE3" s="87"/>
      <c r="AF3" s="87"/>
      <c r="AG3" s="87"/>
      <c r="AH3" s="105"/>
      <c r="AI3" s="106"/>
      <c r="AJ3" s="105"/>
      <c r="AK3" s="33"/>
      <c r="AL3" s="105"/>
      <c r="AM3" s="34"/>
      <c r="AN3" s="34"/>
      <c r="AO3" s="115"/>
      <c r="AP3" s="34"/>
      <c r="AQ3" s="34"/>
      <c r="AR3" s="35"/>
      <c r="AS3" s="35"/>
      <c r="AT3" s="35"/>
    </row>
    <row r="4" s="12" customFormat="1" ht="18" customHeight="1" spans="1:47">
      <c r="A4" s="36">
        <v>1</v>
      </c>
      <c r="B4" s="37" t="s">
        <v>184</v>
      </c>
      <c r="C4" s="37" t="s">
        <v>61</v>
      </c>
      <c r="D4" s="37" t="s">
        <v>120</v>
      </c>
      <c r="E4" s="37" t="s">
        <v>62</v>
      </c>
      <c r="F4" s="38" t="s">
        <v>185</v>
      </c>
      <c r="G4" s="39">
        <v>13944441728</v>
      </c>
      <c r="H4" s="40"/>
      <c r="I4" s="40"/>
      <c r="J4" s="69"/>
      <c r="K4" s="40"/>
      <c r="L4" s="70">
        <v>8000</v>
      </c>
      <c r="M4" s="71">
        <v>319.46</v>
      </c>
      <c r="N4" s="71">
        <v>79.86</v>
      </c>
      <c r="O4" s="71">
        <v>11.98</v>
      </c>
      <c r="P4" s="71">
        <v>177.4</v>
      </c>
      <c r="Q4" s="89">
        <f>ROUND(SUM(M4:P4),2)</f>
        <v>588.7</v>
      </c>
      <c r="R4" s="70">
        <v>0</v>
      </c>
      <c r="S4" s="90">
        <f>L4+IFERROR(VLOOKUP($E:$E,'（居民）工资表-2月'!$E:$S,15,0),0)</f>
        <v>16000</v>
      </c>
      <c r="T4" s="91">
        <f>5000+IFERROR(VLOOKUP($E:$E,'（居民）工资表-2月'!$E:$T,16,0),0)</f>
        <v>10000</v>
      </c>
      <c r="U4" s="91">
        <f>Q4+IFERROR(VLOOKUP($E:$E,'（居民）工资表-2月'!$E:$U,17,0),0)</f>
        <v>1209.73</v>
      </c>
      <c r="V4" s="70">
        <v>3000</v>
      </c>
      <c r="W4" s="70"/>
      <c r="X4" s="70">
        <v>3000</v>
      </c>
      <c r="Y4" s="70"/>
      <c r="Z4" s="70">
        <v>1200</v>
      </c>
      <c r="AA4" s="70"/>
      <c r="AB4" s="90">
        <f>ROUND(SUM(V4:AA4),2)</f>
        <v>7200</v>
      </c>
      <c r="AC4" s="90">
        <f>R4+IFERROR(VLOOKUP($E:$E,'（居民）工资表-2月'!$E:$AC,25,0),0)</f>
        <v>0</v>
      </c>
      <c r="AD4" s="95">
        <f>ROUND(S4-T4-U4-AB4-AC4,2)</f>
        <v>-2409.73</v>
      </c>
      <c r="AE4" s="96">
        <f>ROUND(MAX((AD4)*{0.03;0.1;0.2;0.25;0.3;0.35;0.45}-{0;2520;16920;31920;52920;85920;181920},0),2)</f>
        <v>0</v>
      </c>
      <c r="AF4" s="97">
        <f>IFERROR(VLOOKUP(E:E,'（居民）工资表-2月'!E:AF,28,0)+VLOOKUP(E:E,'（居民）工资表-2月'!E:AG,29,0),0)</f>
        <v>71.37</v>
      </c>
      <c r="AG4" s="97">
        <f>IF((AE4-AF4)&lt;0,0,AE4-AF4)</f>
        <v>0</v>
      </c>
      <c r="AH4" s="107">
        <f>ROUND(IF((L4-Q4-AG4)&lt;0,0,(L4-Q4-AG4)),2)</f>
        <v>7411.3</v>
      </c>
      <c r="AI4" s="108"/>
      <c r="AJ4" s="107">
        <f>AH4+AI4</f>
        <v>7411.3</v>
      </c>
      <c r="AK4" s="109"/>
      <c r="AL4" s="107">
        <f>AJ4+AG4+AK4</f>
        <v>7411.3</v>
      </c>
      <c r="AM4" s="109"/>
      <c r="AN4" s="109"/>
      <c r="AO4" s="109"/>
      <c r="AP4" s="109"/>
      <c r="AQ4" s="109"/>
      <c r="AR4" s="116" t="str">
        <f>IF(LEN(E4)=18,IF(RIGHT(E4,1)="X",IF(CHOOSE(MOD(SUM(LEFT(RIGHT(E4,18))*7+LEFT(RIGHT(E4,17))*9+LEFT(RIGHT(E4,16))*10+LEFT(RIGHT(E4,15))*5+LEFT(RIGHT(E4,14))*8+LEFT(RIGHT(E4,13))*4+LEFT(RIGHT(E4,12))*2+LEFT(RIGHT(E4,11))*1+LEFT(RIGHT(E4,10))*6+LEFT(RIGHT(E4,9))*3+LEFT(RIGHT(E4,8))*7+LEFT(RIGHT(E4,7))*9+LEFT(RIGHT(E4,6))*10+LEFT(RIGHT(E4,5))*5+LEFT(RIGHT(E4,4))*8+LEFT(RIGHT(E4,3))*4+LEFT(RIGHT(E4,2))*2),11)+1,1,0,"X",9,8,7,6,5,4,3,2)=LEFT(RIGHT(E4,1)),"正确","错误"),IF(CHOOSE(MOD(SUM(LEFT(RIGHT(E4,18))*7+LEFT(RIGHT(E4,17))*9+LEFT(RIGHT(E4,16))*10+LEFT(RIGHT(E4,15))*5+LEFT(RIGHT(E4,14))*8+LEFT(RIGHT(E4,13))*4+LEFT(RIGHT(E4,12))*2+LEFT(RIGHT(E4,11))*1+LEFT(RIGHT(E4,10))*6+LEFT(RIGHT(E4,9))*3+LEFT(RIGHT(E4,8))*7+LEFT(RIGHT(E4,7))*9+LEFT(RIGHT(E4,6))*10+LEFT(RIGHT(E4,5))*5+LEFT(RIGHT(E4,4))*8+LEFT(RIGHT(E4,3))*4+LEFT(RIGHT(E4,2))*2),11)+1,1,0,"X",9,8,7,6,5,4,3,2)=LEFT(RIGHT(E4,1))*1,"正确","错误")),IF(LEN(E4)=15,"老号，请注意！",IF(LEN(E4)=0,"未填写身份证号码","位数不对！")))</f>
        <v>正确</v>
      </c>
      <c r="AS4" s="116" t="str">
        <f>IF(SUMPRODUCT(N(E$1:E$5=E4))&gt;1,"重复","不")</f>
        <v>不</v>
      </c>
      <c r="AT4" s="116" t="str">
        <f>IF(SUMPRODUCT(N(AO$1:AO$5=AO4))&gt;1,"重复","不")</f>
        <v>重复</v>
      </c>
      <c r="AU4" s="12">
        <v>0</v>
      </c>
    </row>
    <row r="5" s="12" customFormat="1" ht="18" customHeight="1" spans="1:48">
      <c r="A5" s="36">
        <v>2</v>
      </c>
      <c r="B5" s="37" t="s">
        <v>184</v>
      </c>
      <c r="C5" s="37" t="s">
        <v>121</v>
      </c>
      <c r="D5" s="37" t="s">
        <v>120</v>
      </c>
      <c r="E5" s="352" t="s">
        <v>122</v>
      </c>
      <c r="F5" s="38" t="s">
        <v>187</v>
      </c>
      <c r="G5" s="39">
        <v>15360550807</v>
      </c>
      <c r="H5" s="40"/>
      <c r="I5" s="40"/>
      <c r="J5" s="69"/>
      <c r="K5" s="40"/>
      <c r="L5" s="70">
        <v>5700</v>
      </c>
      <c r="M5" s="71">
        <v>422.72</v>
      </c>
      <c r="N5" s="71">
        <v>119.92</v>
      </c>
      <c r="O5" s="71">
        <v>4.6</v>
      </c>
      <c r="P5" s="71">
        <v>115</v>
      </c>
      <c r="Q5" s="89">
        <f>ROUND(SUM(M5:P5),2)</f>
        <v>662.24</v>
      </c>
      <c r="R5" s="70">
        <v>0</v>
      </c>
      <c r="S5" s="90">
        <f>L5+IFERROR(VLOOKUP($E:$E,'（居民）工资表-2月'!$E:$S,15,0),0)</f>
        <v>11860</v>
      </c>
      <c r="T5" s="91">
        <f>5000+IFERROR(VLOOKUP($E:$E,'（居民）工资表-2月'!$E:$T,16,0),0)</f>
        <v>10000</v>
      </c>
      <c r="U5" s="91">
        <f>Q5+IFERROR(VLOOKUP($E:$E,'（居民）工资表-2月'!$E:$U,17,0),0)</f>
        <v>1475.92</v>
      </c>
      <c r="V5" s="70"/>
      <c r="W5" s="70"/>
      <c r="X5" s="70"/>
      <c r="Y5" s="70"/>
      <c r="Z5" s="70"/>
      <c r="AA5" s="70"/>
      <c r="AB5" s="90">
        <f>ROUND(SUM(V5:AA5),2)</f>
        <v>0</v>
      </c>
      <c r="AC5" s="90">
        <f>R5+IFERROR(VLOOKUP($E:$E,'（居民）工资表-2月'!$E:$AC,25,0),0)</f>
        <v>0</v>
      </c>
      <c r="AD5" s="95">
        <f>ROUND(S5-T5-U5-AB5-AC5,2)</f>
        <v>384.08</v>
      </c>
      <c r="AE5" s="96">
        <f>ROUND(MAX((AD5)*{0.03;0.1;0.2;0.25;0.3;0.35;0.45}-{0;2520;16920;31920;52920;85920;181920},0),2)</f>
        <v>11.52</v>
      </c>
      <c r="AF5" s="97">
        <f>IFERROR(VLOOKUP(E:E,'（居民）工资表-2月'!E:AF,28,0)+VLOOKUP(E:E,'（居民）工资表-2月'!E:AG,29,0),0)</f>
        <v>10.39</v>
      </c>
      <c r="AG5" s="97">
        <f>IF((AE5-AF5)&lt;0,0,AE5-AF5)</f>
        <v>1.13</v>
      </c>
      <c r="AH5" s="107">
        <f>ROUND(IF((L5-Q5-AG5)&lt;0,0,(L5-Q5-AG5)),2)</f>
        <v>5036.63</v>
      </c>
      <c r="AI5" s="108"/>
      <c r="AJ5" s="107">
        <f>AH5+AI5</f>
        <v>5036.63</v>
      </c>
      <c r="AK5" s="109"/>
      <c r="AL5" s="107">
        <f>AJ5+AG5+AK5</f>
        <v>5037.76</v>
      </c>
      <c r="AM5" s="109"/>
      <c r="AN5" s="109"/>
      <c r="AO5" s="109"/>
      <c r="AP5" s="109"/>
      <c r="AQ5" s="109"/>
      <c r="AR5" s="116" t="str">
        <f>IF(LEN(E5)=18,IF(RIGHT(E5,1)="X",IF(CHOOSE(MOD(SUM(LEFT(RIGHT(E5,18))*7+LEFT(RIGHT(E5,17))*9+LEFT(RIGHT(E5,16))*10+LEFT(RIGHT(E5,15))*5+LEFT(RIGHT(E5,14))*8+LEFT(RIGHT(E5,13))*4+LEFT(RIGHT(E5,12))*2+LEFT(RIGHT(E5,11))*1+LEFT(RIGHT(E5,10))*6+LEFT(RIGHT(E5,9))*3+LEFT(RIGHT(E5,8))*7+LEFT(RIGHT(E5,7))*9+LEFT(RIGHT(E5,6))*10+LEFT(RIGHT(E5,5))*5+LEFT(RIGHT(E5,4))*8+LEFT(RIGHT(E5,3))*4+LEFT(RIGHT(E5,2))*2),11)+1,1,0,"X",9,8,7,6,5,4,3,2)=LEFT(RIGHT(E5,1)),"正确","错误"),IF(CHOOSE(MOD(SUM(LEFT(RIGHT(E5,18))*7+LEFT(RIGHT(E5,17))*9+LEFT(RIGHT(E5,16))*10+LEFT(RIGHT(E5,15))*5+LEFT(RIGHT(E5,14))*8+LEFT(RIGHT(E5,13))*4+LEFT(RIGHT(E5,12))*2+LEFT(RIGHT(E5,11))*1+LEFT(RIGHT(E5,10))*6+LEFT(RIGHT(E5,9))*3+LEFT(RIGHT(E5,8))*7+LEFT(RIGHT(E5,7))*9+LEFT(RIGHT(E5,6))*10+LEFT(RIGHT(E5,5))*5+LEFT(RIGHT(E5,4))*8+LEFT(RIGHT(E5,3))*4+LEFT(RIGHT(E5,2))*2),11)+1,1,0,"X",9,8,7,6,5,4,3,2)=LEFT(RIGHT(E5,1))*1,"正确","错误")),IF(LEN(E5)=15,"老号，请注意！",IF(LEN(E5)=0,"未填写身份证号码","位数不对！")))</f>
        <v>正确</v>
      </c>
      <c r="AS5" s="116" t="str">
        <f>IF(SUMPRODUCT(N(E$1:E$5=E5))&gt;1,"重复","不")</f>
        <v>不</v>
      </c>
      <c r="AT5" s="116" t="str">
        <f>IF(SUMPRODUCT(N(AO$1:AO$5=AO5))&gt;1,"重复","不")</f>
        <v>重复</v>
      </c>
      <c r="AU5" s="12" t="s">
        <v>186</v>
      </c>
      <c r="AV5" s="12" t="s">
        <v>51</v>
      </c>
    </row>
    <row r="6" s="12" customFormat="1" ht="18" customHeight="1" spans="1:48">
      <c r="A6" s="36">
        <v>3</v>
      </c>
      <c r="B6" s="37" t="s">
        <v>184</v>
      </c>
      <c r="C6" s="37" t="s">
        <v>123</v>
      </c>
      <c r="D6" s="37" t="s">
        <v>120</v>
      </c>
      <c r="E6" s="352" t="s">
        <v>124</v>
      </c>
      <c r="F6" s="38" t="s">
        <v>185</v>
      </c>
      <c r="G6" s="39" t="s">
        <v>125</v>
      </c>
      <c r="H6" s="40"/>
      <c r="I6" s="40"/>
      <c r="J6" s="69"/>
      <c r="K6" s="40"/>
      <c r="L6" s="70">
        <v>30060</v>
      </c>
      <c r="M6" s="71">
        <v>584.8</v>
      </c>
      <c r="N6" s="71">
        <v>146.2</v>
      </c>
      <c r="O6" s="71">
        <v>36.55</v>
      </c>
      <c r="P6" s="71">
        <v>181</v>
      </c>
      <c r="Q6" s="89">
        <f t="shared" ref="Q6:Q17" si="0">ROUND(SUM(M6:P6),2)</f>
        <v>948.55</v>
      </c>
      <c r="R6" s="70">
        <v>0</v>
      </c>
      <c r="S6" s="90">
        <f>L6+IFERROR(VLOOKUP($E:$E,'（居民）工资表-2月'!$E:$S,15,0),0)</f>
        <v>60120</v>
      </c>
      <c r="T6" s="91">
        <f>5000+IFERROR(VLOOKUP($E:$E,'（居民）工资表-2月'!$E:$T,16,0),0)</f>
        <v>10000</v>
      </c>
      <c r="U6" s="91">
        <f>Q6+IFERROR(VLOOKUP($E:$E,'（居民）工资表-2月'!$E:$U,17,0),0)</f>
        <v>1911.87</v>
      </c>
      <c r="V6" s="70"/>
      <c r="W6" s="70"/>
      <c r="X6" s="70"/>
      <c r="Y6" s="70"/>
      <c r="Z6" s="70"/>
      <c r="AA6" s="70"/>
      <c r="AB6" s="90">
        <f t="shared" ref="AB6:AB17" si="1">ROUND(SUM(V6:AA6),2)</f>
        <v>0</v>
      </c>
      <c r="AC6" s="90">
        <f>R6+IFERROR(VLOOKUP($E:$E,'（居民）工资表-2月'!$E:$AC,25,0),0)</f>
        <v>0</v>
      </c>
      <c r="AD6" s="95">
        <f t="shared" ref="AD6:AD17" si="2">ROUND(S6-T6-U6-AB6-AC6,2)</f>
        <v>48208.13</v>
      </c>
      <c r="AE6" s="96">
        <f>ROUND(MAX((AD6)*{0.03;0.1;0.2;0.25;0.3;0.35;0.45}-{0;2520;16920;31920;52920;85920;181920},0),2)</f>
        <v>2300.81</v>
      </c>
      <c r="AF6" s="97">
        <f>IFERROR(VLOOKUP(E:E,'（居民）工资表-2月'!E:AF,28,0)+VLOOKUP(E:E,'（居民）工资表-2月'!E:AG,29,0),0)</f>
        <v>722.9</v>
      </c>
      <c r="AG6" s="97">
        <f t="shared" ref="AG6:AG17" si="3">IF((AE6-AF6)&lt;0,0,AE6-AF6)</f>
        <v>1577.91</v>
      </c>
      <c r="AH6" s="107">
        <f t="shared" ref="AH6:AH17" si="4">ROUND(IF((L6-Q6-AG6)&lt;0,0,(L6-Q6-AG6)),2)</f>
        <v>27533.54</v>
      </c>
      <c r="AI6" s="108"/>
      <c r="AJ6" s="107">
        <f t="shared" ref="AJ6:AJ17" si="5">AH6+AI6</f>
        <v>27533.54</v>
      </c>
      <c r="AK6" s="109"/>
      <c r="AL6" s="107">
        <f t="shared" ref="AL6:AL17" si="6">AJ6+AG6+AK6</f>
        <v>29111.45</v>
      </c>
      <c r="AM6" s="109"/>
      <c r="AN6" s="109"/>
      <c r="AO6" s="109"/>
      <c r="AP6" s="109"/>
      <c r="AQ6" s="109"/>
      <c r="AR6" s="116" t="str">
        <f t="shared" ref="AR6:AR17" si="7">IF(LEN(E6)=18,IF(RIGHT(E6,1)="X",IF(CHOOSE(MOD(SUM(LEFT(RIGHT(E6,18))*7+LEFT(RIGHT(E6,17))*9+LEFT(RIGHT(E6,16))*10+LEFT(RIGHT(E6,15))*5+LEFT(RIGHT(E6,14))*8+LEFT(RIGHT(E6,13))*4+LEFT(RIGHT(E6,12))*2+LEFT(RIGHT(E6,11))*1+LEFT(RIGHT(E6,10))*6+LEFT(RIGHT(E6,9))*3+LEFT(RIGHT(E6,8))*7+LEFT(RIGHT(E6,7))*9+LEFT(RIGHT(E6,6))*10+LEFT(RIGHT(E6,5))*5+LEFT(RIGHT(E6,4))*8+LEFT(RIGHT(E6,3))*4+LEFT(RIGHT(E6,2))*2),11)+1,1,0,"X",9,8,7,6,5,4,3,2)=LEFT(RIGHT(E6,1)),"正确","错误"),IF(CHOOSE(MOD(SUM(LEFT(RIGHT(E6,18))*7+LEFT(RIGHT(E6,17))*9+LEFT(RIGHT(E6,16))*10+LEFT(RIGHT(E6,15))*5+LEFT(RIGHT(E6,14))*8+LEFT(RIGHT(E6,13))*4+LEFT(RIGHT(E6,12))*2+LEFT(RIGHT(E6,11))*1+LEFT(RIGHT(E6,10))*6+LEFT(RIGHT(E6,9))*3+LEFT(RIGHT(E6,8))*7+LEFT(RIGHT(E6,7))*9+LEFT(RIGHT(E6,6))*10+LEFT(RIGHT(E6,5))*5+LEFT(RIGHT(E6,4))*8+LEFT(RIGHT(E6,3))*4+LEFT(RIGHT(E6,2))*2),11)+1,1,0,"X",9,8,7,6,5,4,3,2)=LEFT(RIGHT(E6,1))*1,"正确","错误")),IF(LEN(E6)=15,"老号，请注意！",IF(LEN(E6)=0,"未填写身份证号码","位数不对！")))</f>
        <v>正确</v>
      </c>
      <c r="AS6" s="116" t="str">
        <f t="shared" ref="AS6:AS12" si="8">IF(SUMPRODUCT(N(E$1:E$5=E6))&gt;1,"重复","不")</f>
        <v>不</v>
      </c>
      <c r="AT6" s="116" t="str">
        <f t="shared" ref="AT6:AT12" si="9">IF(SUMPRODUCT(N(AO$1:AO$5=AO6))&gt;1,"重复","不")</f>
        <v>重复</v>
      </c>
      <c r="AU6" s="12" t="s">
        <v>50</v>
      </c>
      <c r="AV6" s="12" t="s">
        <v>51</v>
      </c>
    </row>
    <row r="7" s="12" customFormat="1" ht="18" customHeight="1" spans="1:47">
      <c r="A7" s="36">
        <v>4</v>
      </c>
      <c r="B7" s="37" t="s">
        <v>184</v>
      </c>
      <c r="C7" s="37" t="s">
        <v>126</v>
      </c>
      <c r="D7" s="37" t="s">
        <v>120</v>
      </c>
      <c r="E7" s="352" t="s">
        <v>127</v>
      </c>
      <c r="F7" s="38" t="s">
        <v>185</v>
      </c>
      <c r="G7" s="39" t="s">
        <v>128</v>
      </c>
      <c r="H7" s="40"/>
      <c r="I7" s="40"/>
      <c r="J7" s="69"/>
      <c r="K7" s="40"/>
      <c r="L7" s="70">
        <v>8000</v>
      </c>
      <c r="M7" s="71">
        <v>321.52</v>
      </c>
      <c r="N7" s="71">
        <v>89.09</v>
      </c>
      <c r="O7" s="71">
        <v>20.1</v>
      </c>
      <c r="P7" s="71">
        <v>97</v>
      </c>
      <c r="Q7" s="89">
        <f t="shared" si="0"/>
        <v>527.71</v>
      </c>
      <c r="R7" s="70">
        <v>0</v>
      </c>
      <c r="S7" s="90">
        <f>L7+IFERROR(VLOOKUP($E:$E,'（居民）工资表-2月'!$E:$S,15,0),0)</f>
        <v>17000</v>
      </c>
      <c r="T7" s="91">
        <f>5000+IFERROR(VLOOKUP($E:$E,'（居民）工资表-2月'!$E:$T,16,0),0)</f>
        <v>10000</v>
      </c>
      <c r="U7" s="91">
        <f>Q7+IFERROR(VLOOKUP($E:$E,'（居民）工资表-2月'!$E:$U,17,0),0)</f>
        <v>1077.71</v>
      </c>
      <c r="V7" s="70"/>
      <c r="W7" s="70"/>
      <c r="X7" s="70"/>
      <c r="Y7" s="70"/>
      <c r="Z7" s="70"/>
      <c r="AA7" s="70"/>
      <c r="AB7" s="90">
        <f t="shared" si="1"/>
        <v>0</v>
      </c>
      <c r="AC7" s="90">
        <f>R7+IFERROR(VLOOKUP($E:$E,'（居民）工资表-2月'!$E:$AC,25,0),0)</f>
        <v>0</v>
      </c>
      <c r="AD7" s="95">
        <f t="shared" si="2"/>
        <v>5922.29</v>
      </c>
      <c r="AE7" s="96">
        <f>ROUND(MAX((AD7)*{0.03;0.1;0.2;0.25;0.3;0.35;0.45}-{0;2520;16920;31920;52920;85920;181920},0),2)</f>
        <v>177.67</v>
      </c>
      <c r="AF7" s="97">
        <f>IFERROR(VLOOKUP(E:E,'（居民）工资表-2月'!E:AF,28,0)+VLOOKUP(E:E,'（居民）工资表-2月'!E:AG,29,0),0)</f>
        <v>103.5</v>
      </c>
      <c r="AG7" s="97">
        <f t="shared" si="3"/>
        <v>74.17</v>
      </c>
      <c r="AH7" s="107">
        <f t="shared" si="4"/>
        <v>7398.12</v>
      </c>
      <c r="AI7" s="108"/>
      <c r="AJ7" s="107">
        <f t="shared" si="5"/>
        <v>7398.12</v>
      </c>
      <c r="AK7" s="109"/>
      <c r="AL7" s="107">
        <f t="shared" si="6"/>
        <v>7472.29</v>
      </c>
      <c r="AM7" s="109"/>
      <c r="AN7" s="109"/>
      <c r="AO7" s="109"/>
      <c r="AP7" s="109"/>
      <c r="AQ7" s="109"/>
      <c r="AR7" s="116" t="str">
        <f t="shared" si="7"/>
        <v>正确</v>
      </c>
      <c r="AS7" s="116" t="str">
        <f t="shared" si="8"/>
        <v>不</v>
      </c>
      <c r="AT7" s="116" t="str">
        <f t="shared" si="9"/>
        <v>重复</v>
      </c>
      <c r="AU7" s="12">
        <v>0</v>
      </c>
    </row>
    <row r="8" s="12" customFormat="1" ht="18" customHeight="1" spans="1:48">
      <c r="A8" s="36">
        <v>5</v>
      </c>
      <c r="B8" s="37" t="s">
        <v>184</v>
      </c>
      <c r="C8" s="37" t="s">
        <v>129</v>
      </c>
      <c r="D8" s="37" t="s">
        <v>120</v>
      </c>
      <c r="E8" s="352" t="s">
        <v>130</v>
      </c>
      <c r="F8" s="38" t="s">
        <v>185</v>
      </c>
      <c r="G8" s="39">
        <v>19356875630</v>
      </c>
      <c r="H8" s="40"/>
      <c r="I8" s="40"/>
      <c r="J8" s="69"/>
      <c r="K8" s="40"/>
      <c r="L8" s="70">
        <v>10500</v>
      </c>
      <c r="M8" s="71">
        <v>321.52</v>
      </c>
      <c r="N8" s="71">
        <v>86.38</v>
      </c>
      <c r="O8" s="71">
        <v>20.1</v>
      </c>
      <c r="P8" s="71">
        <v>344</v>
      </c>
      <c r="Q8" s="89">
        <f t="shared" si="0"/>
        <v>772</v>
      </c>
      <c r="R8" s="70">
        <v>0</v>
      </c>
      <c r="S8" s="90">
        <f>L8+IFERROR(VLOOKUP($E:$E,'（居民）工资表-2月'!$E:$S,15,0),0)</f>
        <v>21000</v>
      </c>
      <c r="T8" s="91">
        <f>5000+IFERROR(VLOOKUP($E:$E,'（居民）工资表-2月'!$E:$T,16,0),0)</f>
        <v>10000</v>
      </c>
      <c r="U8" s="91">
        <f>Q8+IFERROR(VLOOKUP($E:$E,'（居民）工资表-2月'!$E:$U,17,0),0)</f>
        <v>1565.84</v>
      </c>
      <c r="V8" s="70"/>
      <c r="W8" s="70"/>
      <c r="X8" s="70"/>
      <c r="Y8" s="70"/>
      <c r="Z8" s="70"/>
      <c r="AA8" s="70"/>
      <c r="AB8" s="90">
        <f t="shared" si="1"/>
        <v>0</v>
      </c>
      <c r="AC8" s="90">
        <f>R8+IFERROR(VLOOKUP($E:$E,'（居民）工资表-2月'!$E:$AC,25,0),0)</f>
        <v>0</v>
      </c>
      <c r="AD8" s="95">
        <f t="shared" si="2"/>
        <v>9434.16</v>
      </c>
      <c r="AE8" s="96">
        <f>ROUND(MAX((AD8)*{0.03;0.1;0.2;0.25;0.3;0.35;0.45}-{0;2520;16920;31920;52920;85920;181920},0),2)</f>
        <v>283.02</v>
      </c>
      <c r="AF8" s="97">
        <f>IFERROR(VLOOKUP(E:E,'（居民）工资表-2月'!E:AF,28,0)+VLOOKUP(E:E,'（居民）工资表-2月'!E:AG,29,0),0)</f>
        <v>141.18</v>
      </c>
      <c r="AG8" s="97">
        <f t="shared" si="3"/>
        <v>141.84</v>
      </c>
      <c r="AH8" s="107">
        <f t="shared" si="4"/>
        <v>9586.16</v>
      </c>
      <c r="AI8" s="108"/>
      <c r="AJ8" s="107">
        <f t="shared" si="5"/>
        <v>9586.16</v>
      </c>
      <c r="AK8" s="109"/>
      <c r="AL8" s="107">
        <f t="shared" si="6"/>
        <v>9728</v>
      </c>
      <c r="AM8" s="109"/>
      <c r="AN8" s="109"/>
      <c r="AO8" s="109"/>
      <c r="AP8" s="109"/>
      <c r="AQ8" s="109"/>
      <c r="AR8" s="116" t="str">
        <f t="shared" si="7"/>
        <v>正确</v>
      </c>
      <c r="AS8" s="116" t="str">
        <f t="shared" si="8"/>
        <v>不</v>
      </c>
      <c r="AT8" s="116" t="str">
        <f t="shared" si="9"/>
        <v>重复</v>
      </c>
      <c r="AU8" s="12" t="s">
        <v>190</v>
      </c>
      <c r="AV8" s="12" t="s">
        <v>51</v>
      </c>
    </row>
    <row r="9" s="12" customFormat="1" ht="18" customHeight="1" spans="1:48">
      <c r="A9" s="36">
        <v>6</v>
      </c>
      <c r="B9" s="37" t="s">
        <v>184</v>
      </c>
      <c r="C9" s="37" t="s">
        <v>131</v>
      </c>
      <c r="D9" s="37" t="s">
        <v>120</v>
      </c>
      <c r="E9" s="352" t="s">
        <v>132</v>
      </c>
      <c r="F9" s="38" t="s">
        <v>185</v>
      </c>
      <c r="G9" s="39">
        <v>13973652684</v>
      </c>
      <c r="H9" s="40"/>
      <c r="I9" s="40"/>
      <c r="J9" s="69"/>
      <c r="K9" s="40"/>
      <c r="L9" s="70">
        <v>6500</v>
      </c>
      <c r="M9" s="71">
        <v>324.24</v>
      </c>
      <c r="N9" s="71">
        <v>90.4</v>
      </c>
      <c r="O9" s="71">
        <v>12.16</v>
      </c>
      <c r="P9" s="71">
        <v>100</v>
      </c>
      <c r="Q9" s="89">
        <f t="shared" si="0"/>
        <v>526.8</v>
      </c>
      <c r="R9" s="70">
        <v>0</v>
      </c>
      <c r="S9" s="90">
        <f>L9+IFERROR(VLOOKUP($E:$E,'（居民）工资表-2月'!$E:$S,15,0),0)</f>
        <v>13000</v>
      </c>
      <c r="T9" s="91">
        <f>5000+IFERROR(VLOOKUP($E:$E,'（居民）工资表-2月'!$E:$T,16,0),0)</f>
        <v>10000</v>
      </c>
      <c r="U9" s="91">
        <f>Q9+IFERROR(VLOOKUP($E:$E,'（居民）工资表-2月'!$E:$U,17,0),0)</f>
        <v>1056.58</v>
      </c>
      <c r="V9" s="70"/>
      <c r="W9" s="70"/>
      <c r="X9" s="70"/>
      <c r="Y9" s="70"/>
      <c r="Z9" s="70"/>
      <c r="AA9" s="70"/>
      <c r="AB9" s="90">
        <f t="shared" si="1"/>
        <v>0</v>
      </c>
      <c r="AC9" s="90">
        <f>R9+IFERROR(VLOOKUP($E:$E,'（居民）工资表-2月'!$E:$AC,25,0),0)</f>
        <v>0</v>
      </c>
      <c r="AD9" s="95">
        <f t="shared" si="2"/>
        <v>1943.42</v>
      </c>
      <c r="AE9" s="96">
        <f>ROUND(MAX((AD9)*{0.03;0.1;0.2;0.25;0.3;0.35;0.45}-{0;2520;16920;31920;52920;85920;181920},0),2)</f>
        <v>58.3</v>
      </c>
      <c r="AF9" s="97">
        <f>IFERROR(VLOOKUP(E:E,'（居民）工资表-2月'!E:AF,28,0)+VLOOKUP(E:E,'（居民）工资表-2月'!E:AG,29,0),0)</f>
        <v>29.11</v>
      </c>
      <c r="AG9" s="97">
        <f t="shared" si="3"/>
        <v>29.19</v>
      </c>
      <c r="AH9" s="107">
        <f t="shared" si="4"/>
        <v>5944.01</v>
      </c>
      <c r="AI9" s="108"/>
      <c r="AJ9" s="107">
        <f t="shared" si="5"/>
        <v>5944.01</v>
      </c>
      <c r="AK9" s="109"/>
      <c r="AL9" s="107">
        <f t="shared" si="6"/>
        <v>5973.2</v>
      </c>
      <c r="AM9" s="109"/>
      <c r="AN9" s="109"/>
      <c r="AO9" s="109"/>
      <c r="AP9" s="109"/>
      <c r="AQ9" s="109"/>
      <c r="AR9" s="116" t="str">
        <f t="shared" si="7"/>
        <v>正确</v>
      </c>
      <c r="AS9" s="116" t="str">
        <f t="shared" si="8"/>
        <v>不</v>
      </c>
      <c r="AT9" s="116" t="str">
        <f t="shared" si="9"/>
        <v>重复</v>
      </c>
      <c r="AU9" s="12" t="s">
        <v>190</v>
      </c>
      <c r="AV9" s="12" t="s">
        <v>51</v>
      </c>
    </row>
    <row r="10" s="12" customFormat="1" ht="18" customHeight="1" spans="1:48">
      <c r="A10" s="36">
        <v>7</v>
      </c>
      <c r="B10" s="37" t="s">
        <v>184</v>
      </c>
      <c r="C10" s="37" t="s">
        <v>192</v>
      </c>
      <c r="D10" s="37" t="s">
        <v>120</v>
      </c>
      <c r="E10" s="352" t="s">
        <v>193</v>
      </c>
      <c r="F10" s="38" t="s">
        <v>187</v>
      </c>
      <c r="G10" s="39" t="s">
        <v>194</v>
      </c>
      <c r="H10" s="40"/>
      <c r="I10" s="40"/>
      <c r="J10" s="69"/>
      <c r="K10" s="40"/>
      <c r="L10" s="70">
        <v>4525.84</v>
      </c>
      <c r="M10" s="71">
        <v>380.08</v>
      </c>
      <c r="N10" s="71">
        <v>117.02</v>
      </c>
      <c r="O10" s="71">
        <v>23.76</v>
      </c>
      <c r="P10" s="71">
        <v>109</v>
      </c>
      <c r="Q10" s="89">
        <f t="shared" si="0"/>
        <v>629.86</v>
      </c>
      <c r="R10" s="70">
        <v>0</v>
      </c>
      <c r="S10" s="90">
        <f>L10+IFERROR(VLOOKUP($E:$E,'（居民）工资表-2月'!$E:$S,15,0),0)</f>
        <v>8948.74</v>
      </c>
      <c r="T10" s="91">
        <f>5000+IFERROR(VLOOKUP($E:$E,'（居民）工资表-2月'!$E:$T,16,0),0)</f>
        <v>10000</v>
      </c>
      <c r="U10" s="91">
        <f>Q10+IFERROR(VLOOKUP($E:$E,'（居民）工资表-2月'!$E:$U,17,0),0)</f>
        <v>1294.23</v>
      </c>
      <c r="V10" s="70"/>
      <c r="W10" s="70"/>
      <c r="X10" s="70"/>
      <c r="Y10" s="70"/>
      <c r="Z10" s="70"/>
      <c r="AA10" s="70"/>
      <c r="AB10" s="90">
        <f t="shared" si="1"/>
        <v>0</v>
      </c>
      <c r="AC10" s="90">
        <f>R10+IFERROR(VLOOKUP($E:$E,'（居民）工资表-2月'!$E:$AC,25,0),0)</f>
        <v>0</v>
      </c>
      <c r="AD10" s="95">
        <f t="shared" si="2"/>
        <v>-2345.49</v>
      </c>
      <c r="AE10" s="96">
        <f>ROUND(MAX((AD10)*{0.03;0.1;0.2;0.25;0.3;0.35;0.45}-{0;2520;16920;31920;52920;85920;181920},0),2)</f>
        <v>0</v>
      </c>
      <c r="AF10" s="97">
        <f>IFERROR(VLOOKUP(E:E,'（居民）工资表-2月'!E:AF,28,0)+VLOOKUP(E:E,'（居民）工资表-2月'!E:AG,29,0),0)</f>
        <v>0</v>
      </c>
      <c r="AG10" s="97">
        <f t="shared" si="3"/>
        <v>0</v>
      </c>
      <c r="AH10" s="107">
        <f t="shared" si="4"/>
        <v>3895.98</v>
      </c>
      <c r="AI10" s="108"/>
      <c r="AJ10" s="107">
        <f t="shared" si="5"/>
        <v>3895.98</v>
      </c>
      <c r="AK10" s="109"/>
      <c r="AL10" s="107">
        <f t="shared" si="6"/>
        <v>3895.98</v>
      </c>
      <c r="AM10" s="109"/>
      <c r="AN10" s="109"/>
      <c r="AO10" s="109"/>
      <c r="AP10" s="109"/>
      <c r="AQ10" s="109"/>
      <c r="AR10" s="116" t="str">
        <f t="shared" si="7"/>
        <v>正确</v>
      </c>
      <c r="AS10" s="116" t="str">
        <f t="shared" si="8"/>
        <v>不</v>
      </c>
      <c r="AT10" s="116" t="str">
        <f t="shared" si="9"/>
        <v>重复</v>
      </c>
      <c r="AU10" s="12" t="s">
        <v>191</v>
      </c>
      <c r="AV10" s="12" t="s">
        <v>51</v>
      </c>
    </row>
    <row r="11" s="12" customFormat="1" ht="18" customHeight="1" spans="1:47">
      <c r="A11" s="36">
        <v>8</v>
      </c>
      <c r="B11" s="37" t="s">
        <v>184</v>
      </c>
      <c r="C11" s="37" t="s">
        <v>133</v>
      </c>
      <c r="D11" s="37" t="s">
        <v>120</v>
      </c>
      <c r="E11" s="352" t="s">
        <v>134</v>
      </c>
      <c r="F11" s="38" t="s">
        <v>185</v>
      </c>
      <c r="G11" s="39">
        <v>18356553626</v>
      </c>
      <c r="H11" s="40"/>
      <c r="I11" s="40"/>
      <c r="J11" s="69"/>
      <c r="K11" s="40"/>
      <c r="L11" s="70">
        <v>8500</v>
      </c>
      <c r="M11" s="71">
        <v>321.52</v>
      </c>
      <c r="N11" s="71">
        <v>120.38</v>
      </c>
      <c r="O11" s="71">
        <v>20.1</v>
      </c>
      <c r="P11" s="71">
        <v>97</v>
      </c>
      <c r="Q11" s="89">
        <f t="shared" si="0"/>
        <v>559</v>
      </c>
      <c r="R11" s="70">
        <v>0</v>
      </c>
      <c r="S11" s="90">
        <f>L11+IFERROR(VLOOKUP($E:$E,'（居民）工资表-2月'!$E:$S,15,0),0)</f>
        <v>17500</v>
      </c>
      <c r="T11" s="91">
        <f>5000+IFERROR(VLOOKUP($E:$E,'（居民）工资表-2月'!$E:$T,16,0),0)</f>
        <v>10000</v>
      </c>
      <c r="U11" s="91">
        <f>Q11+IFERROR(VLOOKUP($E:$E,'（居民）工资表-2月'!$E:$U,17,0),0)</f>
        <v>1139.84</v>
      </c>
      <c r="V11" s="70"/>
      <c r="W11" s="70"/>
      <c r="X11" s="70"/>
      <c r="Y11" s="70"/>
      <c r="Z11" s="70"/>
      <c r="AA11" s="70"/>
      <c r="AB11" s="90">
        <f t="shared" si="1"/>
        <v>0</v>
      </c>
      <c r="AC11" s="90">
        <f>R11+IFERROR(VLOOKUP($E:$E,'（居民）工资表-2月'!$E:$AC,25,0),0)</f>
        <v>0</v>
      </c>
      <c r="AD11" s="95">
        <f t="shared" si="2"/>
        <v>6360.16</v>
      </c>
      <c r="AE11" s="96">
        <f>ROUND(MAX((AD11)*{0.03;0.1;0.2;0.25;0.3;0.35;0.45}-{0;2520;16920;31920;52920;85920;181920},0),2)</f>
        <v>190.8</v>
      </c>
      <c r="AF11" s="97">
        <f>IFERROR(VLOOKUP(E:E,'（居民）工资表-2月'!E:AF,28,0)+VLOOKUP(E:E,'（居民）工资表-2月'!E:AG,29,0),0)</f>
        <v>102.57</v>
      </c>
      <c r="AG11" s="97">
        <f t="shared" si="3"/>
        <v>88.23</v>
      </c>
      <c r="AH11" s="107">
        <f t="shared" si="4"/>
        <v>7852.77</v>
      </c>
      <c r="AI11" s="108"/>
      <c r="AJ11" s="107">
        <f t="shared" si="5"/>
        <v>7852.77</v>
      </c>
      <c r="AK11" s="109"/>
      <c r="AL11" s="107">
        <f t="shared" si="6"/>
        <v>7941</v>
      </c>
      <c r="AM11" s="109"/>
      <c r="AN11" s="109"/>
      <c r="AO11" s="109"/>
      <c r="AP11" s="109"/>
      <c r="AQ11" s="109"/>
      <c r="AR11" s="116" t="str">
        <f t="shared" si="7"/>
        <v>正确</v>
      </c>
      <c r="AS11" s="116" t="str">
        <f t="shared" si="8"/>
        <v>不</v>
      </c>
      <c r="AT11" s="116" t="str">
        <f t="shared" si="9"/>
        <v>重复</v>
      </c>
      <c r="AU11" s="12">
        <v>0</v>
      </c>
    </row>
    <row r="12" s="12" customFormat="1" ht="18" customHeight="1" spans="1:47">
      <c r="A12" s="36">
        <v>9</v>
      </c>
      <c r="B12" s="37" t="s">
        <v>184</v>
      </c>
      <c r="C12" s="37" t="s">
        <v>135</v>
      </c>
      <c r="D12" s="37" t="s">
        <v>120</v>
      </c>
      <c r="E12" s="352" t="s">
        <v>136</v>
      </c>
      <c r="F12" s="38" t="s">
        <v>185</v>
      </c>
      <c r="G12" s="39">
        <v>18326897140</v>
      </c>
      <c r="H12" s="40"/>
      <c r="I12" s="40"/>
      <c r="J12" s="69"/>
      <c r="K12" s="40"/>
      <c r="L12" s="70">
        <v>7000</v>
      </c>
      <c r="M12" s="71">
        <v>321.52</v>
      </c>
      <c r="N12" s="71">
        <v>86.38</v>
      </c>
      <c r="O12" s="71">
        <v>20.1</v>
      </c>
      <c r="P12" s="71">
        <v>344</v>
      </c>
      <c r="Q12" s="89">
        <f t="shared" si="0"/>
        <v>772</v>
      </c>
      <c r="R12" s="70">
        <v>0</v>
      </c>
      <c r="S12" s="90">
        <f>L12+IFERROR(VLOOKUP($E:$E,'（居民）工资表-2月'!$E:$S,15,0),0)</f>
        <v>14500</v>
      </c>
      <c r="T12" s="91">
        <f>5000+IFERROR(VLOOKUP($E:$E,'（居民）工资表-2月'!$E:$T,16,0),0)</f>
        <v>10000</v>
      </c>
      <c r="U12" s="91">
        <f>Q12+IFERROR(VLOOKUP($E:$E,'（居民）工资表-2月'!$E:$U,17,0),0)</f>
        <v>1565.84</v>
      </c>
      <c r="V12" s="70"/>
      <c r="W12" s="70"/>
      <c r="X12" s="70"/>
      <c r="Y12" s="70"/>
      <c r="Z12" s="70"/>
      <c r="AA12" s="70"/>
      <c r="AB12" s="90">
        <f t="shared" si="1"/>
        <v>0</v>
      </c>
      <c r="AC12" s="90">
        <f>R12+IFERROR(VLOOKUP($E:$E,'（居民）工资表-2月'!$E:$AC,25,0),0)</f>
        <v>0</v>
      </c>
      <c r="AD12" s="95">
        <f t="shared" si="2"/>
        <v>2934.16</v>
      </c>
      <c r="AE12" s="96">
        <f>ROUND(MAX((AD12)*{0.03;0.1;0.2;0.25;0.3;0.35;0.45}-{0;2520;16920;31920;52920;85920;181920},0),2)</f>
        <v>88.02</v>
      </c>
      <c r="AF12" s="97">
        <f>IFERROR(VLOOKUP(E:E,'（居民）工资表-2月'!E:AF,28,0)+VLOOKUP(E:E,'（居民）工资表-2月'!E:AG,29,0),0)</f>
        <v>51.18</v>
      </c>
      <c r="AG12" s="97">
        <f t="shared" si="3"/>
        <v>36.84</v>
      </c>
      <c r="AH12" s="107">
        <f t="shared" si="4"/>
        <v>6191.16</v>
      </c>
      <c r="AI12" s="108"/>
      <c r="AJ12" s="107">
        <f t="shared" si="5"/>
        <v>6191.16</v>
      </c>
      <c r="AK12" s="109"/>
      <c r="AL12" s="107">
        <f t="shared" si="6"/>
        <v>6228</v>
      </c>
      <c r="AM12" s="109"/>
      <c r="AN12" s="109"/>
      <c r="AO12" s="109"/>
      <c r="AP12" s="109"/>
      <c r="AQ12" s="109"/>
      <c r="AR12" s="116" t="str">
        <f t="shared" si="7"/>
        <v>正确</v>
      </c>
      <c r="AS12" s="116" t="str">
        <f t="shared" si="8"/>
        <v>不</v>
      </c>
      <c r="AT12" s="116" t="str">
        <f t="shared" si="9"/>
        <v>重复</v>
      </c>
      <c r="AU12" s="12">
        <v>0</v>
      </c>
    </row>
    <row r="13" s="12" customFormat="1" ht="18" customHeight="1" spans="1:48">
      <c r="A13" s="36">
        <v>10</v>
      </c>
      <c r="B13" s="37" t="s">
        <v>184</v>
      </c>
      <c r="C13" s="37" t="s">
        <v>137</v>
      </c>
      <c r="D13" s="37" t="s">
        <v>120</v>
      </c>
      <c r="E13" s="352" t="s">
        <v>138</v>
      </c>
      <c r="F13" s="38" t="s">
        <v>185</v>
      </c>
      <c r="G13" s="39">
        <v>17201857014</v>
      </c>
      <c r="H13" s="40"/>
      <c r="I13" s="40"/>
      <c r="J13" s="69"/>
      <c r="K13" s="40"/>
      <c r="L13" s="70">
        <v>7000</v>
      </c>
      <c r="M13" s="71">
        <v>321.52</v>
      </c>
      <c r="N13" s="71">
        <v>86.38</v>
      </c>
      <c r="O13" s="71">
        <v>20.1</v>
      </c>
      <c r="P13" s="71">
        <v>344</v>
      </c>
      <c r="Q13" s="89">
        <f t="shared" si="0"/>
        <v>772</v>
      </c>
      <c r="R13" s="70">
        <v>0</v>
      </c>
      <c r="S13" s="90">
        <f>L13+IFERROR(VLOOKUP($E:$E,'（居民）工资表-2月'!$E:$S,15,0),0)</f>
        <v>15000</v>
      </c>
      <c r="T13" s="91">
        <f>5000+IFERROR(VLOOKUP($E:$E,'（居民）工资表-2月'!$E:$T,16,0),0)</f>
        <v>10000</v>
      </c>
      <c r="U13" s="91">
        <f>Q13+IFERROR(VLOOKUP($E:$E,'（居民）工资表-2月'!$E:$U,17,0),0)</f>
        <v>1565.84</v>
      </c>
      <c r="V13" s="70"/>
      <c r="W13" s="70"/>
      <c r="X13" s="70"/>
      <c r="Y13" s="70"/>
      <c r="Z13" s="70"/>
      <c r="AA13" s="70"/>
      <c r="AB13" s="90">
        <f t="shared" si="1"/>
        <v>0</v>
      </c>
      <c r="AC13" s="90">
        <f>R13+IFERROR(VLOOKUP($E:$E,'（居民）工资表-2月'!$E:$AC,25,0),0)</f>
        <v>0</v>
      </c>
      <c r="AD13" s="95">
        <f t="shared" si="2"/>
        <v>3434.16</v>
      </c>
      <c r="AE13" s="96">
        <f>ROUND(MAX((AD13)*{0.03;0.1;0.2;0.25;0.3;0.35;0.45}-{0;2520;16920;31920;52920;85920;181920},0),2)</f>
        <v>103.02</v>
      </c>
      <c r="AF13" s="97">
        <f>IFERROR(VLOOKUP(E:E,'（居民）工资表-2月'!E:AF,28,0)+VLOOKUP(E:E,'（居民）工资表-2月'!E:AG,29,0),0)</f>
        <v>66.18</v>
      </c>
      <c r="AG13" s="97">
        <f t="shared" si="3"/>
        <v>36.84</v>
      </c>
      <c r="AH13" s="107">
        <f t="shared" si="4"/>
        <v>6191.16</v>
      </c>
      <c r="AI13" s="108"/>
      <c r="AJ13" s="107">
        <f t="shared" si="5"/>
        <v>6191.16</v>
      </c>
      <c r="AK13" s="109"/>
      <c r="AL13" s="107">
        <f t="shared" si="6"/>
        <v>6228</v>
      </c>
      <c r="AM13" s="109"/>
      <c r="AN13" s="109"/>
      <c r="AO13" s="109"/>
      <c r="AP13" s="109"/>
      <c r="AQ13" s="109"/>
      <c r="AR13" s="116" t="str">
        <f t="shared" si="7"/>
        <v>正确</v>
      </c>
      <c r="AS13" s="116" t="str">
        <f>IF(SUMPRODUCT(N(E$1:E$5=E13))&gt;1,"重复","不")</f>
        <v>不</v>
      </c>
      <c r="AT13" s="116" t="str">
        <f>IF(SUMPRODUCT(N(AO$1:AO$5=AO13))&gt;1,"重复","不")</f>
        <v>重复</v>
      </c>
      <c r="AU13" s="12" t="s">
        <v>190</v>
      </c>
      <c r="AV13" s="12" t="s">
        <v>51</v>
      </c>
    </row>
    <row r="14" s="12" customFormat="1" ht="18" customHeight="1" spans="1:48">
      <c r="A14" s="36">
        <v>11</v>
      </c>
      <c r="B14" s="37" t="s">
        <v>184</v>
      </c>
      <c r="C14" s="37" t="s">
        <v>199</v>
      </c>
      <c r="D14" s="37" t="s">
        <v>120</v>
      </c>
      <c r="E14" s="352" t="s">
        <v>200</v>
      </c>
      <c r="F14" s="38" t="s">
        <v>187</v>
      </c>
      <c r="G14" s="39" t="s">
        <v>201</v>
      </c>
      <c r="H14" s="40"/>
      <c r="I14" s="40"/>
      <c r="J14" s="69"/>
      <c r="K14" s="40"/>
      <c r="L14" s="70">
        <v>7000</v>
      </c>
      <c r="M14" s="71">
        <v>321.52</v>
      </c>
      <c r="N14" s="71">
        <v>120.38</v>
      </c>
      <c r="O14" s="71">
        <v>20.1</v>
      </c>
      <c r="P14" s="71">
        <v>97</v>
      </c>
      <c r="Q14" s="89">
        <f t="shared" si="0"/>
        <v>559</v>
      </c>
      <c r="R14" s="70">
        <v>0</v>
      </c>
      <c r="S14" s="90">
        <f>L14+IFERROR(VLOOKUP($E:$E,'（居民）工资表-2月'!$E:$S,15,0),0)</f>
        <v>7000</v>
      </c>
      <c r="T14" s="91">
        <f>5000+IFERROR(VLOOKUP($E:$E,'（居民）工资表-2月'!$E:$T,16,0),0)</f>
        <v>5000</v>
      </c>
      <c r="U14" s="91">
        <f>Q14+IFERROR(VLOOKUP($E:$E,'（居民）工资表-2月'!$E:$U,17,0),0)</f>
        <v>559</v>
      </c>
      <c r="V14" s="70"/>
      <c r="W14" s="70"/>
      <c r="X14" s="70"/>
      <c r="Y14" s="70"/>
      <c r="Z14" s="70"/>
      <c r="AA14" s="70"/>
      <c r="AB14" s="90">
        <f t="shared" si="1"/>
        <v>0</v>
      </c>
      <c r="AC14" s="90">
        <f>R14+IFERROR(VLOOKUP($E:$E,'（居民）工资表-2月'!$E:$AC,25,0),0)</f>
        <v>0</v>
      </c>
      <c r="AD14" s="95">
        <f t="shared" si="2"/>
        <v>1441</v>
      </c>
      <c r="AE14" s="96">
        <f>ROUND(MAX((AD14)*{0.03;0.1;0.2;0.25;0.3;0.35;0.45}-{0;2520;16920;31920;52920;85920;181920},0),2)</f>
        <v>43.23</v>
      </c>
      <c r="AF14" s="97">
        <f>IFERROR(VLOOKUP(E:E,'（居民）工资表-2月'!E:AF,28,0)+VLOOKUP(E:E,'（居民）工资表-2月'!E:AG,29,0),0)</f>
        <v>0</v>
      </c>
      <c r="AG14" s="97">
        <f t="shared" si="3"/>
        <v>43.23</v>
      </c>
      <c r="AH14" s="107">
        <f t="shared" si="4"/>
        <v>6397.77</v>
      </c>
      <c r="AI14" s="108"/>
      <c r="AJ14" s="107">
        <f t="shared" si="5"/>
        <v>6397.77</v>
      </c>
      <c r="AK14" s="109"/>
      <c r="AL14" s="107">
        <f t="shared" si="6"/>
        <v>6441</v>
      </c>
      <c r="AM14" s="109"/>
      <c r="AN14" s="109"/>
      <c r="AO14" s="109"/>
      <c r="AP14" s="109"/>
      <c r="AQ14" s="109"/>
      <c r="AR14" s="116" t="str">
        <f t="shared" si="7"/>
        <v>正确</v>
      </c>
      <c r="AS14" s="116" t="str">
        <f>IF(SUMPRODUCT(N(E$1:E$5=E14))&gt;1,"重复","不")</f>
        <v>不</v>
      </c>
      <c r="AT14" s="116" t="str">
        <f>IF(SUMPRODUCT(N(AO$1:AO$5=AO14))&gt;1,"重复","不")</f>
        <v>重复</v>
      </c>
      <c r="AU14" s="12" t="s">
        <v>190</v>
      </c>
      <c r="AV14" s="12" t="s">
        <v>51</v>
      </c>
    </row>
    <row r="15" s="12" customFormat="1" ht="18" customHeight="1" spans="1:48">
      <c r="A15" s="36">
        <v>12</v>
      </c>
      <c r="B15" s="37" t="s">
        <v>184</v>
      </c>
      <c r="C15" s="37" t="s">
        <v>202</v>
      </c>
      <c r="D15" s="37" t="s">
        <v>120</v>
      </c>
      <c r="E15" s="352" t="s">
        <v>203</v>
      </c>
      <c r="F15" s="38" t="s">
        <v>187</v>
      </c>
      <c r="G15" s="39">
        <v>15855788591</v>
      </c>
      <c r="H15" s="40"/>
      <c r="I15" s="40"/>
      <c r="J15" s="69"/>
      <c r="K15" s="40"/>
      <c r="L15" s="70">
        <v>6060</v>
      </c>
      <c r="M15" s="71">
        <v>321.52</v>
      </c>
      <c r="N15" s="71">
        <v>89.09</v>
      </c>
      <c r="O15" s="71">
        <v>20.1</v>
      </c>
      <c r="P15" s="71">
        <v>97</v>
      </c>
      <c r="Q15" s="89">
        <f t="shared" si="0"/>
        <v>527.71</v>
      </c>
      <c r="R15" s="70">
        <v>0</v>
      </c>
      <c r="S15" s="90">
        <f>L15+IFERROR(VLOOKUP($E:$E,'（居民）工资表-2月'!$E:$S,15,0),0)</f>
        <v>6060</v>
      </c>
      <c r="T15" s="91">
        <f>5000+IFERROR(VLOOKUP($E:$E,'（居民）工资表-2月'!$E:$T,16,0),0)</f>
        <v>5000</v>
      </c>
      <c r="U15" s="91">
        <f>Q15+IFERROR(VLOOKUP($E:$E,'（居民）工资表-2月'!$E:$U,17,0),0)</f>
        <v>527.71</v>
      </c>
      <c r="V15" s="70"/>
      <c r="W15" s="70"/>
      <c r="X15" s="70"/>
      <c r="Y15" s="70"/>
      <c r="Z15" s="70"/>
      <c r="AA15" s="70"/>
      <c r="AB15" s="90">
        <f t="shared" si="1"/>
        <v>0</v>
      </c>
      <c r="AC15" s="90">
        <f>R15+IFERROR(VLOOKUP($E:$E,'（居民）工资表-2月'!$E:$AC,25,0),0)</f>
        <v>0</v>
      </c>
      <c r="AD15" s="95">
        <f t="shared" si="2"/>
        <v>532.29</v>
      </c>
      <c r="AE15" s="96">
        <f>ROUND(MAX((AD15)*{0.03;0.1;0.2;0.25;0.3;0.35;0.45}-{0;2520;16920;31920;52920;85920;181920},0),2)</f>
        <v>15.97</v>
      </c>
      <c r="AF15" s="97">
        <f>IFERROR(VLOOKUP(E:E,'（居民）工资表-2月'!E:AF,28,0)+VLOOKUP(E:E,'（居民）工资表-2月'!E:AG,29,0),0)</f>
        <v>0</v>
      </c>
      <c r="AG15" s="97">
        <f t="shared" si="3"/>
        <v>15.97</v>
      </c>
      <c r="AH15" s="107">
        <f t="shared" si="4"/>
        <v>5516.32</v>
      </c>
      <c r="AI15" s="108"/>
      <c r="AJ15" s="107">
        <f t="shared" si="5"/>
        <v>5516.32</v>
      </c>
      <c r="AK15" s="109"/>
      <c r="AL15" s="107">
        <f t="shared" si="6"/>
        <v>5532.29</v>
      </c>
      <c r="AM15" s="109"/>
      <c r="AN15" s="109"/>
      <c r="AO15" s="109"/>
      <c r="AP15" s="109"/>
      <c r="AQ15" s="109"/>
      <c r="AR15" s="116" t="str">
        <f t="shared" si="7"/>
        <v>正确</v>
      </c>
      <c r="AS15" s="116" t="str">
        <f>IF(SUMPRODUCT(N(E$1:E$5=E15))&gt;1,"重复","不")</f>
        <v>不</v>
      </c>
      <c r="AT15" s="116" t="str">
        <f>IF(SUMPRODUCT(N(AO$1:AO$5=AO15))&gt;1,"重复","不")</f>
        <v>重复</v>
      </c>
      <c r="AU15" s="12" t="s">
        <v>190</v>
      </c>
      <c r="AV15" s="12" t="s">
        <v>51</v>
      </c>
    </row>
    <row r="16" s="12" customFormat="1" ht="18" customHeight="1" spans="1:48">
      <c r="A16" s="36">
        <v>13</v>
      </c>
      <c r="B16" s="37" t="s">
        <v>184</v>
      </c>
      <c r="C16" s="37" t="s">
        <v>139</v>
      </c>
      <c r="D16" s="37" t="s">
        <v>120</v>
      </c>
      <c r="E16" s="352" t="s">
        <v>140</v>
      </c>
      <c r="F16" s="38" t="s">
        <v>187</v>
      </c>
      <c r="G16" s="39"/>
      <c r="H16" s="40"/>
      <c r="I16" s="40"/>
      <c r="J16" s="69"/>
      <c r="K16" s="40"/>
      <c r="L16" s="70">
        <v>6000</v>
      </c>
      <c r="M16" s="71">
        <v>321.52</v>
      </c>
      <c r="N16" s="71">
        <v>80.38</v>
      </c>
      <c r="O16" s="71">
        <v>20.1</v>
      </c>
      <c r="P16" s="71">
        <v>103</v>
      </c>
      <c r="Q16" s="89">
        <f t="shared" si="0"/>
        <v>525</v>
      </c>
      <c r="R16" s="70">
        <v>0</v>
      </c>
      <c r="S16" s="90">
        <f>L16+IFERROR(VLOOKUP($E:$E,'（居民）工资表-2月'!$E:$S,15,0),0)</f>
        <v>12000</v>
      </c>
      <c r="T16" s="91">
        <f>5000+IFERROR(VLOOKUP($E:$E,'（居民）工资表-2月'!$E:$T,16,0),0)</f>
        <v>10000</v>
      </c>
      <c r="U16" s="91">
        <f>Q16+IFERROR(VLOOKUP($E:$E,'（居民）工资表-2月'!$E:$U,17,0),0)</f>
        <v>1071.84</v>
      </c>
      <c r="V16" s="70"/>
      <c r="W16" s="70"/>
      <c r="X16" s="70"/>
      <c r="Y16" s="70"/>
      <c r="Z16" s="70"/>
      <c r="AA16" s="70"/>
      <c r="AB16" s="90">
        <f t="shared" si="1"/>
        <v>0</v>
      </c>
      <c r="AC16" s="90">
        <f>R16+IFERROR(VLOOKUP($E:$E,'（居民）工资表-2月'!$E:$AC,25,0),0)</f>
        <v>0</v>
      </c>
      <c r="AD16" s="95">
        <f t="shared" si="2"/>
        <v>928.16</v>
      </c>
      <c r="AE16" s="96">
        <f>ROUND(MAX((AD16)*{0.03;0.1;0.2;0.25;0.3;0.35;0.45}-{0;2520;16920;31920;52920;85920;181920},0),2)</f>
        <v>27.84</v>
      </c>
      <c r="AF16" s="97">
        <f>IFERROR(VLOOKUP(E:E,'（居民）工资表-2月'!E:AF,28,0)+VLOOKUP(E:E,'（居民）工资表-2月'!E:AG,29,0),0)</f>
        <v>13.59</v>
      </c>
      <c r="AG16" s="97">
        <f t="shared" si="3"/>
        <v>14.25</v>
      </c>
      <c r="AH16" s="107">
        <f t="shared" si="4"/>
        <v>5460.75</v>
      </c>
      <c r="AI16" s="108"/>
      <c r="AJ16" s="107">
        <f t="shared" si="5"/>
        <v>5460.75</v>
      </c>
      <c r="AK16" s="109"/>
      <c r="AL16" s="107">
        <f t="shared" si="6"/>
        <v>5475</v>
      </c>
      <c r="AM16" s="109"/>
      <c r="AN16" s="109"/>
      <c r="AO16" s="109"/>
      <c r="AP16" s="109"/>
      <c r="AQ16" s="109"/>
      <c r="AR16" s="116" t="str">
        <f t="shared" si="7"/>
        <v>正确</v>
      </c>
      <c r="AS16" s="116" t="str">
        <f>IF(SUMPRODUCT(N(E$1:E$5=E16))&gt;1,"重复","不")</f>
        <v>不</v>
      </c>
      <c r="AT16" s="116" t="str">
        <f>IF(SUMPRODUCT(N(AO$1:AO$5=AO16))&gt;1,"重复","不")</f>
        <v>重复</v>
      </c>
      <c r="AU16" s="12" t="s">
        <v>190</v>
      </c>
      <c r="AV16" s="12" t="s">
        <v>51</v>
      </c>
    </row>
    <row r="17" s="12" customFormat="1" ht="18" customHeight="1" spans="1:48">
      <c r="A17" s="36">
        <v>14</v>
      </c>
      <c r="B17" s="37" t="s">
        <v>184</v>
      </c>
      <c r="C17" s="37" t="s">
        <v>141</v>
      </c>
      <c r="D17" s="37" t="s">
        <v>120</v>
      </c>
      <c r="E17" s="352" t="s">
        <v>142</v>
      </c>
      <c r="F17" s="38" t="s">
        <v>185</v>
      </c>
      <c r="G17" s="39"/>
      <c r="H17" s="40"/>
      <c r="I17" s="40"/>
      <c r="J17" s="69"/>
      <c r="K17" s="40"/>
      <c r="L17" s="70">
        <v>9904.76</v>
      </c>
      <c r="M17" s="71">
        <v>321.52</v>
      </c>
      <c r="N17" s="71">
        <v>89.09</v>
      </c>
      <c r="O17" s="71">
        <v>20.1</v>
      </c>
      <c r="P17" s="71">
        <v>97</v>
      </c>
      <c r="Q17" s="89">
        <f t="shared" si="0"/>
        <v>527.71</v>
      </c>
      <c r="R17" s="70">
        <v>0</v>
      </c>
      <c r="S17" s="90">
        <f>L17+IFERROR(VLOOKUP($E:$E,'（居民）工资表-2月'!$E:$S,15,0),0)</f>
        <v>19904.76</v>
      </c>
      <c r="T17" s="91">
        <f>5000+IFERROR(VLOOKUP($E:$E,'（居民）工资表-2月'!$E:$T,16,0),0)</f>
        <v>10000</v>
      </c>
      <c r="U17" s="91">
        <f>Q17+IFERROR(VLOOKUP($E:$E,'（居民）工资表-2月'!$E:$U,17,0),0)</f>
        <v>1077.71</v>
      </c>
      <c r="V17" s="70"/>
      <c r="W17" s="70"/>
      <c r="X17" s="70"/>
      <c r="Y17" s="70"/>
      <c r="Z17" s="70"/>
      <c r="AA17" s="70"/>
      <c r="AB17" s="90">
        <f t="shared" si="1"/>
        <v>0</v>
      </c>
      <c r="AC17" s="90">
        <f>R17+IFERROR(VLOOKUP($E:$E,'（居民）工资表-2月'!$E:$AC,25,0),0)</f>
        <v>0</v>
      </c>
      <c r="AD17" s="95">
        <f t="shared" si="2"/>
        <v>8827.05</v>
      </c>
      <c r="AE17" s="96">
        <f>ROUND(MAX((AD17)*{0.03;0.1;0.2;0.25;0.3;0.35;0.45}-{0;2520;16920;31920;52920;85920;181920},0),2)</f>
        <v>264.81</v>
      </c>
      <c r="AF17" s="97">
        <f>IFERROR(VLOOKUP(E:E,'（居民）工资表-2月'!E:AF,28,0)+VLOOKUP(E:E,'（居民）工资表-2月'!E:AG,29,0),0)</f>
        <v>133.5</v>
      </c>
      <c r="AG17" s="97">
        <f t="shared" si="3"/>
        <v>131.31</v>
      </c>
      <c r="AH17" s="107">
        <f t="shared" si="4"/>
        <v>9245.74</v>
      </c>
      <c r="AI17" s="108"/>
      <c r="AJ17" s="107">
        <f t="shared" si="5"/>
        <v>9245.74</v>
      </c>
      <c r="AK17" s="109"/>
      <c r="AL17" s="107">
        <f t="shared" si="6"/>
        <v>9377.05</v>
      </c>
      <c r="AM17" s="109"/>
      <c r="AN17" s="109"/>
      <c r="AO17" s="109"/>
      <c r="AP17" s="109"/>
      <c r="AQ17" s="109"/>
      <c r="AR17" s="116" t="str">
        <f t="shared" si="7"/>
        <v>正确</v>
      </c>
      <c r="AS17" s="116" t="str">
        <f>IF(SUMPRODUCT(N(E$1:E$5=E17))&gt;1,"重复","不")</f>
        <v>不</v>
      </c>
      <c r="AT17" s="116" t="str">
        <f>IF(SUMPRODUCT(N(AO$1:AO$5=AO17))&gt;1,"重复","不")</f>
        <v>重复</v>
      </c>
      <c r="AU17" s="12" t="s">
        <v>190</v>
      </c>
      <c r="AV17" s="12" t="s">
        <v>51</v>
      </c>
    </row>
    <row r="18" s="12" customFormat="1" ht="18" customHeight="1" spans="1:46">
      <c r="A18" s="36"/>
      <c r="B18" s="37"/>
      <c r="C18" s="119"/>
      <c r="D18" s="37"/>
      <c r="E18" s="120"/>
      <c r="F18" s="38"/>
      <c r="G18" s="121"/>
      <c r="H18" s="122"/>
      <c r="I18" s="122"/>
      <c r="J18" s="123"/>
      <c r="K18" s="122"/>
      <c r="L18" s="124"/>
      <c r="M18" s="124"/>
      <c r="N18" s="124"/>
      <c r="O18" s="124"/>
      <c r="P18" s="124"/>
      <c r="Q18" s="89"/>
      <c r="R18" s="70"/>
      <c r="S18" s="90"/>
      <c r="T18" s="91"/>
      <c r="U18" s="91"/>
      <c r="V18" s="70"/>
      <c r="W18" s="70"/>
      <c r="X18" s="70"/>
      <c r="Y18" s="70"/>
      <c r="Z18" s="70"/>
      <c r="AA18" s="70"/>
      <c r="AB18" s="90"/>
      <c r="AC18" s="90"/>
      <c r="AD18" s="95"/>
      <c r="AE18" s="96"/>
      <c r="AF18" s="97"/>
      <c r="AG18" s="97"/>
      <c r="AH18" s="107"/>
      <c r="AI18" s="108"/>
      <c r="AJ18" s="107"/>
      <c r="AK18" s="109"/>
      <c r="AL18" s="107"/>
      <c r="AM18" s="109"/>
      <c r="AN18" s="109"/>
      <c r="AO18" s="109"/>
      <c r="AP18" s="109"/>
      <c r="AQ18" s="109"/>
      <c r="AR18" s="116"/>
      <c r="AS18" s="116"/>
      <c r="AT18" s="116"/>
    </row>
    <row r="19" s="13" customFormat="1" ht="18" customHeight="1" spans="1:46">
      <c r="A19" s="41"/>
      <c r="B19" s="42" t="s">
        <v>143</v>
      </c>
      <c r="C19" s="42"/>
      <c r="D19" s="43"/>
      <c r="E19" s="44"/>
      <c r="F19" s="45"/>
      <c r="G19" s="46"/>
      <c r="H19" s="45"/>
      <c r="I19" s="72"/>
      <c r="J19" s="73"/>
      <c r="K19" s="72"/>
      <c r="L19" s="74">
        <f>SUM(L4:L18)</f>
        <v>124750.6</v>
      </c>
      <c r="M19" s="74">
        <f>SUM(M4:M18)</f>
        <v>4924.98</v>
      </c>
      <c r="N19" s="74">
        <f>SUM(N4:N18)</f>
        <v>1400.95</v>
      </c>
      <c r="O19" s="74">
        <f>SUM(O4:O18)</f>
        <v>269.95</v>
      </c>
      <c r="P19" s="74">
        <f t="shared" ref="P19:AL19" si="10">SUM(P4:P18)</f>
        <v>2302.4</v>
      </c>
      <c r="Q19" s="74">
        <f t="shared" si="10"/>
        <v>8898.28</v>
      </c>
      <c r="R19" s="74">
        <f t="shared" si="10"/>
        <v>0</v>
      </c>
      <c r="S19" s="74">
        <f t="shared" si="10"/>
        <v>239893.5</v>
      </c>
      <c r="T19" s="74">
        <f t="shared" si="10"/>
        <v>130000</v>
      </c>
      <c r="U19" s="74">
        <f t="shared" si="10"/>
        <v>17099.66</v>
      </c>
      <c r="V19" s="74">
        <f t="shared" si="10"/>
        <v>3000</v>
      </c>
      <c r="W19" s="74">
        <f t="shared" si="10"/>
        <v>0</v>
      </c>
      <c r="X19" s="74">
        <f t="shared" si="10"/>
        <v>3000</v>
      </c>
      <c r="Y19" s="74">
        <f t="shared" si="10"/>
        <v>0</v>
      </c>
      <c r="Z19" s="74">
        <f t="shared" si="10"/>
        <v>1200</v>
      </c>
      <c r="AA19" s="74">
        <f t="shared" si="10"/>
        <v>0</v>
      </c>
      <c r="AB19" s="74">
        <f t="shared" si="10"/>
        <v>7200</v>
      </c>
      <c r="AC19" s="74">
        <f t="shared" si="10"/>
        <v>0</v>
      </c>
      <c r="AD19" s="74">
        <f t="shared" si="10"/>
        <v>85593.84</v>
      </c>
      <c r="AE19" s="74">
        <f t="shared" si="10"/>
        <v>3565.01</v>
      </c>
      <c r="AF19" s="74">
        <f t="shared" si="10"/>
        <v>1445.47</v>
      </c>
      <c r="AG19" s="74">
        <f t="shared" si="10"/>
        <v>2190.91</v>
      </c>
      <c r="AH19" s="74">
        <f t="shared" si="10"/>
        <v>113661.41</v>
      </c>
      <c r="AI19" s="74">
        <f t="shared" si="10"/>
        <v>0</v>
      </c>
      <c r="AJ19" s="74">
        <f t="shared" si="10"/>
        <v>113661.41</v>
      </c>
      <c r="AK19" s="74">
        <f t="shared" si="10"/>
        <v>0</v>
      </c>
      <c r="AL19" s="74">
        <f t="shared" si="10"/>
        <v>115852.32</v>
      </c>
      <c r="AM19" s="110"/>
      <c r="AN19" s="110"/>
      <c r="AO19" s="110"/>
      <c r="AP19" s="110"/>
      <c r="AQ19" s="110"/>
      <c r="AR19" s="45"/>
      <c r="AS19" s="45"/>
      <c r="AT19" s="118"/>
    </row>
    <row r="22" spans="30:30">
      <c r="AD22" s="101"/>
    </row>
    <row r="23" ht="18.75" customHeight="1" spans="2:30">
      <c r="B23" s="47" t="s">
        <v>144</v>
      </c>
      <c r="C23" s="47" t="s">
        <v>145</v>
      </c>
      <c r="D23" s="47" t="s">
        <v>22</v>
      </c>
      <c r="E23" s="47" t="s">
        <v>23</v>
      </c>
      <c r="AD23" s="10"/>
    </row>
    <row r="24" ht="18.75" customHeight="1" spans="2:5">
      <c r="B24" s="48">
        <f>AJ19</f>
        <v>113661.41</v>
      </c>
      <c r="C24" s="48">
        <f>AG19</f>
        <v>2190.91</v>
      </c>
      <c r="D24" s="48">
        <f>AK19</f>
        <v>0</v>
      </c>
      <c r="E24" s="48">
        <f>B24+C24+D24</f>
        <v>115852.32</v>
      </c>
    </row>
    <row r="25" spans="2:5">
      <c r="B25" s="49"/>
      <c r="C25" s="49"/>
      <c r="D25" s="49"/>
      <c r="E25" s="49"/>
    </row>
    <row r="26" s="14" customFormat="1" spans="1:35">
      <c r="A26" s="51" t="s">
        <v>206</v>
      </c>
      <c r="B26" s="52" t="s">
        <v>207</v>
      </c>
      <c r="C26" s="50"/>
      <c r="D26" s="50"/>
      <c r="E26" s="50"/>
      <c r="G26" s="53"/>
      <c r="J26" s="75"/>
      <c r="M26" s="76"/>
      <c r="AI26" s="112"/>
    </row>
    <row r="27" s="14" customFormat="1" spans="1:35">
      <c r="A27" s="54"/>
      <c r="B27" s="55" t="s">
        <v>208</v>
      </c>
      <c r="C27" s="50"/>
      <c r="D27" s="50"/>
      <c r="E27" s="50"/>
      <c r="G27" s="53"/>
      <c r="J27" s="75"/>
      <c r="M27" s="76"/>
      <c r="AI27" s="112"/>
    </row>
    <row r="28" s="14" customFormat="1" spans="1:35">
      <c r="A28" s="52"/>
      <c r="B28" s="55" t="s">
        <v>209</v>
      </c>
      <c r="C28" s="56"/>
      <c r="D28" s="56"/>
      <c r="E28" s="56"/>
      <c r="F28" s="56"/>
      <c r="G28" s="56"/>
      <c r="H28" s="56"/>
      <c r="I28" s="56"/>
      <c r="J28" s="77"/>
      <c r="K28" s="56"/>
      <c r="L28" s="56"/>
      <c r="M28" s="78"/>
      <c r="N28" s="56"/>
      <c r="O28" s="56"/>
      <c r="P28" s="56"/>
      <c r="AI28" s="112"/>
    </row>
    <row r="29" s="14" customFormat="1" customHeight="1" spans="1:35">
      <c r="A29" s="55"/>
      <c r="B29" s="55" t="s">
        <v>210</v>
      </c>
      <c r="C29" s="57"/>
      <c r="D29" s="57"/>
      <c r="E29" s="57"/>
      <c r="F29" s="57"/>
      <c r="G29" s="57"/>
      <c r="H29" s="57"/>
      <c r="I29" s="79"/>
      <c r="J29" s="80"/>
      <c r="K29" s="79"/>
      <c r="L29" s="79"/>
      <c r="M29" s="81"/>
      <c r="N29" s="79"/>
      <c r="O29" s="79"/>
      <c r="P29" s="79"/>
      <c r="AI29" s="112"/>
    </row>
    <row r="30" s="14" customFormat="1" customHeight="1" spans="1:35">
      <c r="A30" s="55"/>
      <c r="B30" s="55" t="s">
        <v>211</v>
      </c>
      <c r="C30" s="57"/>
      <c r="D30" s="57"/>
      <c r="E30" s="57"/>
      <c r="F30" s="57"/>
      <c r="G30" s="57"/>
      <c r="H30" s="57"/>
      <c r="I30" s="57"/>
      <c r="J30" s="82"/>
      <c r="K30" s="57"/>
      <c r="L30" s="79"/>
      <c r="M30" s="81"/>
      <c r="N30" s="79"/>
      <c r="O30" s="79"/>
      <c r="P30" s="79"/>
      <c r="AI30" s="112"/>
    </row>
    <row r="31" s="14" customFormat="1" customHeight="1" spans="1:35">
      <c r="A31" s="55"/>
      <c r="B31" s="55" t="s">
        <v>212</v>
      </c>
      <c r="C31" s="57"/>
      <c r="D31" s="57"/>
      <c r="E31" s="57"/>
      <c r="F31" s="57"/>
      <c r="G31" s="57"/>
      <c r="H31" s="57"/>
      <c r="I31" s="79"/>
      <c r="J31" s="80"/>
      <c r="K31" s="79"/>
      <c r="L31" s="79"/>
      <c r="M31" s="81"/>
      <c r="N31" s="79"/>
      <c r="O31" s="79"/>
      <c r="P31" s="79"/>
      <c r="AI31" s="112"/>
    </row>
    <row r="33" ht="11.25" customHeight="1" spans="2:2">
      <c r="B33" s="58" t="s">
        <v>213</v>
      </c>
    </row>
    <row r="34" spans="2:2">
      <c r="B34" s="59" t="s">
        <v>214</v>
      </c>
    </row>
    <row r="35" spans="2:2">
      <c r="B35" s="59" t="s">
        <v>215</v>
      </c>
    </row>
  </sheetData>
  <autoFilter xmlns:etc="http://www.wps.cn/officeDocument/2017/etCustomData" ref="A3:AT19" etc:filterBottomFollowUsedRange="0">
    <extLst/>
  </autoFilter>
  <mergeCells count="39">
    <mergeCell ref="M1:P1"/>
    <mergeCell ref="M2:P2"/>
    <mergeCell ref="V2:AA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Q2:Q3"/>
    <mergeCell ref="R2:R3"/>
    <mergeCell ref="S2:S3"/>
    <mergeCell ref="T2:T3"/>
    <mergeCell ref="U2:U3"/>
    <mergeCell ref="AB2:AB3"/>
    <mergeCell ref="AC2:AC3"/>
    <mergeCell ref="AD2:AD3"/>
    <mergeCell ref="AE2:AE3"/>
    <mergeCell ref="AF2:AF3"/>
    <mergeCell ref="AG2:AG3"/>
    <mergeCell ref="AH2:AH3"/>
    <mergeCell ref="AI2:AI3"/>
    <mergeCell ref="AJ2:AJ3"/>
    <mergeCell ref="AK2:AK3"/>
    <mergeCell ref="AL2:AL3"/>
    <mergeCell ref="AM2:AM3"/>
    <mergeCell ref="AN2:AN3"/>
    <mergeCell ref="AO2:AO3"/>
    <mergeCell ref="AP2:AP3"/>
    <mergeCell ref="AQ2:AQ3"/>
    <mergeCell ref="AR2:AR3"/>
    <mergeCell ref="AS2:AS3"/>
    <mergeCell ref="AT2:AT3"/>
  </mergeCells>
  <conditionalFormatting sqref="B31">
    <cfRule type="duplicateValues" dxfId="4" priority="2" stopIfTrue="1"/>
  </conditionalFormatting>
  <conditionalFormatting sqref="B26:B30">
    <cfRule type="duplicateValues" dxfId="4" priority="3" stopIfTrue="1"/>
  </conditionalFormatting>
  <conditionalFormatting sqref="B34:B35">
    <cfRule type="duplicateValues" dxfId="4" priority="1" stopIfTrue="1"/>
  </conditionalFormatting>
  <conditionalFormatting sqref="C23:C25">
    <cfRule type="duplicateValues" dxfId="4" priority="4" stopIfTrue="1"/>
    <cfRule type="expression" dxfId="5" priority="5" stopIfTrue="1">
      <formula>AND(COUNTIF($B$19:$B$65455,C23)+COUNTIF($B$1:$B$3,C23)&gt;1,NOT(ISBLANK(C23)))</formula>
    </cfRule>
    <cfRule type="expression" dxfId="5" priority="6" stopIfTrue="1">
      <formula>AND(COUNTIF($B$30:$B$65406,C23)+COUNTIF($B$1:$B$29,C23)&gt;1,NOT(ISBLANK(C23)))</formula>
    </cfRule>
    <cfRule type="expression" dxfId="5" priority="7" stopIfTrue="1">
      <formula>AND(COUNTIF($B$19:$B$65444,C23)+COUNTIF($B$1:$B$3,C23)&gt;1,NOT(ISBLANK(C23)))</formula>
    </cfRule>
  </conditionalFormatting>
  <pageMargins left="0.235416666666667" right="0.235416666666667" top="0.747916666666667" bottom="0.747916666666667" header="0.313888888888889" footer="0.313888888888889"/>
  <pageSetup paperSize="9" scale="56" fitToWidth="2" orientation="landscape"/>
  <headerFooter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5">
    <tabColor rgb="FF00B050"/>
    <pageSetUpPr fitToPage="1"/>
  </sheetPr>
  <dimension ref="A1:AT36"/>
  <sheetViews>
    <sheetView workbookViewId="0">
      <pane xSplit="6" ySplit="3" topLeftCell="G4" activePane="bottomRight" state="frozen"/>
      <selection/>
      <selection pane="topRight"/>
      <selection pane="bottomLeft"/>
      <selection pane="bottomRight" activeCell="B4" sqref="B4:P18"/>
    </sheetView>
  </sheetViews>
  <sheetFormatPr defaultColWidth="9" defaultRowHeight="13.5"/>
  <cols>
    <col min="1" max="1" width="4.45" style="15" customWidth="1"/>
    <col min="2" max="2" width="12.6333333333333" style="15" customWidth="1"/>
    <col min="3" max="3" width="10.45" style="15" customWidth="1"/>
    <col min="4" max="4" width="8.725" style="15" customWidth="1"/>
    <col min="5" max="5" width="19.45" style="16" customWidth="1"/>
    <col min="6" max="6" width="9" style="15"/>
    <col min="7" max="7" width="11.9083333333333" style="17" customWidth="1"/>
    <col min="8" max="8" width="4.63333333333333" style="15" hidden="1" customWidth="1"/>
    <col min="9" max="9" width="5.26666666666667" style="15" hidden="1" customWidth="1"/>
    <col min="10" max="10" width="11.725" style="18" customWidth="1"/>
    <col min="11" max="11" width="5.26666666666667" style="15" customWidth="1"/>
    <col min="12" max="12" width="11.725" style="15" customWidth="1"/>
    <col min="13" max="13" width="9.90833333333333" style="15" customWidth="1" outlineLevel="1"/>
    <col min="14" max="15" width="9" style="15" customWidth="1" outlineLevel="1"/>
    <col min="16" max="16" width="11.0916666666667" style="15" customWidth="1" outlineLevel="1"/>
    <col min="17" max="17" width="9.725" style="15" customWidth="1"/>
    <col min="18" max="18" width="9.45" style="15" customWidth="1"/>
    <col min="19" max="19" width="11.45" style="15" customWidth="1"/>
    <col min="20" max="21" width="12.2666666666667" style="15" customWidth="1"/>
    <col min="22" max="27" width="9" style="15" customWidth="1" outlineLevel="1"/>
    <col min="28" max="28" width="11.2666666666667" style="15" customWidth="1"/>
    <col min="29" max="29" width="8.45" style="15" customWidth="1"/>
    <col min="30" max="30" width="15.2666666666667" style="15" customWidth="1"/>
    <col min="31" max="31" width="14" style="15" customWidth="1"/>
    <col min="32" max="32" width="10.725" style="15" customWidth="1"/>
    <col min="33" max="33" width="12.2666666666667" style="15" customWidth="1"/>
    <col min="34" max="34" width="11.45" style="15" customWidth="1"/>
    <col min="35" max="35" width="7.90833333333333" style="19" customWidth="1"/>
    <col min="36" max="36" width="11.45" style="15" customWidth="1"/>
    <col min="37" max="37" width="9" style="15"/>
    <col min="38" max="38" width="11.45" style="15" customWidth="1"/>
    <col min="39" max="40" width="9" style="15" customWidth="1"/>
    <col min="41" max="41" width="19" style="15" customWidth="1"/>
    <col min="42" max="42" width="12.2666666666667" style="15" customWidth="1"/>
    <col min="43" max="43" width="9" style="15" customWidth="1"/>
    <col min="44" max="44" width="7" style="15" customWidth="1"/>
    <col min="45" max="45" width="6.725" style="15" customWidth="1"/>
    <col min="46" max="46" width="6.09166666666667" style="15" customWidth="1"/>
    <col min="47" max="47" width="9" style="15" customWidth="1"/>
    <col min="48" max="16384" width="9" style="15"/>
  </cols>
  <sheetData>
    <row r="1" s="10" customFormat="1" ht="29.25" customHeight="1" spans="1:45">
      <c r="A1" s="20" t="s">
        <v>146</v>
      </c>
      <c r="B1" s="21"/>
      <c r="C1" s="22"/>
      <c r="D1" s="23"/>
      <c r="E1" s="24"/>
      <c r="F1" s="24"/>
      <c r="G1" s="25"/>
      <c r="J1" s="60"/>
      <c r="L1" s="61"/>
      <c r="M1" s="62" t="s">
        <v>147</v>
      </c>
      <c r="N1" s="62"/>
      <c r="O1" s="62"/>
      <c r="P1" s="62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  <c r="AC1" s="83"/>
      <c r="AD1" s="61"/>
      <c r="AE1" s="61"/>
      <c r="AF1" s="61"/>
      <c r="AG1" s="61"/>
      <c r="AH1" s="61"/>
      <c r="AI1" s="102"/>
      <c r="AJ1" s="61"/>
      <c r="AK1" s="61"/>
      <c r="AL1" s="61"/>
      <c r="AM1" s="24"/>
      <c r="AN1" s="24"/>
      <c r="AO1" s="113"/>
      <c r="AP1" s="24"/>
      <c r="AQ1" s="24"/>
      <c r="AR1" s="24"/>
      <c r="AS1" s="24"/>
    </row>
    <row r="2" s="11" customFormat="1" ht="20.15" customHeight="1" spans="1:46">
      <c r="A2" s="26" t="s">
        <v>0</v>
      </c>
      <c r="B2" s="27" t="s">
        <v>148</v>
      </c>
      <c r="C2" s="28" t="s">
        <v>149</v>
      </c>
      <c r="D2" s="28" t="s">
        <v>150</v>
      </c>
      <c r="E2" s="29" t="s">
        <v>151</v>
      </c>
      <c r="F2" s="30" t="s">
        <v>152</v>
      </c>
      <c r="G2" s="29" t="s">
        <v>153</v>
      </c>
      <c r="H2" s="29" t="s">
        <v>154</v>
      </c>
      <c r="I2" s="29" t="s">
        <v>155</v>
      </c>
      <c r="J2" s="63" t="s">
        <v>156</v>
      </c>
      <c r="K2" s="29" t="s">
        <v>157</v>
      </c>
      <c r="L2" s="29" t="s">
        <v>158</v>
      </c>
      <c r="M2" s="64" t="s">
        <v>159</v>
      </c>
      <c r="N2" s="65"/>
      <c r="O2" s="65"/>
      <c r="P2" s="66"/>
      <c r="Q2" s="30" t="s">
        <v>160</v>
      </c>
      <c r="R2" s="29" t="s">
        <v>161</v>
      </c>
      <c r="S2" s="30" t="s">
        <v>162</v>
      </c>
      <c r="T2" s="84" t="s">
        <v>163</v>
      </c>
      <c r="U2" s="30" t="s">
        <v>164</v>
      </c>
      <c r="V2" s="85" t="s">
        <v>165</v>
      </c>
      <c r="W2" s="86"/>
      <c r="X2" s="86"/>
      <c r="Y2" s="86"/>
      <c r="Z2" s="86"/>
      <c r="AA2" s="94"/>
      <c r="AB2" s="30" t="s">
        <v>166</v>
      </c>
      <c r="AC2" s="30" t="s">
        <v>167</v>
      </c>
      <c r="AD2" s="84" t="s">
        <v>168</v>
      </c>
      <c r="AE2" s="84" t="s">
        <v>169</v>
      </c>
      <c r="AF2" s="84" t="s">
        <v>170</v>
      </c>
      <c r="AG2" s="84" t="s">
        <v>171</v>
      </c>
      <c r="AH2" s="103" t="s">
        <v>172</v>
      </c>
      <c r="AI2" s="104" t="s">
        <v>173</v>
      </c>
      <c r="AJ2" s="103" t="s">
        <v>144</v>
      </c>
      <c r="AK2" s="28" t="s">
        <v>22</v>
      </c>
      <c r="AL2" s="103" t="s">
        <v>174</v>
      </c>
      <c r="AM2" s="29" t="s">
        <v>216</v>
      </c>
      <c r="AN2" s="29" t="s">
        <v>217</v>
      </c>
      <c r="AO2" s="114" t="s">
        <v>218</v>
      </c>
      <c r="AP2" s="29" t="s">
        <v>219</v>
      </c>
      <c r="AQ2" s="29" t="s">
        <v>220</v>
      </c>
      <c r="AR2" s="30" t="s">
        <v>221</v>
      </c>
      <c r="AS2" s="30" t="s">
        <v>222</v>
      </c>
      <c r="AT2" s="30" t="s">
        <v>223</v>
      </c>
    </row>
    <row r="3" s="11" customFormat="1" ht="27" customHeight="1" spans="1:46">
      <c r="A3" s="31"/>
      <c r="B3" s="32"/>
      <c r="C3" s="33"/>
      <c r="D3" s="33"/>
      <c r="E3" s="34"/>
      <c r="F3" s="35"/>
      <c r="G3" s="34"/>
      <c r="H3" s="34"/>
      <c r="I3" s="34"/>
      <c r="J3" s="67"/>
      <c r="K3" s="34"/>
      <c r="L3" s="34"/>
      <c r="M3" s="68" t="s">
        <v>175</v>
      </c>
      <c r="N3" s="68" t="s">
        <v>176</v>
      </c>
      <c r="O3" s="68" t="s">
        <v>177</v>
      </c>
      <c r="P3" s="68" t="s">
        <v>37</v>
      </c>
      <c r="Q3" s="35"/>
      <c r="R3" s="34"/>
      <c r="S3" s="35"/>
      <c r="T3" s="87"/>
      <c r="U3" s="35"/>
      <c r="V3" s="88" t="s">
        <v>178</v>
      </c>
      <c r="W3" s="88" t="s">
        <v>179</v>
      </c>
      <c r="X3" s="88" t="s">
        <v>180</v>
      </c>
      <c r="Y3" s="88" t="s">
        <v>181</v>
      </c>
      <c r="Z3" s="88" t="s">
        <v>182</v>
      </c>
      <c r="AA3" s="88" t="s">
        <v>183</v>
      </c>
      <c r="AB3" s="35"/>
      <c r="AC3" s="35"/>
      <c r="AD3" s="87"/>
      <c r="AE3" s="87"/>
      <c r="AF3" s="87"/>
      <c r="AG3" s="87"/>
      <c r="AH3" s="105"/>
      <c r="AI3" s="106"/>
      <c r="AJ3" s="105"/>
      <c r="AK3" s="33"/>
      <c r="AL3" s="105"/>
      <c r="AM3" s="34"/>
      <c r="AN3" s="34"/>
      <c r="AO3" s="115"/>
      <c r="AP3" s="34"/>
      <c r="AQ3" s="34"/>
      <c r="AR3" s="35"/>
      <c r="AS3" s="35"/>
      <c r="AT3" s="35"/>
    </row>
    <row r="4" s="12" customFormat="1" ht="18" customHeight="1" spans="1:46">
      <c r="A4" s="36">
        <v>1</v>
      </c>
      <c r="B4" s="37" t="s">
        <v>184</v>
      </c>
      <c r="C4" s="37" t="s">
        <v>61</v>
      </c>
      <c r="D4" s="37" t="s">
        <v>120</v>
      </c>
      <c r="E4" s="37" t="s">
        <v>62</v>
      </c>
      <c r="F4" s="38" t="s">
        <v>185</v>
      </c>
      <c r="G4" s="39">
        <v>13944441728</v>
      </c>
      <c r="H4" s="40"/>
      <c r="I4" s="40"/>
      <c r="J4" s="69"/>
      <c r="K4" s="40"/>
      <c r="L4" s="70">
        <f>VLOOKUP(C4,[1]Sheet1!$B$2:$D$16,3,0)</f>
        <v>8000</v>
      </c>
      <c r="M4" s="71">
        <v>319.46</v>
      </c>
      <c r="N4" s="71">
        <v>79.86</v>
      </c>
      <c r="O4" s="71">
        <v>11.98</v>
      </c>
      <c r="P4" s="71">
        <v>177.4</v>
      </c>
      <c r="Q4" s="89">
        <f t="shared" ref="Q4:Q22" si="0">ROUND(SUM(M4:P4),2)</f>
        <v>588.7</v>
      </c>
      <c r="R4" s="70">
        <v>0</v>
      </c>
      <c r="S4" s="90">
        <f>L4+IFERROR(VLOOKUP($E:$E,'（居民）工资表-3月'!$E:$S,15,0),0)</f>
        <v>24000</v>
      </c>
      <c r="T4" s="91">
        <f>5000+IFERROR(VLOOKUP($E:$E,'（居民）工资表-3月'!$E:$T,16,0),0)</f>
        <v>15000</v>
      </c>
      <c r="U4" s="91">
        <f>Q4+IFERROR(VLOOKUP($E:$E,'（居民）工资表-3月'!$E:$U,17,0),0)</f>
        <v>1798.43</v>
      </c>
      <c r="V4" s="70"/>
      <c r="W4" s="70"/>
      <c r="X4" s="70"/>
      <c r="Y4" s="70"/>
      <c r="Z4" s="70"/>
      <c r="AA4" s="70"/>
      <c r="AB4" s="90">
        <f t="shared" ref="AB4:AB22" si="1">ROUND(SUM(V4:AA4),2)</f>
        <v>0</v>
      </c>
      <c r="AC4" s="90">
        <f>R4+IFERROR(VLOOKUP($E:$E,'（居民）工资表-3月'!$E:$AC,25,0),0)</f>
        <v>0</v>
      </c>
      <c r="AD4" s="95">
        <f t="shared" ref="AD4:AD22" si="2">ROUND(S4-T4-U4-AB4-AC4,2)</f>
        <v>7201.57</v>
      </c>
      <c r="AE4" s="96">
        <f>ROUND(MAX((AD4)*{0.03;0.1;0.2;0.25;0.3;0.35;0.45}-{0;2520;16920;31920;52920;85920;181920},0),2)</f>
        <v>216.05</v>
      </c>
      <c r="AF4" s="97">
        <f>IFERROR(VLOOKUP(E:E,'（居民）工资表-3月'!E:AF,28,0)+VLOOKUP(E:E,'（居民）工资表-3月'!E:AG,29,0),0)</f>
        <v>71.37</v>
      </c>
      <c r="AG4" s="97">
        <f t="shared" ref="AG4:AG22" si="3">IF((AE4-AF4)&lt;0,0,AE4-AF4)</f>
        <v>144.68</v>
      </c>
      <c r="AH4" s="107">
        <f t="shared" ref="AH4:AH22" si="4">ROUND(IF((L4-Q4-AG4)&lt;0,0,(L4-Q4-AG4)),2)</f>
        <v>7266.62</v>
      </c>
      <c r="AI4" s="108"/>
      <c r="AJ4" s="107">
        <f t="shared" ref="AJ4:AJ22" si="5">AH4+AI4</f>
        <v>7266.62</v>
      </c>
      <c r="AK4" s="109"/>
      <c r="AL4" s="107">
        <f t="shared" ref="AL4:AL22" si="6">AJ4+AG4+AK4</f>
        <v>7411.3</v>
      </c>
      <c r="AM4" s="109"/>
      <c r="AN4" s="109"/>
      <c r="AO4" s="109"/>
      <c r="AP4" s="109"/>
      <c r="AQ4" s="109"/>
      <c r="AR4" s="116" t="str">
        <f t="shared" ref="AR4:AR11" si="7">IF(LEN(E4)=18,IF(RIGHT(E4,1)="X",IF(CHOOSE(MOD(SUM(LEFT(RIGHT(E4,18))*7+LEFT(RIGHT(E4,17))*9+LEFT(RIGHT(E4,16))*10+LEFT(RIGHT(E4,15))*5+LEFT(RIGHT(E4,14))*8+LEFT(RIGHT(E4,13))*4+LEFT(RIGHT(E4,12))*2+LEFT(RIGHT(E4,11))*1+LEFT(RIGHT(E4,10))*6+LEFT(RIGHT(E4,9))*3+LEFT(RIGHT(E4,8))*7+LEFT(RIGHT(E4,7))*9+LEFT(RIGHT(E4,6))*10+LEFT(RIGHT(E4,5))*5+LEFT(RIGHT(E4,4))*8+LEFT(RIGHT(E4,3))*4+LEFT(RIGHT(E4,2))*2),11)+1,1,0,"X",9,8,7,6,5,4,3,2)=LEFT(RIGHT(E4,1)),"正确","错误"),IF(CHOOSE(MOD(SUM(LEFT(RIGHT(E4,18))*7+LEFT(RIGHT(E4,17))*9+LEFT(RIGHT(E4,16))*10+LEFT(RIGHT(E4,15))*5+LEFT(RIGHT(E4,14))*8+LEFT(RIGHT(E4,13))*4+LEFT(RIGHT(E4,12))*2+LEFT(RIGHT(E4,11))*1+LEFT(RIGHT(E4,10))*6+LEFT(RIGHT(E4,9))*3+LEFT(RIGHT(E4,8))*7+LEFT(RIGHT(E4,7))*9+LEFT(RIGHT(E4,6))*10+LEFT(RIGHT(E4,5))*5+LEFT(RIGHT(E4,4))*8+LEFT(RIGHT(E4,3))*4+LEFT(RIGHT(E4,2))*2),11)+1,1,0,"X",9,8,7,6,5,4,3,2)=LEFT(RIGHT(E4,1))*1,"正确","错误")),IF(LEN(E4)=15,"老号，请注意！",IF(LEN(E4)=0,"未填写身份证号码","位数不对！")))</f>
        <v>正确</v>
      </c>
      <c r="AS4" s="116" t="str">
        <f t="shared" ref="AS4:AS11" si="8">IF(SUMPRODUCT(N(E$1:E$5=E4))&gt;1,"重复","不")</f>
        <v>不</v>
      </c>
      <c r="AT4" s="116" t="str">
        <f t="shared" ref="AT4:AT11" si="9">IF(SUMPRODUCT(N(AO$1:AO$5=AO4))&gt;1,"重复","不")</f>
        <v>重复</v>
      </c>
    </row>
    <row r="5" s="12" customFormat="1" ht="18" customHeight="1" spans="1:46">
      <c r="A5" s="36">
        <v>2</v>
      </c>
      <c r="B5" s="37" t="s">
        <v>184</v>
      </c>
      <c r="C5" s="37" t="s">
        <v>121</v>
      </c>
      <c r="D5" s="37" t="s">
        <v>120</v>
      </c>
      <c r="E5" s="352" t="s">
        <v>122</v>
      </c>
      <c r="F5" s="38" t="s">
        <v>187</v>
      </c>
      <c r="G5" s="39">
        <v>15360550807</v>
      </c>
      <c r="H5" s="40"/>
      <c r="I5" s="40"/>
      <c r="J5" s="69"/>
      <c r="K5" s="40"/>
      <c r="L5" s="70">
        <f>VLOOKUP(C5,[1]Sheet1!$B$2:$D$16,3,0)</f>
        <v>5700</v>
      </c>
      <c r="M5" s="71">
        <v>422.72</v>
      </c>
      <c r="N5" s="71">
        <v>119.92</v>
      </c>
      <c r="O5" s="71">
        <v>4.6</v>
      </c>
      <c r="P5" s="71">
        <v>115</v>
      </c>
      <c r="Q5" s="89">
        <f t="shared" si="0"/>
        <v>662.24</v>
      </c>
      <c r="R5" s="70">
        <v>0</v>
      </c>
      <c r="S5" s="90">
        <f>L5+IFERROR(VLOOKUP($E:$E,'（居民）工资表-3月'!$E:$S,15,0),0)</f>
        <v>17560</v>
      </c>
      <c r="T5" s="91">
        <f>5000+IFERROR(VLOOKUP($E:$E,'（居民）工资表-3月'!$E:$T,16,0),0)</f>
        <v>15000</v>
      </c>
      <c r="U5" s="91">
        <f>Q5+IFERROR(VLOOKUP($E:$E,'（居民）工资表-3月'!$E:$U,17,0),0)</f>
        <v>2138.16</v>
      </c>
      <c r="V5" s="70"/>
      <c r="W5" s="70"/>
      <c r="X5" s="70"/>
      <c r="Y5" s="70"/>
      <c r="Z5" s="70"/>
      <c r="AA5" s="70"/>
      <c r="AB5" s="90">
        <f t="shared" si="1"/>
        <v>0</v>
      </c>
      <c r="AC5" s="90">
        <f>R5+IFERROR(VLOOKUP($E:$E,'（居民）工资表-3月'!$E:$AC,25,0),0)</f>
        <v>0</v>
      </c>
      <c r="AD5" s="95">
        <f t="shared" si="2"/>
        <v>421.84</v>
      </c>
      <c r="AE5" s="96">
        <f>ROUND(MAX((AD5)*{0.03;0.1;0.2;0.25;0.3;0.35;0.45}-{0;2520;16920;31920;52920;85920;181920},0),2)</f>
        <v>12.66</v>
      </c>
      <c r="AF5" s="97">
        <f>IFERROR(VLOOKUP(E:E,'（居民）工资表-3月'!E:AF,28,0)+VLOOKUP(E:E,'（居民）工资表-3月'!E:AG,29,0),0)</f>
        <v>11.52</v>
      </c>
      <c r="AG5" s="97">
        <f t="shared" si="3"/>
        <v>1.14</v>
      </c>
      <c r="AH5" s="107">
        <f t="shared" si="4"/>
        <v>5036.62</v>
      </c>
      <c r="AI5" s="108"/>
      <c r="AJ5" s="107">
        <f t="shared" si="5"/>
        <v>5036.62</v>
      </c>
      <c r="AK5" s="109"/>
      <c r="AL5" s="107">
        <f t="shared" si="6"/>
        <v>5037.76</v>
      </c>
      <c r="AM5" s="109"/>
      <c r="AN5" s="109"/>
      <c r="AO5" s="109"/>
      <c r="AP5" s="109"/>
      <c r="AQ5" s="109"/>
      <c r="AR5" s="116" t="str">
        <f t="shared" si="7"/>
        <v>正确</v>
      </c>
      <c r="AS5" s="116" t="str">
        <f t="shared" si="8"/>
        <v>不</v>
      </c>
      <c r="AT5" s="116" t="str">
        <f t="shared" si="9"/>
        <v>重复</v>
      </c>
    </row>
    <row r="6" s="12" customFormat="1" ht="18" customHeight="1" spans="1:46">
      <c r="A6" s="36">
        <v>3</v>
      </c>
      <c r="B6" s="37" t="s">
        <v>184</v>
      </c>
      <c r="C6" s="37" t="s">
        <v>123</v>
      </c>
      <c r="D6" s="37" t="s">
        <v>120</v>
      </c>
      <c r="E6" s="352" t="s">
        <v>124</v>
      </c>
      <c r="F6" s="38" t="s">
        <v>185</v>
      </c>
      <c r="G6" s="39" t="s">
        <v>125</v>
      </c>
      <c r="H6" s="40"/>
      <c r="I6" s="40"/>
      <c r="J6" s="69"/>
      <c r="K6" s="40"/>
      <c r="L6" s="70">
        <f>VLOOKUP(C6,[1]Sheet1!$B$2:$D$16,3,0)</f>
        <v>30060</v>
      </c>
      <c r="M6" s="71">
        <v>584.8</v>
      </c>
      <c r="N6" s="71">
        <v>146.2</v>
      </c>
      <c r="O6" s="71">
        <v>36.55</v>
      </c>
      <c r="P6" s="71">
        <v>181</v>
      </c>
      <c r="Q6" s="89">
        <f t="shared" si="0"/>
        <v>948.55</v>
      </c>
      <c r="R6" s="70">
        <v>0</v>
      </c>
      <c r="S6" s="90">
        <f>L6+IFERROR(VLOOKUP($E:$E,'（居民）工资表-3月'!$E:$S,15,0),0)</f>
        <v>90180</v>
      </c>
      <c r="T6" s="91">
        <f>5000+IFERROR(VLOOKUP($E:$E,'（居民）工资表-3月'!$E:$T,16,0),0)</f>
        <v>15000</v>
      </c>
      <c r="U6" s="91">
        <f>Q6+IFERROR(VLOOKUP($E:$E,'（居民）工资表-3月'!$E:$U,17,0),0)</f>
        <v>2860.42</v>
      </c>
      <c r="V6" s="70"/>
      <c r="W6" s="70"/>
      <c r="X6" s="70"/>
      <c r="Y6" s="70"/>
      <c r="Z6" s="70"/>
      <c r="AA6" s="70"/>
      <c r="AB6" s="90">
        <f t="shared" si="1"/>
        <v>0</v>
      </c>
      <c r="AC6" s="90">
        <f>R6+IFERROR(VLOOKUP($E:$E,'（居民）工资表-3月'!$E:$AC,25,0),0)</f>
        <v>0</v>
      </c>
      <c r="AD6" s="95">
        <f t="shared" si="2"/>
        <v>72319.58</v>
      </c>
      <c r="AE6" s="96">
        <f>ROUND(MAX((AD6)*{0.03;0.1;0.2;0.25;0.3;0.35;0.45}-{0;2520;16920;31920;52920;85920;181920},0),2)</f>
        <v>4711.96</v>
      </c>
      <c r="AF6" s="97">
        <f>IFERROR(VLOOKUP(E:E,'（居民）工资表-3月'!E:AF,28,0)+VLOOKUP(E:E,'（居民）工资表-3月'!E:AG,29,0),0)</f>
        <v>2300.81</v>
      </c>
      <c r="AG6" s="97">
        <f t="shared" si="3"/>
        <v>2411.15</v>
      </c>
      <c r="AH6" s="107">
        <f t="shared" si="4"/>
        <v>26700.3</v>
      </c>
      <c r="AI6" s="108"/>
      <c r="AJ6" s="107">
        <f t="shared" si="5"/>
        <v>26700.3</v>
      </c>
      <c r="AK6" s="109"/>
      <c r="AL6" s="107">
        <f t="shared" si="6"/>
        <v>29111.45</v>
      </c>
      <c r="AM6" s="109"/>
      <c r="AN6" s="109"/>
      <c r="AO6" s="109"/>
      <c r="AP6" s="109"/>
      <c r="AQ6" s="109"/>
      <c r="AR6" s="116" t="str">
        <f t="shared" si="7"/>
        <v>正确</v>
      </c>
      <c r="AS6" s="116" t="str">
        <f t="shared" si="8"/>
        <v>不</v>
      </c>
      <c r="AT6" s="116" t="str">
        <f t="shared" si="9"/>
        <v>重复</v>
      </c>
    </row>
    <row r="7" s="12" customFormat="1" ht="18" customHeight="1" spans="1:46">
      <c r="A7" s="36">
        <v>4</v>
      </c>
      <c r="B7" s="37" t="s">
        <v>184</v>
      </c>
      <c r="C7" s="37" t="s">
        <v>126</v>
      </c>
      <c r="D7" s="37" t="s">
        <v>120</v>
      </c>
      <c r="E7" s="352" t="s">
        <v>127</v>
      </c>
      <c r="F7" s="38" t="s">
        <v>185</v>
      </c>
      <c r="G7" s="39" t="s">
        <v>128</v>
      </c>
      <c r="H7" s="40"/>
      <c r="I7" s="40"/>
      <c r="J7" s="69"/>
      <c r="K7" s="40"/>
      <c r="L7" s="70">
        <f>VLOOKUP(C7,[1]Sheet1!$B$2:$D$16,3,0)</f>
        <v>8000</v>
      </c>
      <c r="M7" s="71">
        <v>321.52</v>
      </c>
      <c r="N7" s="71">
        <v>89.09</v>
      </c>
      <c r="O7" s="71">
        <v>20.1</v>
      </c>
      <c r="P7" s="71">
        <v>97</v>
      </c>
      <c r="Q7" s="89">
        <f t="shared" si="0"/>
        <v>527.71</v>
      </c>
      <c r="R7" s="70">
        <v>0</v>
      </c>
      <c r="S7" s="90">
        <f>L7+IFERROR(VLOOKUP($E:$E,'（居民）工资表-3月'!$E:$S,15,0),0)</f>
        <v>25000</v>
      </c>
      <c r="T7" s="91">
        <f>5000+IFERROR(VLOOKUP($E:$E,'（居民）工资表-3月'!$E:$T,16,0),0)</f>
        <v>15000</v>
      </c>
      <c r="U7" s="91">
        <f>Q7+IFERROR(VLOOKUP($E:$E,'（居民）工资表-3月'!$E:$U,17,0),0)</f>
        <v>1605.42</v>
      </c>
      <c r="V7" s="70"/>
      <c r="W7" s="70"/>
      <c r="X7" s="70"/>
      <c r="Y7" s="70"/>
      <c r="Z7" s="70"/>
      <c r="AA7" s="70"/>
      <c r="AB7" s="90">
        <f t="shared" si="1"/>
        <v>0</v>
      </c>
      <c r="AC7" s="90">
        <f>R7+IFERROR(VLOOKUP($E:$E,'（居民）工资表-3月'!$E:$AC,25,0),0)</f>
        <v>0</v>
      </c>
      <c r="AD7" s="95">
        <f t="shared" si="2"/>
        <v>8394.58</v>
      </c>
      <c r="AE7" s="96">
        <f>ROUND(MAX((AD7)*{0.03;0.1;0.2;0.25;0.3;0.35;0.45}-{0;2520;16920;31920;52920;85920;181920},0),2)</f>
        <v>251.84</v>
      </c>
      <c r="AF7" s="97">
        <f>IFERROR(VLOOKUP(E:E,'（居民）工资表-3月'!E:AF,28,0)+VLOOKUP(E:E,'（居民）工资表-3月'!E:AG,29,0),0)</f>
        <v>177.67</v>
      </c>
      <c r="AG7" s="97">
        <f t="shared" si="3"/>
        <v>74.17</v>
      </c>
      <c r="AH7" s="107">
        <f t="shared" si="4"/>
        <v>7398.12</v>
      </c>
      <c r="AI7" s="108"/>
      <c r="AJ7" s="107">
        <f t="shared" si="5"/>
        <v>7398.12</v>
      </c>
      <c r="AK7" s="109"/>
      <c r="AL7" s="107">
        <f t="shared" si="6"/>
        <v>7472.29</v>
      </c>
      <c r="AM7" s="109"/>
      <c r="AN7" s="109"/>
      <c r="AO7" s="109"/>
      <c r="AP7" s="109"/>
      <c r="AQ7" s="109"/>
      <c r="AR7" s="116" t="str">
        <f t="shared" si="7"/>
        <v>正确</v>
      </c>
      <c r="AS7" s="116" t="str">
        <f t="shared" si="8"/>
        <v>不</v>
      </c>
      <c r="AT7" s="116" t="str">
        <f t="shared" si="9"/>
        <v>重复</v>
      </c>
    </row>
    <row r="8" s="12" customFormat="1" ht="18" customHeight="1" spans="1:46">
      <c r="A8" s="36">
        <v>5</v>
      </c>
      <c r="B8" s="37" t="s">
        <v>184</v>
      </c>
      <c r="C8" s="37" t="s">
        <v>129</v>
      </c>
      <c r="D8" s="37" t="s">
        <v>120</v>
      </c>
      <c r="E8" s="352" t="s">
        <v>130</v>
      </c>
      <c r="F8" s="38" t="s">
        <v>185</v>
      </c>
      <c r="G8" s="39">
        <v>19356875630</v>
      </c>
      <c r="H8" s="40"/>
      <c r="I8" s="40"/>
      <c r="J8" s="69"/>
      <c r="K8" s="40"/>
      <c r="L8" s="70">
        <f>VLOOKUP(C8,[1]Sheet1!$B$2:$D$16,3,0)</f>
        <v>10500</v>
      </c>
      <c r="M8" s="71">
        <v>321.52</v>
      </c>
      <c r="N8" s="71">
        <v>86.38</v>
      </c>
      <c r="O8" s="71">
        <v>20.1</v>
      </c>
      <c r="P8" s="71">
        <v>344</v>
      </c>
      <c r="Q8" s="70">
        <f t="shared" si="0"/>
        <v>772</v>
      </c>
      <c r="R8" s="70">
        <v>0</v>
      </c>
      <c r="S8" s="92">
        <f>L8+IFERROR(VLOOKUP($E:$E,'（居民）工资表-3月'!$E:$S,15,0),0)</f>
        <v>31500</v>
      </c>
      <c r="T8" s="93">
        <f>5000+IFERROR(VLOOKUP($E:$E,'（居民）工资表-3月'!$E:$T,16,0),0)</f>
        <v>15000</v>
      </c>
      <c r="U8" s="93">
        <f>Q8+IFERROR(VLOOKUP($E:$E,'（居民）工资表-3月'!$E:$U,17,0),0)</f>
        <v>2337.84</v>
      </c>
      <c r="V8" s="70"/>
      <c r="W8" s="70"/>
      <c r="X8" s="70"/>
      <c r="Y8" s="70"/>
      <c r="Z8" s="70"/>
      <c r="AA8" s="70"/>
      <c r="AB8" s="92">
        <f t="shared" si="1"/>
        <v>0</v>
      </c>
      <c r="AC8" s="92">
        <f>R8+IFERROR(VLOOKUP($E:$E,'（居民）工资表-3月'!$E:$AC,25,0),0)</f>
        <v>0</v>
      </c>
      <c r="AD8" s="98">
        <f t="shared" si="2"/>
        <v>14162.16</v>
      </c>
      <c r="AE8" s="99">
        <f>ROUND(MAX((AD8)*{0.03;0.1;0.2;0.25;0.3;0.35;0.45}-{0;2520;16920;31920;52920;85920;181920},0),2)</f>
        <v>424.86</v>
      </c>
      <c r="AF8" s="100">
        <f>IFERROR(VLOOKUP(E:E,'（居民）工资表-3月'!E:AF,28,0)+VLOOKUP(E:E,'（居民）工资表-3月'!E:AG,29,0),0)</f>
        <v>283.02</v>
      </c>
      <c r="AG8" s="100">
        <f t="shared" si="3"/>
        <v>141.84</v>
      </c>
      <c r="AH8" s="109">
        <f t="shared" si="4"/>
        <v>9586.16</v>
      </c>
      <c r="AI8" s="108"/>
      <c r="AJ8" s="109">
        <f t="shared" si="5"/>
        <v>9586.16</v>
      </c>
      <c r="AK8" s="109"/>
      <c r="AL8" s="109">
        <f t="shared" si="6"/>
        <v>9728</v>
      </c>
      <c r="AM8" s="109"/>
      <c r="AN8" s="109"/>
      <c r="AO8" s="109"/>
      <c r="AP8" s="109"/>
      <c r="AQ8" s="109"/>
      <c r="AR8" s="117" t="str">
        <f t="shared" si="7"/>
        <v>正确</v>
      </c>
      <c r="AS8" s="117" t="str">
        <f t="shared" si="8"/>
        <v>不</v>
      </c>
      <c r="AT8" s="117" t="str">
        <f t="shared" si="9"/>
        <v>重复</v>
      </c>
    </row>
    <row r="9" s="12" customFormat="1" ht="18" customHeight="1" spans="1:46">
      <c r="A9" s="36">
        <v>6</v>
      </c>
      <c r="B9" s="37" t="s">
        <v>184</v>
      </c>
      <c r="C9" s="37" t="s">
        <v>131</v>
      </c>
      <c r="D9" s="37" t="s">
        <v>120</v>
      </c>
      <c r="E9" s="352" t="s">
        <v>132</v>
      </c>
      <c r="F9" s="38" t="s">
        <v>185</v>
      </c>
      <c r="G9" s="39">
        <v>13973652684</v>
      </c>
      <c r="H9" s="40"/>
      <c r="I9" s="40"/>
      <c r="J9" s="69"/>
      <c r="K9" s="40"/>
      <c r="L9" s="70">
        <f>VLOOKUP(C9,[1]Sheet1!$B$2:$D$16,3,0)</f>
        <v>6500</v>
      </c>
      <c r="M9" s="71">
        <v>324.24</v>
      </c>
      <c r="N9" s="71">
        <v>90.4</v>
      </c>
      <c r="O9" s="71">
        <v>12.16</v>
      </c>
      <c r="P9" s="71">
        <v>100</v>
      </c>
      <c r="Q9" s="89">
        <f t="shared" si="0"/>
        <v>526.8</v>
      </c>
      <c r="R9" s="70">
        <v>0</v>
      </c>
      <c r="S9" s="90">
        <f>L9+IFERROR(VLOOKUP($E:$E,'（居民）工资表-3月'!$E:$S,15,0),0)</f>
        <v>19500</v>
      </c>
      <c r="T9" s="91">
        <f>5000+IFERROR(VLOOKUP($E:$E,'（居民）工资表-3月'!$E:$T,16,0),0)</f>
        <v>15000</v>
      </c>
      <c r="U9" s="91">
        <f>Q9+IFERROR(VLOOKUP($E:$E,'（居民）工资表-3月'!$E:$U,17,0),0)</f>
        <v>1583.38</v>
      </c>
      <c r="V9" s="70"/>
      <c r="W9" s="70"/>
      <c r="X9" s="70"/>
      <c r="Y9" s="70"/>
      <c r="Z9" s="70"/>
      <c r="AA9" s="70"/>
      <c r="AB9" s="90">
        <f t="shared" si="1"/>
        <v>0</v>
      </c>
      <c r="AC9" s="90">
        <f>R9+IFERROR(VLOOKUP($E:$E,'（居民）工资表-3月'!$E:$AC,25,0),0)</f>
        <v>0</v>
      </c>
      <c r="AD9" s="95">
        <f t="shared" si="2"/>
        <v>2916.62</v>
      </c>
      <c r="AE9" s="96">
        <f>ROUND(MAX((AD9)*{0.03;0.1;0.2;0.25;0.3;0.35;0.45}-{0;2520;16920;31920;52920;85920;181920},0),2)</f>
        <v>87.5</v>
      </c>
      <c r="AF9" s="97">
        <f>IFERROR(VLOOKUP(E:E,'（居民）工资表-3月'!E:AF,28,0)+VLOOKUP(E:E,'（居民）工资表-3月'!E:AG,29,0),0)</f>
        <v>58.3</v>
      </c>
      <c r="AG9" s="97">
        <f t="shared" si="3"/>
        <v>29.2</v>
      </c>
      <c r="AH9" s="107">
        <f t="shared" si="4"/>
        <v>5944</v>
      </c>
      <c r="AI9" s="108"/>
      <c r="AJ9" s="107">
        <f t="shared" si="5"/>
        <v>5944</v>
      </c>
      <c r="AK9" s="109"/>
      <c r="AL9" s="107">
        <f t="shared" si="6"/>
        <v>5973.2</v>
      </c>
      <c r="AM9" s="109"/>
      <c r="AN9" s="109"/>
      <c r="AO9" s="109"/>
      <c r="AP9" s="109"/>
      <c r="AQ9" s="109"/>
      <c r="AR9" s="116" t="str">
        <f t="shared" si="7"/>
        <v>正确</v>
      </c>
      <c r="AS9" s="116" t="str">
        <f t="shared" si="8"/>
        <v>不</v>
      </c>
      <c r="AT9" s="116" t="str">
        <f t="shared" si="9"/>
        <v>重复</v>
      </c>
    </row>
    <row r="10" s="12" customFormat="1" ht="18" customHeight="1" spans="1:46">
      <c r="A10" s="36">
        <v>7</v>
      </c>
      <c r="B10" s="37" t="s">
        <v>184</v>
      </c>
      <c r="C10" s="37" t="s">
        <v>192</v>
      </c>
      <c r="D10" s="37" t="s">
        <v>120</v>
      </c>
      <c r="E10" s="352" t="s">
        <v>193</v>
      </c>
      <c r="F10" s="38" t="s">
        <v>187</v>
      </c>
      <c r="G10" s="39" t="s">
        <v>194</v>
      </c>
      <c r="H10" s="40"/>
      <c r="I10" s="40"/>
      <c r="J10" s="69"/>
      <c r="K10" s="40"/>
      <c r="L10" s="70">
        <f>VLOOKUP(C10,[1]Sheet1!$B$2:$D$16,3,0)</f>
        <v>4525.84</v>
      </c>
      <c r="M10" s="71">
        <v>380.08</v>
      </c>
      <c r="N10" s="71">
        <v>117.02</v>
      </c>
      <c r="O10" s="71">
        <v>23.76</v>
      </c>
      <c r="P10" s="71">
        <v>109</v>
      </c>
      <c r="Q10" s="89">
        <f t="shared" si="0"/>
        <v>629.86</v>
      </c>
      <c r="R10" s="70">
        <v>0</v>
      </c>
      <c r="S10" s="90">
        <f>L10+IFERROR(VLOOKUP($E:$E,'（居民）工资表-3月'!$E:$S,15,0),0)</f>
        <v>13474.58</v>
      </c>
      <c r="T10" s="91">
        <f>5000+IFERROR(VLOOKUP($E:$E,'（居民）工资表-3月'!$E:$T,16,0),0)</f>
        <v>15000</v>
      </c>
      <c r="U10" s="91">
        <f>Q10+IFERROR(VLOOKUP($E:$E,'（居民）工资表-3月'!$E:$U,17,0),0)</f>
        <v>1924.09</v>
      </c>
      <c r="V10" s="70"/>
      <c r="W10" s="70"/>
      <c r="X10" s="70"/>
      <c r="Y10" s="70"/>
      <c r="Z10" s="70"/>
      <c r="AA10" s="70"/>
      <c r="AB10" s="90">
        <f t="shared" si="1"/>
        <v>0</v>
      </c>
      <c r="AC10" s="90">
        <f>R10+IFERROR(VLOOKUP($E:$E,'（居民）工资表-3月'!$E:$AC,25,0),0)</f>
        <v>0</v>
      </c>
      <c r="AD10" s="95">
        <f t="shared" si="2"/>
        <v>-3449.51</v>
      </c>
      <c r="AE10" s="96">
        <f>ROUND(MAX((AD10)*{0.03;0.1;0.2;0.25;0.3;0.35;0.45}-{0;2520;16920;31920;52920;85920;181920},0),2)</f>
        <v>0</v>
      </c>
      <c r="AF10" s="97">
        <f>IFERROR(VLOOKUP(E:E,'（居民）工资表-3月'!E:AF,28,0)+VLOOKUP(E:E,'（居民）工资表-3月'!E:AG,29,0),0)</f>
        <v>0</v>
      </c>
      <c r="AG10" s="97">
        <f t="shared" si="3"/>
        <v>0</v>
      </c>
      <c r="AH10" s="107">
        <f t="shared" si="4"/>
        <v>3895.98</v>
      </c>
      <c r="AI10" s="108"/>
      <c r="AJ10" s="107">
        <f t="shared" si="5"/>
        <v>3895.98</v>
      </c>
      <c r="AK10" s="109"/>
      <c r="AL10" s="107">
        <f t="shared" si="6"/>
        <v>3895.98</v>
      </c>
      <c r="AM10" s="109"/>
      <c r="AN10" s="109"/>
      <c r="AO10" s="109"/>
      <c r="AP10" s="109"/>
      <c r="AQ10" s="109"/>
      <c r="AR10" s="116" t="str">
        <f t="shared" si="7"/>
        <v>正确</v>
      </c>
      <c r="AS10" s="116" t="str">
        <f t="shared" si="8"/>
        <v>不</v>
      </c>
      <c r="AT10" s="116" t="str">
        <f t="shared" si="9"/>
        <v>重复</v>
      </c>
    </row>
    <row r="11" s="12" customFormat="1" ht="18" customHeight="1" spans="1:46">
      <c r="A11" s="36">
        <v>8</v>
      </c>
      <c r="B11" s="37" t="s">
        <v>184</v>
      </c>
      <c r="C11" s="37" t="s">
        <v>133</v>
      </c>
      <c r="D11" s="37" t="s">
        <v>120</v>
      </c>
      <c r="E11" s="352" t="s">
        <v>134</v>
      </c>
      <c r="F11" s="38" t="s">
        <v>185</v>
      </c>
      <c r="G11" s="39">
        <v>18356553626</v>
      </c>
      <c r="H11" s="40"/>
      <c r="I11" s="40"/>
      <c r="J11" s="69"/>
      <c r="K11" s="40"/>
      <c r="L11" s="70">
        <f>VLOOKUP(C11,[1]Sheet1!$B$2:$D$16,3,0)</f>
        <v>8500</v>
      </c>
      <c r="M11" s="71">
        <v>321.52</v>
      </c>
      <c r="N11" s="71">
        <v>120.38</v>
      </c>
      <c r="O11" s="71">
        <v>20.1</v>
      </c>
      <c r="P11" s="71">
        <v>97</v>
      </c>
      <c r="Q11" s="89">
        <f t="shared" si="0"/>
        <v>559</v>
      </c>
      <c r="R11" s="70">
        <v>0</v>
      </c>
      <c r="S11" s="90">
        <f>L11+IFERROR(VLOOKUP($E:$E,'（居民）工资表-3月'!$E:$S,15,0),0)</f>
        <v>26000</v>
      </c>
      <c r="T11" s="91">
        <f>5000+IFERROR(VLOOKUP($E:$E,'（居民）工资表-3月'!$E:$T,16,0),0)</f>
        <v>15000</v>
      </c>
      <c r="U11" s="91">
        <f>Q11+IFERROR(VLOOKUP($E:$E,'（居民）工资表-3月'!$E:$U,17,0),0)</f>
        <v>1698.84</v>
      </c>
      <c r="V11" s="70"/>
      <c r="W11" s="70"/>
      <c r="X11" s="70"/>
      <c r="Y11" s="70"/>
      <c r="Z11" s="70"/>
      <c r="AA11" s="70"/>
      <c r="AB11" s="90">
        <f t="shared" si="1"/>
        <v>0</v>
      </c>
      <c r="AC11" s="90">
        <f>R11+IFERROR(VLOOKUP($E:$E,'（居民）工资表-3月'!$E:$AC,25,0),0)</f>
        <v>0</v>
      </c>
      <c r="AD11" s="95">
        <f t="shared" si="2"/>
        <v>9301.16</v>
      </c>
      <c r="AE11" s="96">
        <f>ROUND(MAX((AD11)*{0.03;0.1;0.2;0.25;0.3;0.35;0.45}-{0;2520;16920;31920;52920;85920;181920},0),2)</f>
        <v>279.03</v>
      </c>
      <c r="AF11" s="97">
        <f>IFERROR(VLOOKUP(E:E,'（居民）工资表-3月'!E:AF,28,0)+VLOOKUP(E:E,'（居民）工资表-3月'!E:AG,29,0),0)</f>
        <v>190.8</v>
      </c>
      <c r="AG11" s="97">
        <f t="shared" si="3"/>
        <v>88.23</v>
      </c>
      <c r="AH11" s="107">
        <f t="shared" si="4"/>
        <v>7852.77</v>
      </c>
      <c r="AI11" s="108"/>
      <c r="AJ11" s="107">
        <f t="shared" si="5"/>
        <v>7852.77</v>
      </c>
      <c r="AK11" s="109"/>
      <c r="AL11" s="107">
        <f t="shared" si="6"/>
        <v>7941</v>
      </c>
      <c r="AM11" s="109"/>
      <c r="AN11" s="109"/>
      <c r="AO11" s="109"/>
      <c r="AP11" s="109"/>
      <c r="AQ11" s="109"/>
      <c r="AR11" s="116" t="str">
        <f t="shared" si="7"/>
        <v>正确</v>
      </c>
      <c r="AS11" s="116" t="str">
        <f t="shared" si="8"/>
        <v>不</v>
      </c>
      <c r="AT11" s="116" t="str">
        <f t="shared" si="9"/>
        <v>重复</v>
      </c>
    </row>
    <row r="12" s="12" customFormat="1" ht="18" customHeight="1" spans="1:46">
      <c r="A12" s="36">
        <v>9</v>
      </c>
      <c r="B12" s="37" t="s">
        <v>184</v>
      </c>
      <c r="C12" s="37" t="s">
        <v>135</v>
      </c>
      <c r="D12" s="37" t="s">
        <v>120</v>
      </c>
      <c r="E12" s="352" t="s">
        <v>136</v>
      </c>
      <c r="F12" s="38" t="s">
        <v>185</v>
      </c>
      <c r="G12" s="39">
        <v>18326897140</v>
      </c>
      <c r="H12" s="40"/>
      <c r="I12" s="40"/>
      <c r="J12" s="69"/>
      <c r="K12" s="40"/>
      <c r="L12" s="70">
        <f>VLOOKUP(C12,[1]Sheet1!$B$2:$D$16,3,0)</f>
        <v>7000</v>
      </c>
      <c r="M12" s="71">
        <v>321.52</v>
      </c>
      <c r="N12" s="71">
        <v>86.38</v>
      </c>
      <c r="O12" s="71">
        <v>20.1</v>
      </c>
      <c r="P12" s="71">
        <v>344</v>
      </c>
      <c r="Q12" s="89">
        <f t="shared" si="0"/>
        <v>772</v>
      </c>
      <c r="R12" s="70">
        <v>0</v>
      </c>
      <c r="S12" s="90">
        <f>L12+IFERROR(VLOOKUP($E:$E,'（居民）工资表-3月'!$E:$S,15,0),0)</f>
        <v>21500</v>
      </c>
      <c r="T12" s="91">
        <f>5000+IFERROR(VLOOKUP($E:$E,'（居民）工资表-3月'!$E:$T,16,0),0)</f>
        <v>15000</v>
      </c>
      <c r="U12" s="91">
        <f>Q12+IFERROR(VLOOKUP($E:$E,'（居民）工资表-3月'!$E:$U,17,0),0)</f>
        <v>2337.84</v>
      </c>
      <c r="V12" s="70"/>
      <c r="W12" s="70"/>
      <c r="X12" s="70"/>
      <c r="Y12" s="70"/>
      <c r="Z12" s="70"/>
      <c r="AA12" s="70"/>
      <c r="AB12" s="90">
        <f t="shared" si="1"/>
        <v>0</v>
      </c>
      <c r="AC12" s="90">
        <f>R12+IFERROR(VLOOKUP($E:$E,'（居民）工资表-3月'!$E:$AC,25,0),0)</f>
        <v>0</v>
      </c>
      <c r="AD12" s="95">
        <f t="shared" si="2"/>
        <v>4162.16</v>
      </c>
      <c r="AE12" s="96">
        <f>ROUND(MAX((AD12)*{0.03;0.1;0.2;0.25;0.3;0.35;0.45}-{0;2520;16920;31920;52920;85920;181920},0),2)</f>
        <v>124.86</v>
      </c>
      <c r="AF12" s="97">
        <f>IFERROR(VLOOKUP(E:E,'（居民）工资表-3月'!E:AF,28,0)+VLOOKUP(E:E,'（居民）工资表-3月'!E:AG,29,0),0)</f>
        <v>88.02</v>
      </c>
      <c r="AG12" s="97">
        <f t="shared" si="3"/>
        <v>36.84</v>
      </c>
      <c r="AH12" s="107">
        <f t="shared" si="4"/>
        <v>6191.16</v>
      </c>
      <c r="AI12" s="108"/>
      <c r="AJ12" s="107">
        <f t="shared" si="5"/>
        <v>6191.16</v>
      </c>
      <c r="AK12" s="109"/>
      <c r="AL12" s="107">
        <f t="shared" si="6"/>
        <v>6228</v>
      </c>
      <c r="AM12" s="109"/>
      <c r="AN12" s="109"/>
      <c r="AO12" s="109"/>
      <c r="AP12" s="109"/>
      <c r="AQ12" s="109"/>
      <c r="AR12" s="116"/>
      <c r="AS12" s="116"/>
      <c r="AT12" s="116"/>
    </row>
    <row r="13" s="12" customFormat="1" ht="18" customHeight="1" spans="1:46">
      <c r="A13" s="36">
        <v>10</v>
      </c>
      <c r="B13" s="37" t="s">
        <v>184</v>
      </c>
      <c r="C13" s="37" t="s">
        <v>137</v>
      </c>
      <c r="D13" s="37" t="s">
        <v>120</v>
      </c>
      <c r="E13" s="352" t="s">
        <v>138</v>
      </c>
      <c r="F13" s="38" t="s">
        <v>185</v>
      </c>
      <c r="G13" s="39">
        <v>17201857014</v>
      </c>
      <c r="H13" s="40"/>
      <c r="I13" s="40"/>
      <c r="J13" s="69"/>
      <c r="K13" s="40"/>
      <c r="L13" s="70">
        <f>VLOOKUP(C13,[1]Sheet1!$B$2:$D$16,3,0)</f>
        <v>7000</v>
      </c>
      <c r="M13" s="71">
        <v>321.52</v>
      </c>
      <c r="N13" s="71">
        <v>86.38</v>
      </c>
      <c r="O13" s="71">
        <v>20.1</v>
      </c>
      <c r="P13" s="71">
        <v>344</v>
      </c>
      <c r="Q13" s="89">
        <f t="shared" si="0"/>
        <v>772</v>
      </c>
      <c r="R13" s="70">
        <v>0</v>
      </c>
      <c r="S13" s="90">
        <f>L13+IFERROR(VLOOKUP($E:$E,'（居民）工资表-3月'!$E:$S,15,0),0)</f>
        <v>22000</v>
      </c>
      <c r="T13" s="91">
        <f>5000+IFERROR(VLOOKUP($E:$E,'（居民）工资表-3月'!$E:$T,16,0),0)</f>
        <v>15000</v>
      </c>
      <c r="U13" s="91">
        <f>Q13+IFERROR(VLOOKUP($E:$E,'（居民）工资表-3月'!$E:$U,17,0),0)</f>
        <v>2337.84</v>
      </c>
      <c r="V13" s="70"/>
      <c r="W13" s="70"/>
      <c r="X13" s="70"/>
      <c r="Y13" s="70"/>
      <c r="Z13" s="70"/>
      <c r="AA13" s="70"/>
      <c r="AB13" s="90">
        <f t="shared" si="1"/>
        <v>0</v>
      </c>
      <c r="AC13" s="90">
        <f>R13+IFERROR(VLOOKUP($E:$E,'（居民）工资表-3月'!$E:$AC,25,0),0)</f>
        <v>0</v>
      </c>
      <c r="AD13" s="95">
        <f t="shared" si="2"/>
        <v>4662.16</v>
      </c>
      <c r="AE13" s="96">
        <f>ROUND(MAX((AD13)*{0.03;0.1;0.2;0.25;0.3;0.35;0.45}-{0;2520;16920;31920;52920;85920;181920},0),2)</f>
        <v>139.86</v>
      </c>
      <c r="AF13" s="97">
        <f>IFERROR(VLOOKUP(E:E,'（居民）工资表-3月'!E:AF,28,0)+VLOOKUP(E:E,'（居民）工资表-3月'!E:AG,29,0),0)</f>
        <v>103.02</v>
      </c>
      <c r="AG13" s="97">
        <f t="shared" si="3"/>
        <v>36.84</v>
      </c>
      <c r="AH13" s="107">
        <f t="shared" si="4"/>
        <v>6191.16</v>
      </c>
      <c r="AI13" s="108"/>
      <c r="AJ13" s="107">
        <f t="shared" si="5"/>
        <v>6191.16</v>
      </c>
      <c r="AK13" s="109"/>
      <c r="AL13" s="107">
        <f t="shared" si="6"/>
        <v>6228</v>
      </c>
      <c r="AM13" s="109"/>
      <c r="AN13" s="109"/>
      <c r="AO13" s="109"/>
      <c r="AP13" s="109"/>
      <c r="AQ13" s="109"/>
      <c r="AR13" s="116"/>
      <c r="AS13" s="116"/>
      <c r="AT13" s="116"/>
    </row>
    <row r="14" s="12" customFormat="1" ht="17" customHeight="1" spans="1:46">
      <c r="A14" s="36">
        <v>11</v>
      </c>
      <c r="B14" s="37" t="s">
        <v>184</v>
      </c>
      <c r="C14" s="37" t="s">
        <v>199</v>
      </c>
      <c r="D14" s="37" t="s">
        <v>120</v>
      </c>
      <c r="E14" s="352" t="s">
        <v>200</v>
      </c>
      <c r="F14" s="38" t="s">
        <v>187</v>
      </c>
      <c r="G14" s="39" t="s">
        <v>201</v>
      </c>
      <c r="H14" s="40"/>
      <c r="I14" s="40"/>
      <c r="J14" s="69"/>
      <c r="K14" s="40"/>
      <c r="L14" s="70">
        <f>VLOOKUP(C14,[1]Sheet1!$B$2:$D$16,3,0)</f>
        <v>7000</v>
      </c>
      <c r="M14" s="71">
        <v>321.52</v>
      </c>
      <c r="N14" s="71">
        <v>120.38</v>
      </c>
      <c r="O14" s="71">
        <v>20.1</v>
      </c>
      <c r="P14" s="71">
        <v>97</v>
      </c>
      <c r="Q14" s="89">
        <f t="shared" si="0"/>
        <v>559</v>
      </c>
      <c r="R14" s="70">
        <v>0</v>
      </c>
      <c r="S14" s="90">
        <f>L14+IFERROR(VLOOKUP($E:$E,'（居民）工资表-3月'!$E:$S,15,0),0)</f>
        <v>14000</v>
      </c>
      <c r="T14" s="91">
        <f>5000+IFERROR(VLOOKUP($E:$E,'（居民）工资表-3月'!$E:$T,16,0),0)</f>
        <v>10000</v>
      </c>
      <c r="U14" s="91">
        <f>Q14+IFERROR(VLOOKUP($E:$E,'（居民）工资表-3月'!$E:$U,17,0),0)</f>
        <v>1118</v>
      </c>
      <c r="V14" s="70"/>
      <c r="W14" s="70"/>
      <c r="X14" s="70"/>
      <c r="Y14" s="70"/>
      <c r="Z14" s="70"/>
      <c r="AA14" s="70"/>
      <c r="AB14" s="90">
        <f t="shared" si="1"/>
        <v>0</v>
      </c>
      <c r="AC14" s="90">
        <f>R14+IFERROR(VLOOKUP($E:$E,'（居民）工资表-3月'!$E:$AC,25,0),0)</f>
        <v>0</v>
      </c>
      <c r="AD14" s="95">
        <f t="shared" si="2"/>
        <v>2882</v>
      </c>
      <c r="AE14" s="96">
        <f>ROUND(MAX((AD14)*{0.03;0.1;0.2;0.25;0.3;0.35;0.45}-{0;2520;16920;31920;52920;85920;181920},0),2)</f>
        <v>86.46</v>
      </c>
      <c r="AF14" s="97">
        <f>IFERROR(VLOOKUP(E:E,'（居民）工资表-3月'!E:AF,28,0)+VLOOKUP(E:E,'（居民）工资表-3月'!E:AG,29,0),0)</f>
        <v>43.23</v>
      </c>
      <c r="AG14" s="97">
        <f t="shared" si="3"/>
        <v>43.23</v>
      </c>
      <c r="AH14" s="107">
        <f t="shared" si="4"/>
        <v>6397.77</v>
      </c>
      <c r="AI14" s="108"/>
      <c r="AJ14" s="107">
        <f t="shared" si="5"/>
        <v>6397.77</v>
      </c>
      <c r="AK14" s="109"/>
      <c r="AL14" s="107">
        <f t="shared" si="6"/>
        <v>6441</v>
      </c>
      <c r="AM14" s="109"/>
      <c r="AN14" s="109"/>
      <c r="AO14" s="109"/>
      <c r="AP14" s="109"/>
      <c r="AQ14" s="109"/>
      <c r="AR14" s="116"/>
      <c r="AS14" s="116"/>
      <c r="AT14" s="116"/>
    </row>
    <row r="15" s="12" customFormat="1" ht="17" customHeight="1" spans="1:46">
      <c r="A15" s="36">
        <v>12</v>
      </c>
      <c r="B15" s="37" t="s">
        <v>184</v>
      </c>
      <c r="C15" s="37" t="s">
        <v>202</v>
      </c>
      <c r="D15" s="37" t="s">
        <v>120</v>
      </c>
      <c r="E15" s="352" t="s">
        <v>203</v>
      </c>
      <c r="F15" s="38" t="s">
        <v>187</v>
      </c>
      <c r="G15" s="39">
        <v>15855788591</v>
      </c>
      <c r="H15" s="40"/>
      <c r="I15" s="40"/>
      <c r="J15" s="69"/>
      <c r="K15" s="40"/>
      <c r="L15" s="70">
        <f>VLOOKUP(C15,[1]Sheet1!$B$2:$D$16,3,0)</f>
        <v>6300</v>
      </c>
      <c r="M15" s="71">
        <v>321.52</v>
      </c>
      <c r="N15" s="71">
        <v>89.09</v>
      </c>
      <c r="O15" s="71">
        <v>20.1</v>
      </c>
      <c r="P15" s="71">
        <v>97</v>
      </c>
      <c r="Q15" s="89">
        <f t="shared" si="0"/>
        <v>527.71</v>
      </c>
      <c r="R15" s="70">
        <v>0</v>
      </c>
      <c r="S15" s="90">
        <f>L15+IFERROR(VLOOKUP($E:$E,'（居民）工资表-3月'!$E:$S,15,0),0)</f>
        <v>12360</v>
      </c>
      <c r="T15" s="91">
        <f>5000+IFERROR(VLOOKUP($E:$E,'（居民）工资表-3月'!$E:$T,16,0),0)</f>
        <v>10000</v>
      </c>
      <c r="U15" s="91">
        <f>Q15+IFERROR(VLOOKUP($E:$E,'（居民）工资表-3月'!$E:$U,17,0),0)</f>
        <v>1055.42</v>
      </c>
      <c r="V15" s="70"/>
      <c r="W15" s="70"/>
      <c r="X15" s="70"/>
      <c r="Y15" s="70"/>
      <c r="Z15" s="70"/>
      <c r="AA15" s="70"/>
      <c r="AB15" s="90">
        <f t="shared" si="1"/>
        <v>0</v>
      </c>
      <c r="AC15" s="90">
        <f>R15+IFERROR(VLOOKUP($E:$E,'（居民）工资表-3月'!$E:$AC,25,0),0)</f>
        <v>0</v>
      </c>
      <c r="AD15" s="95">
        <f t="shared" si="2"/>
        <v>1304.58</v>
      </c>
      <c r="AE15" s="96">
        <f>ROUND(MAX((AD15)*{0.03;0.1;0.2;0.25;0.3;0.35;0.45}-{0;2520;16920;31920;52920;85920;181920},0),2)</f>
        <v>39.14</v>
      </c>
      <c r="AF15" s="97">
        <f>IFERROR(VLOOKUP(E:E,'（居民）工资表-3月'!E:AF,28,0)+VLOOKUP(E:E,'（居民）工资表-3月'!E:AG,29,0),0)</f>
        <v>15.97</v>
      </c>
      <c r="AG15" s="97">
        <f t="shared" si="3"/>
        <v>23.17</v>
      </c>
      <c r="AH15" s="107">
        <f t="shared" si="4"/>
        <v>5749.12</v>
      </c>
      <c r="AI15" s="108"/>
      <c r="AJ15" s="107">
        <f t="shared" si="5"/>
        <v>5749.12</v>
      </c>
      <c r="AK15" s="109"/>
      <c r="AL15" s="107">
        <f t="shared" si="6"/>
        <v>5772.29</v>
      </c>
      <c r="AM15" s="109"/>
      <c r="AN15" s="109"/>
      <c r="AO15" s="109"/>
      <c r="AP15" s="109"/>
      <c r="AQ15" s="109"/>
      <c r="AR15" s="116"/>
      <c r="AS15" s="116"/>
      <c r="AT15" s="116"/>
    </row>
    <row r="16" s="12" customFormat="1" ht="17" customHeight="1" spans="1:46">
      <c r="A16" s="36">
        <v>13</v>
      </c>
      <c r="B16" s="37" t="s">
        <v>184</v>
      </c>
      <c r="C16" s="37" t="s">
        <v>139</v>
      </c>
      <c r="D16" s="37" t="s">
        <v>120</v>
      </c>
      <c r="E16" s="352" t="s">
        <v>140</v>
      </c>
      <c r="F16" s="38" t="s">
        <v>187</v>
      </c>
      <c r="G16" s="39"/>
      <c r="H16" s="40"/>
      <c r="I16" s="40"/>
      <c r="J16" s="69"/>
      <c r="K16" s="40"/>
      <c r="L16" s="70">
        <f>VLOOKUP(C16,[1]Sheet1!$B$2:$D$16,3,0)</f>
        <v>6000</v>
      </c>
      <c r="M16" s="71">
        <v>321.52</v>
      </c>
      <c r="N16" s="71">
        <v>80.38</v>
      </c>
      <c r="O16" s="71">
        <v>20.1</v>
      </c>
      <c r="P16" s="71">
        <v>103</v>
      </c>
      <c r="Q16" s="89">
        <f t="shared" si="0"/>
        <v>525</v>
      </c>
      <c r="R16" s="70">
        <v>0</v>
      </c>
      <c r="S16" s="90">
        <f>L16+IFERROR(VLOOKUP($E:$E,'（居民）工资表-3月'!$E:$S,15,0),0)</f>
        <v>18000</v>
      </c>
      <c r="T16" s="91">
        <f>5000+IFERROR(VLOOKUP($E:$E,'（居民）工资表-3月'!$E:$T,16,0),0)</f>
        <v>15000</v>
      </c>
      <c r="U16" s="91">
        <f>Q16+IFERROR(VLOOKUP($E:$E,'（居民）工资表-3月'!$E:$U,17,0),0)</f>
        <v>1596.84</v>
      </c>
      <c r="V16" s="70"/>
      <c r="W16" s="70"/>
      <c r="X16" s="70"/>
      <c r="Y16" s="70"/>
      <c r="Z16" s="70"/>
      <c r="AA16" s="70"/>
      <c r="AB16" s="90">
        <f t="shared" si="1"/>
        <v>0</v>
      </c>
      <c r="AC16" s="90">
        <f>R16+IFERROR(VLOOKUP($E:$E,'（居民）工资表-3月'!$E:$AC,25,0),0)</f>
        <v>0</v>
      </c>
      <c r="AD16" s="95">
        <f t="shared" si="2"/>
        <v>1403.16</v>
      </c>
      <c r="AE16" s="96">
        <f>ROUND(MAX((AD16)*{0.03;0.1;0.2;0.25;0.3;0.35;0.45}-{0;2520;16920;31920;52920;85920;181920},0),2)</f>
        <v>42.09</v>
      </c>
      <c r="AF16" s="97">
        <f>IFERROR(VLOOKUP(E:E,'（居民）工资表-3月'!E:AF,28,0)+VLOOKUP(E:E,'（居民）工资表-3月'!E:AG,29,0),0)</f>
        <v>27.84</v>
      </c>
      <c r="AG16" s="97">
        <f t="shared" si="3"/>
        <v>14.25</v>
      </c>
      <c r="AH16" s="107">
        <f t="shared" si="4"/>
        <v>5460.75</v>
      </c>
      <c r="AI16" s="108"/>
      <c r="AJ16" s="107">
        <f t="shared" si="5"/>
        <v>5460.75</v>
      </c>
      <c r="AK16" s="109"/>
      <c r="AL16" s="107">
        <f t="shared" si="6"/>
        <v>5475</v>
      </c>
      <c r="AM16" s="109"/>
      <c r="AN16" s="109"/>
      <c r="AO16" s="109"/>
      <c r="AP16" s="109"/>
      <c r="AQ16" s="109"/>
      <c r="AR16" s="116"/>
      <c r="AS16" s="116"/>
      <c r="AT16" s="116"/>
    </row>
    <row r="17" s="12" customFormat="1" ht="17" customHeight="1" spans="1:46">
      <c r="A17" s="36">
        <v>14</v>
      </c>
      <c r="B17" s="37" t="s">
        <v>184</v>
      </c>
      <c r="C17" s="37" t="s">
        <v>141</v>
      </c>
      <c r="D17" s="37" t="s">
        <v>120</v>
      </c>
      <c r="E17" s="352" t="s">
        <v>142</v>
      </c>
      <c r="F17" s="38" t="s">
        <v>185</v>
      </c>
      <c r="G17" s="39">
        <v>15056587375</v>
      </c>
      <c r="H17" s="40"/>
      <c r="I17" s="40"/>
      <c r="J17" s="69"/>
      <c r="K17" s="40"/>
      <c r="L17" s="70">
        <f>VLOOKUP(C17,[1]Sheet1!$B$2:$D$16,3,0)</f>
        <v>10000</v>
      </c>
      <c r="M17" s="71">
        <v>321.52</v>
      </c>
      <c r="N17" s="71">
        <v>89.09</v>
      </c>
      <c r="O17" s="71">
        <v>20.1</v>
      </c>
      <c r="P17" s="71">
        <v>97</v>
      </c>
      <c r="Q17" s="89">
        <f t="shared" si="0"/>
        <v>527.71</v>
      </c>
      <c r="R17" s="70">
        <v>0</v>
      </c>
      <c r="S17" s="90">
        <f>L17+IFERROR(VLOOKUP($E:$E,'（居民）工资表-3月'!$E:$S,15,0),0)</f>
        <v>29904.76</v>
      </c>
      <c r="T17" s="91">
        <f>5000+IFERROR(VLOOKUP($E:$E,'（居民）工资表-3月'!$E:$T,16,0),0)</f>
        <v>15000</v>
      </c>
      <c r="U17" s="91">
        <f>Q17+IFERROR(VLOOKUP($E:$E,'（居民）工资表-3月'!$E:$U,17,0),0)</f>
        <v>1605.42</v>
      </c>
      <c r="V17" s="70"/>
      <c r="W17" s="70"/>
      <c r="X17" s="70"/>
      <c r="Y17" s="70"/>
      <c r="Z17" s="70"/>
      <c r="AA17" s="70"/>
      <c r="AB17" s="90">
        <f t="shared" si="1"/>
        <v>0</v>
      </c>
      <c r="AC17" s="90">
        <f>R17+IFERROR(VLOOKUP($E:$E,'（居民）工资表-3月'!$E:$AC,25,0),0)</f>
        <v>0</v>
      </c>
      <c r="AD17" s="95">
        <f t="shared" si="2"/>
        <v>13299.34</v>
      </c>
      <c r="AE17" s="96">
        <f>ROUND(MAX((AD17)*{0.03;0.1;0.2;0.25;0.3;0.35;0.45}-{0;2520;16920;31920;52920;85920;181920},0),2)</f>
        <v>398.98</v>
      </c>
      <c r="AF17" s="97">
        <f>IFERROR(VLOOKUP(E:E,'（居民）工资表-3月'!E:AF,28,0)+VLOOKUP(E:E,'（居民）工资表-3月'!E:AG,29,0),0)</f>
        <v>264.81</v>
      </c>
      <c r="AG17" s="97">
        <f t="shared" si="3"/>
        <v>134.17</v>
      </c>
      <c r="AH17" s="107">
        <f t="shared" si="4"/>
        <v>9338.12</v>
      </c>
      <c r="AI17" s="108"/>
      <c r="AJ17" s="107">
        <f t="shared" si="5"/>
        <v>9338.12</v>
      </c>
      <c r="AK17" s="109"/>
      <c r="AL17" s="107">
        <f t="shared" si="6"/>
        <v>9472.29</v>
      </c>
      <c r="AM17" s="109"/>
      <c r="AN17" s="109"/>
      <c r="AO17" s="109"/>
      <c r="AP17" s="109"/>
      <c r="AQ17" s="109"/>
      <c r="AR17" s="116"/>
      <c r="AS17" s="116"/>
      <c r="AT17" s="116"/>
    </row>
    <row r="18" s="12" customFormat="1" ht="17" customHeight="1" spans="1:46">
      <c r="A18" s="36">
        <v>15</v>
      </c>
      <c r="B18" s="37" t="s">
        <v>184</v>
      </c>
      <c r="C18" s="37" t="s">
        <v>204</v>
      </c>
      <c r="D18" s="37" t="s">
        <v>120</v>
      </c>
      <c r="E18" s="37" t="s">
        <v>205</v>
      </c>
      <c r="F18" s="38" t="s">
        <v>185</v>
      </c>
      <c r="G18" s="39">
        <v>13711361074</v>
      </c>
      <c r="H18" s="40"/>
      <c r="I18" s="40"/>
      <c r="J18" s="69"/>
      <c r="K18" s="40"/>
      <c r="L18" s="70">
        <f>VLOOKUP(C18,[1]Sheet1!$B$2:$D$16,3,0)</f>
        <v>2026.67</v>
      </c>
      <c r="M18" s="71">
        <v>675.84</v>
      </c>
      <c r="N18" s="71">
        <v>182.96</v>
      </c>
      <c r="O18" s="71">
        <v>25.34</v>
      </c>
      <c r="P18" s="71">
        <v>221</v>
      </c>
      <c r="Q18" s="89">
        <f t="shared" si="0"/>
        <v>1105.14</v>
      </c>
      <c r="R18" s="70">
        <v>0</v>
      </c>
      <c r="S18" s="90">
        <f>L18+IFERROR(VLOOKUP($E:$E,'（居民）工资表-3月'!$E:$S,15,0),0)</f>
        <v>2026.67</v>
      </c>
      <c r="T18" s="91">
        <f>5000+IFERROR(VLOOKUP($E:$E,'（居民）工资表-3月'!$E:$T,16,0),0)</f>
        <v>5000</v>
      </c>
      <c r="U18" s="91">
        <f>Q18+IFERROR(VLOOKUP($E:$E,'（居民）工资表-3月'!$E:$U,17,0),0)</f>
        <v>1105.14</v>
      </c>
      <c r="V18" s="70"/>
      <c r="W18" s="70"/>
      <c r="X18" s="70"/>
      <c r="Y18" s="70"/>
      <c r="Z18" s="70"/>
      <c r="AA18" s="70"/>
      <c r="AB18" s="90">
        <f t="shared" si="1"/>
        <v>0</v>
      </c>
      <c r="AC18" s="90">
        <f>R18+IFERROR(VLOOKUP($E:$E,'（居民）工资表-3月'!$E:$AC,25,0),0)</f>
        <v>0</v>
      </c>
      <c r="AD18" s="95">
        <f t="shared" si="2"/>
        <v>-4078.47</v>
      </c>
      <c r="AE18" s="96">
        <f>ROUND(MAX((AD18)*{0.03;0.1;0.2;0.25;0.3;0.35;0.45}-{0;2520;16920;31920;52920;85920;181920},0),2)</f>
        <v>0</v>
      </c>
      <c r="AF18" s="97">
        <f>IFERROR(VLOOKUP(E:E,'（居民）工资表-3月'!E:AF,28,0)+VLOOKUP(E:E,'（居民）工资表-3月'!E:AG,29,0),0)</f>
        <v>0</v>
      </c>
      <c r="AG18" s="97">
        <f t="shared" si="3"/>
        <v>0</v>
      </c>
      <c r="AH18" s="107">
        <f t="shared" si="4"/>
        <v>921.53</v>
      </c>
      <c r="AI18" s="108"/>
      <c r="AJ18" s="107">
        <f t="shared" si="5"/>
        <v>921.53</v>
      </c>
      <c r="AK18" s="109"/>
      <c r="AL18" s="107">
        <f t="shared" si="6"/>
        <v>921.53</v>
      </c>
      <c r="AM18" s="109"/>
      <c r="AN18" s="109"/>
      <c r="AO18" s="109"/>
      <c r="AP18" s="109"/>
      <c r="AQ18" s="109"/>
      <c r="AR18" s="116"/>
      <c r="AS18" s="116"/>
      <c r="AT18" s="116"/>
    </row>
    <row r="19" s="12" customFormat="1" ht="18" customHeight="1" spans="1:46">
      <c r="A19" s="36"/>
      <c r="B19" s="37"/>
      <c r="C19" s="37"/>
      <c r="D19" s="37"/>
      <c r="E19" s="37"/>
      <c r="F19" s="38"/>
      <c r="G19" s="39"/>
      <c r="H19" s="40"/>
      <c r="I19" s="40"/>
      <c r="J19" s="69"/>
      <c r="K19" s="40"/>
      <c r="L19" s="70"/>
      <c r="M19" s="71"/>
      <c r="N19" s="71"/>
      <c r="O19" s="71"/>
      <c r="P19" s="71"/>
      <c r="Q19" s="89"/>
      <c r="R19" s="70"/>
      <c r="S19" s="90"/>
      <c r="T19" s="91"/>
      <c r="U19" s="91"/>
      <c r="V19" s="70"/>
      <c r="W19" s="70"/>
      <c r="X19" s="70"/>
      <c r="Y19" s="70"/>
      <c r="Z19" s="70"/>
      <c r="AA19" s="70"/>
      <c r="AB19" s="90"/>
      <c r="AC19" s="90"/>
      <c r="AD19" s="95"/>
      <c r="AE19" s="96"/>
      <c r="AF19" s="97"/>
      <c r="AG19" s="97"/>
      <c r="AH19" s="107"/>
      <c r="AI19" s="108"/>
      <c r="AJ19" s="107"/>
      <c r="AK19" s="109"/>
      <c r="AL19" s="107"/>
      <c r="AM19" s="109"/>
      <c r="AN19" s="109"/>
      <c r="AO19" s="109"/>
      <c r="AP19" s="109"/>
      <c r="AQ19" s="109"/>
      <c r="AR19" s="116"/>
      <c r="AS19" s="116"/>
      <c r="AT19" s="116"/>
    </row>
    <row r="20" s="13" customFormat="1" ht="18" customHeight="1" spans="1:46">
      <c r="A20" s="41"/>
      <c r="B20" s="42" t="s">
        <v>143</v>
      </c>
      <c r="C20" s="42"/>
      <c r="D20" s="43"/>
      <c r="E20" s="44"/>
      <c r="F20" s="45"/>
      <c r="G20" s="46"/>
      <c r="H20" s="45"/>
      <c r="I20" s="72"/>
      <c r="J20" s="73"/>
      <c r="K20" s="72"/>
      <c r="L20" s="74">
        <f>SUM(L4:L19)</f>
        <v>127112.51</v>
      </c>
      <c r="M20" s="74">
        <f t="shared" ref="M20:AL20" si="10">SUM(M4:M19)</f>
        <v>5600.82</v>
      </c>
      <c r="N20" s="74">
        <f t="shared" si="10"/>
        <v>1583.91</v>
      </c>
      <c r="O20" s="74">
        <f t="shared" si="10"/>
        <v>295.29</v>
      </c>
      <c r="P20" s="74">
        <f t="shared" si="10"/>
        <v>2523.4</v>
      </c>
      <c r="Q20" s="74">
        <f t="shared" si="10"/>
        <v>10003.42</v>
      </c>
      <c r="R20" s="74">
        <f t="shared" si="10"/>
        <v>0</v>
      </c>
      <c r="S20" s="74">
        <f t="shared" si="10"/>
        <v>367006.01</v>
      </c>
      <c r="T20" s="74">
        <f t="shared" si="10"/>
        <v>205000</v>
      </c>
      <c r="U20" s="74">
        <f t="shared" si="10"/>
        <v>27103.08</v>
      </c>
      <c r="V20" s="74">
        <f t="shared" si="10"/>
        <v>0</v>
      </c>
      <c r="W20" s="74">
        <f t="shared" si="10"/>
        <v>0</v>
      </c>
      <c r="X20" s="74">
        <f t="shared" si="10"/>
        <v>0</v>
      </c>
      <c r="Y20" s="74">
        <f t="shared" si="10"/>
        <v>0</v>
      </c>
      <c r="Z20" s="74">
        <f t="shared" si="10"/>
        <v>0</v>
      </c>
      <c r="AA20" s="74">
        <f t="shared" si="10"/>
        <v>0</v>
      </c>
      <c r="AB20" s="74">
        <f t="shared" si="10"/>
        <v>0</v>
      </c>
      <c r="AC20" s="74">
        <f t="shared" si="10"/>
        <v>0</v>
      </c>
      <c r="AD20" s="74">
        <f t="shared" si="10"/>
        <v>134902.93</v>
      </c>
      <c r="AE20" s="74">
        <f t="shared" si="10"/>
        <v>6815.29</v>
      </c>
      <c r="AF20" s="74">
        <f t="shared" si="10"/>
        <v>3636.38</v>
      </c>
      <c r="AG20" s="74">
        <f t="shared" si="10"/>
        <v>3178.91</v>
      </c>
      <c r="AH20" s="74">
        <f t="shared" si="10"/>
        <v>113930.18</v>
      </c>
      <c r="AI20" s="74">
        <f t="shared" si="10"/>
        <v>0</v>
      </c>
      <c r="AJ20" s="74">
        <f t="shared" si="10"/>
        <v>113930.18</v>
      </c>
      <c r="AK20" s="74">
        <f t="shared" si="10"/>
        <v>0</v>
      </c>
      <c r="AL20" s="74">
        <f t="shared" si="10"/>
        <v>117109.09</v>
      </c>
      <c r="AM20" s="110"/>
      <c r="AN20" s="110"/>
      <c r="AO20" s="110"/>
      <c r="AP20" s="110"/>
      <c r="AQ20" s="110"/>
      <c r="AR20" s="45"/>
      <c r="AS20" s="45"/>
      <c r="AT20" s="118"/>
    </row>
    <row r="23" spans="30:30">
      <c r="AD23" s="101"/>
    </row>
    <row r="24" ht="18.75" customHeight="1" spans="2:33">
      <c r="B24" s="47" t="s">
        <v>144</v>
      </c>
      <c r="C24" s="47" t="s">
        <v>145</v>
      </c>
      <c r="D24" s="47" t="s">
        <v>22</v>
      </c>
      <c r="E24" s="47" t="s">
        <v>23</v>
      </c>
      <c r="AD24" s="10"/>
      <c r="AG24" s="111"/>
    </row>
    <row r="25" ht="18.75" customHeight="1" spans="2:5">
      <c r="B25" s="48">
        <f>AJ20</f>
        <v>113930.18</v>
      </c>
      <c r="C25" s="48">
        <f>AG20</f>
        <v>3178.91</v>
      </c>
      <c r="D25" s="48">
        <f>AK20</f>
        <v>0</v>
      </c>
      <c r="E25" s="48">
        <f>B25+C25+D25</f>
        <v>117109.09</v>
      </c>
    </row>
    <row r="26" spans="2:5">
      <c r="B26" s="49"/>
      <c r="C26" s="49"/>
      <c r="D26" s="49"/>
      <c r="E26" s="50"/>
    </row>
    <row r="27" s="14" customFormat="1" spans="1:35">
      <c r="A27" s="51" t="s">
        <v>206</v>
      </c>
      <c r="B27" s="52" t="s">
        <v>207</v>
      </c>
      <c r="C27" s="50"/>
      <c r="D27" s="50"/>
      <c r="E27" s="50"/>
      <c r="G27" s="53"/>
      <c r="J27" s="75"/>
      <c r="M27" s="76"/>
      <c r="AI27" s="112"/>
    </row>
    <row r="28" s="14" customFormat="1" spans="1:35">
      <c r="A28" s="54"/>
      <c r="B28" s="55" t="s">
        <v>208</v>
      </c>
      <c r="C28" s="50"/>
      <c r="D28" s="50"/>
      <c r="E28" s="50"/>
      <c r="G28" s="53"/>
      <c r="J28" s="75"/>
      <c r="M28" s="76"/>
      <c r="AI28" s="112"/>
    </row>
    <row r="29" s="14" customFormat="1" spans="1:35">
      <c r="A29" s="52"/>
      <c r="B29" s="55" t="s">
        <v>209</v>
      </c>
      <c r="C29" s="56"/>
      <c r="D29" s="56"/>
      <c r="E29" s="56"/>
      <c r="F29" s="56"/>
      <c r="G29" s="56"/>
      <c r="H29" s="56"/>
      <c r="I29" s="56"/>
      <c r="J29" s="77"/>
      <c r="K29" s="56"/>
      <c r="L29" s="56"/>
      <c r="M29" s="78"/>
      <c r="N29" s="56"/>
      <c r="O29" s="56"/>
      <c r="P29" s="56"/>
      <c r="AI29" s="112"/>
    </row>
    <row r="30" s="14" customFormat="1" customHeight="1" spans="1:35">
      <c r="A30" s="55"/>
      <c r="B30" s="55" t="s">
        <v>210</v>
      </c>
      <c r="C30" s="57"/>
      <c r="D30" s="57"/>
      <c r="E30" s="57"/>
      <c r="F30" s="57"/>
      <c r="G30" s="57"/>
      <c r="H30" s="57"/>
      <c r="I30" s="79"/>
      <c r="J30" s="80"/>
      <c r="K30" s="79"/>
      <c r="L30" s="79"/>
      <c r="M30" s="81"/>
      <c r="N30" s="79"/>
      <c r="O30" s="79"/>
      <c r="P30" s="79"/>
      <c r="AI30" s="112"/>
    </row>
    <row r="31" s="14" customFormat="1" customHeight="1" spans="1:35">
      <c r="A31" s="55"/>
      <c r="B31" s="55" t="s">
        <v>211</v>
      </c>
      <c r="C31" s="57"/>
      <c r="D31" s="57"/>
      <c r="E31" s="57"/>
      <c r="F31" s="57"/>
      <c r="G31" s="57"/>
      <c r="H31" s="57"/>
      <c r="I31" s="57"/>
      <c r="J31" s="82"/>
      <c r="K31" s="57"/>
      <c r="L31" s="79"/>
      <c r="M31" s="81"/>
      <c r="N31" s="79"/>
      <c r="O31" s="79"/>
      <c r="P31" s="79"/>
      <c r="AI31" s="112"/>
    </row>
    <row r="32" s="14" customFormat="1" customHeight="1" spans="1:35">
      <c r="A32" s="55"/>
      <c r="B32" s="55" t="s">
        <v>212</v>
      </c>
      <c r="C32" s="57"/>
      <c r="D32" s="57"/>
      <c r="E32" s="57"/>
      <c r="F32" s="57"/>
      <c r="G32" s="57"/>
      <c r="H32" s="57"/>
      <c r="I32" s="79"/>
      <c r="J32" s="80"/>
      <c r="K32" s="79"/>
      <c r="L32" s="79"/>
      <c r="M32" s="81"/>
      <c r="N32" s="79"/>
      <c r="O32" s="79"/>
      <c r="P32" s="79"/>
      <c r="AI32" s="112"/>
    </row>
    <row r="34" ht="11.25" customHeight="1" spans="2:2">
      <c r="B34" s="58" t="s">
        <v>213</v>
      </c>
    </row>
    <row r="35" spans="2:2">
      <c r="B35" s="59" t="s">
        <v>214</v>
      </c>
    </row>
    <row r="36" spans="2:2">
      <c r="B36" s="59" t="s">
        <v>215</v>
      </c>
    </row>
  </sheetData>
  <autoFilter xmlns:etc="http://www.wps.cn/officeDocument/2017/etCustomData" ref="A3:AT20" etc:filterBottomFollowUsedRange="0">
    <extLst/>
  </autoFilter>
  <mergeCells count="39">
    <mergeCell ref="M1:P1"/>
    <mergeCell ref="M2:P2"/>
    <mergeCell ref="V2:AA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Q2:Q3"/>
    <mergeCell ref="R2:R3"/>
    <mergeCell ref="S2:S3"/>
    <mergeCell ref="T2:T3"/>
    <mergeCell ref="U2:U3"/>
    <mergeCell ref="AB2:AB3"/>
    <mergeCell ref="AC2:AC3"/>
    <mergeCell ref="AD2:AD3"/>
    <mergeCell ref="AE2:AE3"/>
    <mergeCell ref="AF2:AF3"/>
    <mergeCell ref="AG2:AG3"/>
    <mergeCell ref="AH2:AH3"/>
    <mergeCell ref="AI2:AI3"/>
    <mergeCell ref="AJ2:AJ3"/>
    <mergeCell ref="AK2:AK3"/>
    <mergeCell ref="AL2:AL3"/>
    <mergeCell ref="AM2:AM3"/>
    <mergeCell ref="AN2:AN3"/>
    <mergeCell ref="AO2:AO3"/>
    <mergeCell ref="AP2:AP3"/>
    <mergeCell ref="AQ2:AQ3"/>
    <mergeCell ref="AR2:AR3"/>
    <mergeCell ref="AS2:AS3"/>
    <mergeCell ref="AT2:AT3"/>
  </mergeCells>
  <conditionalFormatting sqref="B32">
    <cfRule type="duplicateValues" dxfId="4" priority="2" stopIfTrue="1"/>
  </conditionalFormatting>
  <conditionalFormatting sqref="B27:B31">
    <cfRule type="duplicateValues" dxfId="4" priority="3" stopIfTrue="1"/>
  </conditionalFormatting>
  <conditionalFormatting sqref="B35:B36">
    <cfRule type="duplicateValues" dxfId="4" priority="1" stopIfTrue="1"/>
  </conditionalFormatting>
  <conditionalFormatting sqref="C24:C26">
    <cfRule type="duplicateValues" dxfId="4" priority="4" stopIfTrue="1"/>
    <cfRule type="expression" dxfId="5" priority="5" stopIfTrue="1">
      <formula>AND(COUNTIF($B$20:$B$65456,C24)+COUNTIF($B$1:$B$3,C24)&gt;1,NOT(ISBLANK(C24)))</formula>
    </cfRule>
    <cfRule type="expression" dxfId="5" priority="6" stopIfTrue="1">
      <formula>AND(COUNTIF($B$31:$B$65407,C24)+COUNTIF($B$1:$B$30,C24)&gt;1,NOT(ISBLANK(C24)))</formula>
    </cfRule>
    <cfRule type="expression" dxfId="5" priority="7" stopIfTrue="1">
      <formula>AND(COUNTIF($B$20:$B$65445,C24)+COUNTIF($B$1:$B$3,C24)&gt;1,NOT(ISBLANK(C24)))</formula>
    </cfRule>
  </conditionalFormatting>
  <pageMargins left="0.235416666666667" right="0.235416666666667" top="0.747916666666667" bottom="0.747916666666667" header="0.313888888888889" footer="0.313888888888889"/>
  <pageSetup paperSize="9" scale="56" fitToWidth="2" orientation="landscape"/>
  <headerFooter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7"/>
  <dimension ref="B1:E44"/>
  <sheetViews>
    <sheetView workbookViewId="0">
      <selection activeCell="D4" sqref="D4"/>
    </sheetView>
  </sheetViews>
  <sheetFormatPr defaultColWidth="9" defaultRowHeight="13.5" outlineLevelCol="4"/>
  <cols>
    <col min="3" max="3" width="32" customWidth="1"/>
    <col min="4" max="4" width="13.725" customWidth="1"/>
    <col min="5" max="5" width="16.0916666666667" customWidth="1"/>
  </cols>
  <sheetData>
    <row r="1" ht="57" customHeight="1" spans="2:5">
      <c r="B1" s="1" t="s">
        <v>226</v>
      </c>
      <c r="C1" s="1"/>
      <c r="D1" s="1"/>
      <c r="E1" s="1"/>
    </row>
    <row r="2" ht="21" spans="2:2">
      <c r="B2" s="2"/>
    </row>
    <row r="3" ht="27.75" customHeight="1" spans="2:5">
      <c r="B3" s="3" t="s">
        <v>227</v>
      </c>
      <c r="C3" s="4" t="s">
        <v>228</v>
      </c>
      <c r="D3" s="4" t="s">
        <v>229</v>
      </c>
      <c r="E3" s="4" t="s">
        <v>115</v>
      </c>
    </row>
    <row r="4" ht="29.25" customHeight="1" spans="2:5">
      <c r="B4" s="5">
        <v>1</v>
      </c>
      <c r="C4" s="6" t="s">
        <v>230</v>
      </c>
      <c r="D4" s="7">
        <v>0.03</v>
      </c>
      <c r="E4" s="8">
        <v>0</v>
      </c>
    </row>
    <row r="5" ht="29.25" customHeight="1" spans="2:5">
      <c r="B5" s="5">
        <v>2</v>
      </c>
      <c r="C5" s="6" t="s">
        <v>231</v>
      </c>
      <c r="D5" s="7">
        <v>0.1</v>
      </c>
      <c r="E5" s="8">
        <v>2520</v>
      </c>
    </row>
    <row r="6" ht="29.25" customHeight="1" spans="2:5">
      <c r="B6" s="5">
        <v>3</v>
      </c>
      <c r="C6" s="6" t="s">
        <v>232</v>
      </c>
      <c r="D6" s="7">
        <v>0.2</v>
      </c>
      <c r="E6" s="8">
        <v>16920</v>
      </c>
    </row>
    <row r="7" ht="29.25" customHeight="1" spans="2:5">
      <c r="B7" s="5">
        <v>4</v>
      </c>
      <c r="C7" s="6" t="s">
        <v>233</v>
      </c>
      <c r="D7" s="7">
        <v>0.25</v>
      </c>
      <c r="E7" s="8">
        <v>31920</v>
      </c>
    </row>
    <row r="8" ht="29.25" customHeight="1" spans="2:5">
      <c r="B8" s="5">
        <v>5</v>
      </c>
      <c r="C8" s="6" t="s">
        <v>234</v>
      </c>
      <c r="D8" s="7">
        <v>0.3</v>
      </c>
      <c r="E8" s="8">
        <v>52920</v>
      </c>
    </row>
    <row r="9" ht="29.25" customHeight="1" spans="2:5">
      <c r="B9" s="5">
        <v>6</v>
      </c>
      <c r="C9" s="6" t="s">
        <v>235</v>
      </c>
      <c r="D9" s="7">
        <v>0.35</v>
      </c>
      <c r="E9" s="8">
        <v>85920</v>
      </c>
    </row>
    <row r="10" ht="29.25" customHeight="1" spans="2:5">
      <c r="B10" s="5">
        <v>7</v>
      </c>
      <c r="C10" s="6" t="s">
        <v>236</v>
      </c>
      <c r="D10" s="7">
        <v>0.45</v>
      </c>
      <c r="E10" s="8">
        <v>181920</v>
      </c>
    </row>
    <row r="13" ht="57" customHeight="1" spans="2:5">
      <c r="B13" s="1" t="s">
        <v>237</v>
      </c>
      <c r="C13" s="1"/>
      <c r="D13" s="1"/>
      <c r="E13" s="1"/>
    </row>
    <row r="14" ht="21" spans="2:2">
      <c r="B14" s="2"/>
    </row>
    <row r="15" ht="27.75" customHeight="1" spans="2:5">
      <c r="B15" s="3" t="s">
        <v>227</v>
      </c>
      <c r="C15" s="4" t="s">
        <v>238</v>
      </c>
      <c r="D15" s="4" t="s">
        <v>229</v>
      </c>
      <c r="E15" s="4" t="s">
        <v>115</v>
      </c>
    </row>
    <row r="16" ht="29.25" customHeight="1" spans="2:5">
      <c r="B16" s="5">
        <v>1</v>
      </c>
      <c r="C16" s="6" t="s">
        <v>239</v>
      </c>
      <c r="D16" s="7">
        <v>0.2</v>
      </c>
      <c r="E16" s="8">
        <v>0</v>
      </c>
    </row>
    <row r="17" ht="29.25" customHeight="1" spans="2:5">
      <c r="B17" s="5">
        <v>2</v>
      </c>
      <c r="C17" s="6" t="s">
        <v>240</v>
      </c>
      <c r="D17" s="7">
        <v>0.3</v>
      </c>
      <c r="E17" s="8">
        <v>2000</v>
      </c>
    </row>
    <row r="18" ht="29.25" customHeight="1" spans="2:5">
      <c r="B18" s="5">
        <v>3</v>
      </c>
      <c r="C18" s="6" t="s">
        <v>241</v>
      </c>
      <c r="D18" s="7">
        <v>0.4</v>
      </c>
      <c r="E18" s="8">
        <v>7000</v>
      </c>
    </row>
    <row r="21" ht="47.25" customHeight="1" spans="2:5">
      <c r="B21" s="1" t="s">
        <v>242</v>
      </c>
      <c r="C21" s="1"/>
      <c r="D21" s="1"/>
      <c r="E21" s="1"/>
    </row>
    <row r="22" ht="21" spans="2:2">
      <c r="B22" s="2"/>
    </row>
    <row r="23" ht="27.75" customHeight="1" spans="2:5">
      <c r="B23" s="3" t="s">
        <v>227</v>
      </c>
      <c r="C23" s="4" t="s">
        <v>243</v>
      </c>
      <c r="D23" s="4" t="s">
        <v>229</v>
      </c>
      <c r="E23" s="4" t="s">
        <v>115</v>
      </c>
    </row>
    <row r="24" ht="29.25" customHeight="1" spans="2:5">
      <c r="B24" s="5">
        <v>1</v>
      </c>
      <c r="C24" s="6" t="s">
        <v>244</v>
      </c>
      <c r="D24" s="7">
        <v>0.03</v>
      </c>
      <c r="E24" s="8">
        <v>0</v>
      </c>
    </row>
    <row r="25" ht="29.25" customHeight="1" spans="2:5">
      <c r="B25" s="5">
        <v>2</v>
      </c>
      <c r="C25" s="6" t="s">
        <v>245</v>
      </c>
      <c r="D25" s="7">
        <v>0.1</v>
      </c>
      <c r="E25" s="8">
        <v>210</v>
      </c>
    </row>
    <row r="26" ht="29.25" customHeight="1" spans="2:5">
      <c r="B26" s="5">
        <v>3</v>
      </c>
      <c r="C26" s="6" t="s">
        <v>246</v>
      </c>
      <c r="D26" s="7">
        <v>0.2</v>
      </c>
      <c r="E26" s="8">
        <v>1410</v>
      </c>
    </row>
    <row r="27" ht="29.25" customHeight="1" spans="2:5">
      <c r="B27" s="5">
        <v>4</v>
      </c>
      <c r="C27" s="6" t="s">
        <v>247</v>
      </c>
      <c r="D27" s="7">
        <v>0.25</v>
      </c>
      <c r="E27" s="8">
        <v>2660</v>
      </c>
    </row>
    <row r="28" ht="29.25" customHeight="1" spans="2:5">
      <c r="B28" s="5">
        <v>5</v>
      </c>
      <c r="C28" s="6" t="s">
        <v>248</v>
      </c>
      <c r="D28" s="7">
        <v>0.3</v>
      </c>
      <c r="E28" s="8">
        <v>4410</v>
      </c>
    </row>
    <row r="29" ht="29.25" customHeight="1" spans="2:5">
      <c r="B29" s="5">
        <v>6</v>
      </c>
      <c r="C29" s="6" t="s">
        <v>249</v>
      </c>
      <c r="D29" s="7">
        <v>0.35</v>
      </c>
      <c r="E29" s="8">
        <v>7160</v>
      </c>
    </row>
    <row r="30" ht="29.25" customHeight="1" spans="2:5">
      <c r="B30" s="5">
        <v>7</v>
      </c>
      <c r="C30" s="6" t="s">
        <v>250</v>
      </c>
      <c r="D30" s="7">
        <v>0.45</v>
      </c>
      <c r="E30" s="8">
        <v>15160</v>
      </c>
    </row>
    <row r="35" ht="57" customHeight="1" spans="2:5">
      <c r="B35" s="9" t="s">
        <v>251</v>
      </c>
      <c r="C35" s="9"/>
      <c r="D35" s="9"/>
      <c r="E35" s="9"/>
    </row>
    <row r="36" ht="14.25"/>
    <row r="37" ht="21.75" customHeight="1" spans="2:5">
      <c r="B37" s="3" t="s">
        <v>227</v>
      </c>
      <c r="C37" s="4" t="s">
        <v>252</v>
      </c>
      <c r="D37" s="4" t="s">
        <v>253</v>
      </c>
      <c r="E37" s="4" t="s">
        <v>115</v>
      </c>
    </row>
    <row r="38" ht="21.75" customHeight="1" spans="2:5">
      <c r="B38" s="5">
        <v>1</v>
      </c>
      <c r="C38" s="6" t="s">
        <v>244</v>
      </c>
      <c r="D38" s="7">
        <v>0.03</v>
      </c>
      <c r="E38" s="8">
        <v>0</v>
      </c>
    </row>
    <row r="39" ht="21.75" customHeight="1" spans="2:5">
      <c r="B39" s="5">
        <v>2</v>
      </c>
      <c r="C39" s="6" t="s">
        <v>245</v>
      </c>
      <c r="D39" s="7">
        <v>0.1</v>
      </c>
      <c r="E39" s="8">
        <v>210</v>
      </c>
    </row>
    <row r="40" ht="21.75" customHeight="1" spans="2:5">
      <c r="B40" s="5">
        <v>3</v>
      </c>
      <c r="C40" s="6" t="s">
        <v>246</v>
      </c>
      <c r="D40" s="7">
        <v>0.2</v>
      </c>
      <c r="E40" s="8">
        <v>1410</v>
      </c>
    </row>
    <row r="41" ht="21.75" customHeight="1" spans="2:5">
      <c r="B41" s="5">
        <v>4</v>
      </c>
      <c r="C41" s="6" t="s">
        <v>247</v>
      </c>
      <c r="D41" s="7">
        <v>0.25</v>
      </c>
      <c r="E41" s="8">
        <v>2660</v>
      </c>
    </row>
    <row r="42" ht="21.75" customHeight="1" spans="2:5">
      <c r="B42" s="5">
        <v>5</v>
      </c>
      <c r="C42" s="6" t="s">
        <v>248</v>
      </c>
      <c r="D42" s="7">
        <v>0.3</v>
      </c>
      <c r="E42" s="8">
        <v>4410</v>
      </c>
    </row>
    <row r="43" ht="21.75" customHeight="1" spans="2:5">
      <c r="B43" s="5">
        <v>6</v>
      </c>
      <c r="C43" s="6" t="s">
        <v>249</v>
      </c>
      <c r="D43" s="7">
        <v>0.35</v>
      </c>
      <c r="E43" s="8">
        <v>7160</v>
      </c>
    </row>
    <row r="44" ht="21.75" customHeight="1" spans="2:5">
      <c r="B44" s="5">
        <v>7</v>
      </c>
      <c r="C44" s="6" t="s">
        <v>250</v>
      </c>
      <c r="D44" s="7">
        <v>0.45</v>
      </c>
      <c r="E44" s="8">
        <v>15160</v>
      </c>
    </row>
  </sheetData>
  <mergeCells count="4">
    <mergeCell ref="B1:E1"/>
    <mergeCell ref="B13:E13"/>
    <mergeCell ref="B21:E21"/>
    <mergeCell ref="B35:E35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N26"/>
  <sheetViews>
    <sheetView tabSelected="1" workbookViewId="0">
      <selection activeCell="F5" sqref="F5"/>
    </sheetView>
  </sheetViews>
  <sheetFormatPr defaultColWidth="9" defaultRowHeight="13.5"/>
  <cols>
    <col min="1" max="2" width="9" style="155"/>
    <col min="3" max="3" width="10.725" style="155" customWidth="1"/>
    <col min="4" max="4" width="16.725" style="155" customWidth="1"/>
    <col min="5" max="5" width="11.725" style="155" customWidth="1"/>
    <col min="6" max="6" width="9" style="155"/>
    <col min="7" max="7" width="10.725" style="155" customWidth="1"/>
    <col min="8" max="12" width="9" style="155"/>
    <col min="13" max="13" width="9.45" style="155" customWidth="1"/>
    <col min="14" max="14" width="16.45" style="155" customWidth="1"/>
    <col min="15" max="16384" width="9" style="155"/>
  </cols>
  <sheetData>
    <row r="1" ht="25.5" spans="1:14">
      <c r="A1" s="156" t="s">
        <v>67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</row>
    <row r="2" ht="14.25" spans="1:14">
      <c r="A2" s="157"/>
      <c r="B2" s="158"/>
      <c r="C2" s="158"/>
      <c r="D2" s="159"/>
      <c r="E2" s="159"/>
      <c r="F2" s="159"/>
      <c r="G2" s="157"/>
      <c r="H2" s="157"/>
      <c r="I2" s="157"/>
      <c r="J2" s="159"/>
      <c r="K2" s="159"/>
      <c r="L2" s="159"/>
      <c r="M2" s="159"/>
      <c r="N2" s="159"/>
    </row>
    <row r="3" spans="1:14">
      <c r="A3" s="160"/>
      <c r="B3" s="161"/>
      <c r="C3" s="162"/>
      <c r="D3" s="163"/>
      <c r="E3" s="164"/>
      <c r="F3" s="164"/>
      <c r="G3" s="165"/>
      <c r="H3" s="166"/>
      <c r="I3" s="161"/>
      <c r="J3" s="162"/>
      <c r="K3" s="163"/>
      <c r="L3" s="234"/>
      <c r="M3" s="159"/>
      <c r="N3" s="159"/>
    </row>
    <row r="4" spans="1:14">
      <c r="A4" s="160"/>
      <c r="B4" s="167" t="s">
        <v>68</v>
      </c>
      <c r="C4" s="167"/>
      <c r="D4" s="167"/>
      <c r="E4" s="167"/>
      <c r="F4" s="168"/>
      <c r="G4" s="167"/>
      <c r="H4" s="166"/>
      <c r="K4" s="159"/>
      <c r="L4" s="235"/>
      <c r="M4" s="236"/>
      <c r="N4" s="159"/>
    </row>
    <row r="5" spans="1:14">
      <c r="A5" s="169"/>
      <c r="B5" s="170" t="s">
        <v>69</v>
      </c>
      <c r="C5" s="163"/>
      <c r="D5" s="163"/>
      <c r="E5" s="163"/>
      <c r="F5" s="163"/>
      <c r="G5" s="163"/>
      <c r="H5" s="171"/>
      <c r="I5" s="166"/>
      <c r="J5" s="161"/>
      <c r="K5" s="162"/>
      <c r="L5" s="234"/>
      <c r="M5" s="159"/>
      <c r="N5" s="159"/>
    </row>
    <row r="6" ht="9.75" customHeight="1" spans="1:14">
      <c r="A6" s="172"/>
      <c r="B6" s="172"/>
      <c r="C6" s="172"/>
      <c r="D6" s="172"/>
      <c r="E6" s="172"/>
      <c r="F6" s="172"/>
      <c r="G6" s="172"/>
      <c r="H6" s="172"/>
      <c r="I6" s="237"/>
      <c r="J6" s="237"/>
      <c r="K6" s="238"/>
      <c r="L6" s="238"/>
      <c r="M6" s="238"/>
      <c r="N6" s="238"/>
    </row>
    <row r="7" ht="17.25" spans="1:14">
      <c r="A7" s="172"/>
      <c r="B7" s="173" t="s">
        <v>70</v>
      </c>
      <c r="C7" s="174"/>
      <c r="D7" s="174"/>
      <c r="E7" s="174"/>
      <c r="F7" s="174"/>
      <c r="G7" s="174"/>
      <c r="H7" s="174"/>
      <c r="I7" s="239" t="s">
        <v>71</v>
      </c>
      <c r="J7" s="239"/>
      <c r="K7" s="240" t="s">
        <v>47</v>
      </c>
      <c r="L7" s="240"/>
      <c r="M7" s="240"/>
      <c r="N7" s="241"/>
    </row>
    <row r="8" ht="17.25" spans="1:14">
      <c r="A8" s="172"/>
      <c r="B8" s="175" t="s">
        <v>72</v>
      </c>
      <c r="C8" s="176"/>
      <c r="D8" s="176"/>
      <c r="E8" s="177">
        <f>D10</f>
        <v>105530</v>
      </c>
      <c r="F8" s="178"/>
      <c r="G8" s="178"/>
      <c r="H8" s="179"/>
      <c r="I8" s="242" t="s">
        <v>73</v>
      </c>
      <c r="J8" s="243" t="s">
        <v>74</v>
      </c>
      <c r="K8" s="244" t="s">
        <v>75</v>
      </c>
      <c r="L8" s="244"/>
      <c r="M8" s="244"/>
      <c r="N8" s="245"/>
    </row>
    <row r="9" ht="15.75" spans="1:14">
      <c r="A9" s="172"/>
      <c r="B9" s="180" t="s">
        <v>76</v>
      </c>
      <c r="C9" s="181"/>
      <c r="D9" s="181"/>
      <c r="E9" s="182">
        <f>G24</f>
        <v>105530</v>
      </c>
      <c r="F9" s="183"/>
      <c r="G9" s="183"/>
      <c r="H9" s="184"/>
      <c r="I9" s="244" t="s">
        <v>73</v>
      </c>
      <c r="J9" s="246" t="s">
        <v>77</v>
      </c>
      <c r="K9" s="247" t="s">
        <v>78</v>
      </c>
      <c r="L9" s="247"/>
      <c r="M9" s="247"/>
      <c r="N9" s="248"/>
    </row>
    <row r="10" ht="30.75" spans="1:14">
      <c r="A10" s="172"/>
      <c r="B10" s="185" t="s">
        <v>79</v>
      </c>
      <c r="C10" s="186"/>
      <c r="D10" s="187">
        <f>G24</f>
        <v>105530</v>
      </c>
      <c r="E10" s="188" t="s">
        <v>80</v>
      </c>
      <c r="F10" s="189"/>
      <c r="G10" s="190"/>
      <c r="H10" s="191">
        <v>0</v>
      </c>
      <c r="I10" s="249" t="s">
        <v>73</v>
      </c>
      <c r="J10" s="250" t="s">
        <v>81</v>
      </c>
      <c r="K10" s="251" t="s">
        <v>82</v>
      </c>
      <c r="L10" s="251"/>
      <c r="M10" s="251"/>
      <c r="N10" s="252"/>
    </row>
    <row r="11" ht="14.25" spans="1:14">
      <c r="A11" s="172"/>
      <c r="B11" s="192" t="s">
        <v>83</v>
      </c>
      <c r="C11" s="193"/>
      <c r="D11" s="194"/>
      <c r="E11" s="195" t="s">
        <v>84</v>
      </c>
      <c r="F11" s="196"/>
      <c r="G11" s="197"/>
      <c r="H11" s="198"/>
      <c r="I11" s="253"/>
      <c r="J11" s="254"/>
      <c r="K11" s="253"/>
      <c r="L11" s="253"/>
      <c r="M11" s="253"/>
      <c r="N11" s="255"/>
    </row>
    <row r="12" spans="1:14">
      <c r="A12" s="169"/>
      <c r="B12" s="192" t="s">
        <v>85</v>
      </c>
      <c r="C12" s="193"/>
      <c r="D12" s="194">
        <v>0</v>
      </c>
      <c r="E12" s="195" t="s">
        <v>86</v>
      </c>
      <c r="F12" s="196"/>
      <c r="G12" s="197"/>
      <c r="H12" s="198"/>
      <c r="I12" s="256"/>
      <c r="J12" s="257"/>
      <c r="K12" s="258"/>
      <c r="L12" s="258"/>
      <c r="M12" s="258"/>
      <c r="N12" s="258"/>
    </row>
    <row r="13" ht="14.25" spans="1:14">
      <c r="A13" s="159"/>
      <c r="B13" s="199" t="s">
        <v>87</v>
      </c>
      <c r="C13" s="200"/>
      <c r="D13" s="201">
        <v>0</v>
      </c>
      <c r="E13" s="202"/>
      <c r="F13" s="203"/>
      <c r="G13" s="204"/>
      <c r="H13" s="205"/>
      <c r="I13" s="172"/>
      <c r="J13" s="259"/>
      <c r="K13" s="260"/>
      <c r="L13" s="260"/>
      <c r="M13" s="260"/>
      <c r="N13" s="260"/>
    </row>
    <row r="14" ht="5.25" customHeight="1" spans="1:14">
      <c r="A14" s="206"/>
      <c r="B14" s="172"/>
      <c r="C14" s="172"/>
      <c r="D14" s="172"/>
      <c r="E14" s="172"/>
      <c r="F14" s="172"/>
      <c r="G14" s="172"/>
      <c r="H14" s="172"/>
      <c r="I14" s="172"/>
      <c r="J14" s="172"/>
      <c r="K14" s="172"/>
      <c r="L14" s="172"/>
      <c r="M14" s="172"/>
      <c r="N14" s="172"/>
    </row>
    <row r="15" spans="1:14">
      <c r="A15" s="159" t="s">
        <v>88</v>
      </c>
      <c r="B15" s="159"/>
      <c r="C15" s="159"/>
      <c r="D15" s="159"/>
      <c r="E15" s="159"/>
      <c r="F15" s="159"/>
      <c r="G15" s="159"/>
      <c r="H15" s="159"/>
      <c r="I15" s="159"/>
      <c r="J15" s="159"/>
      <c r="K15" s="159"/>
      <c r="L15" s="159"/>
      <c r="M15" s="159"/>
      <c r="N15" s="159"/>
    </row>
    <row r="16" ht="3" customHeight="1" spans="1:14">
      <c r="A16" s="159"/>
      <c r="B16" s="159"/>
      <c r="C16" s="159"/>
      <c r="D16" s="159"/>
      <c r="E16" s="159"/>
      <c r="F16" s="159"/>
      <c r="G16" s="159"/>
      <c r="H16" s="159"/>
      <c r="I16" s="159"/>
      <c r="J16" s="159"/>
      <c r="K16" s="159"/>
      <c r="L16" s="159"/>
      <c r="M16" s="159"/>
      <c r="N16" s="159"/>
    </row>
    <row r="17" ht="18.75" spans="2:13">
      <c r="B17" s="207" t="s">
        <v>0</v>
      </c>
      <c r="C17" s="208" t="s">
        <v>89</v>
      </c>
      <c r="D17" s="208" t="s">
        <v>90</v>
      </c>
      <c r="E17" s="208"/>
      <c r="F17" s="209" t="s">
        <v>91</v>
      </c>
      <c r="G17" s="210" t="s">
        <v>31</v>
      </c>
      <c r="H17" s="211" t="s">
        <v>24</v>
      </c>
      <c r="J17" s="261" t="s">
        <v>92</v>
      </c>
      <c r="K17" s="261"/>
      <c r="L17" s="261"/>
      <c r="M17" s="261"/>
    </row>
    <row r="18" ht="16.5" spans="2:13">
      <c r="B18" s="212">
        <v>1</v>
      </c>
      <c r="C18" s="213" t="s">
        <v>93</v>
      </c>
      <c r="D18" s="214" t="s">
        <v>94</v>
      </c>
      <c r="E18" s="214"/>
      <c r="F18" s="215"/>
      <c r="G18" s="216">
        <f>年终奖!H20</f>
        <v>105530</v>
      </c>
      <c r="H18" s="217"/>
      <c r="J18" s="261"/>
      <c r="K18" s="261"/>
      <c r="L18" s="261"/>
      <c r="M18" s="261"/>
    </row>
    <row r="19" ht="16.5" spans="2:13">
      <c r="B19" s="212">
        <v>2</v>
      </c>
      <c r="C19" s="213"/>
      <c r="D19" s="218" t="s">
        <v>95</v>
      </c>
      <c r="E19" s="219" t="s">
        <v>96</v>
      </c>
      <c r="F19" s="215"/>
      <c r="G19" s="216"/>
      <c r="H19" s="220"/>
      <c r="J19" s="261"/>
      <c r="K19" s="261"/>
      <c r="L19" s="261"/>
      <c r="M19" s="261"/>
    </row>
    <row r="20" ht="16.5" spans="2:13">
      <c r="B20" s="212">
        <v>3</v>
      </c>
      <c r="C20" s="213"/>
      <c r="D20" s="218" t="s">
        <v>97</v>
      </c>
      <c r="E20" s="219" t="s">
        <v>96</v>
      </c>
      <c r="F20" s="215"/>
      <c r="G20" s="216"/>
      <c r="H20" s="220"/>
      <c r="J20" s="261"/>
      <c r="K20" s="261"/>
      <c r="L20" s="261"/>
      <c r="M20" s="261"/>
    </row>
    <row r="21" ht="16.5" spans="2:13">
      <c r="B21" s="212">
        <v>4</v>
      </c>
      <c r="C21" s="213"/>
      <c r="D21" s="221" t="s">
        <v>38</v>
      </c>
      <c r="E21" s="221"/>
      <c r="F21" s="215"/>
      <c r="G21" s="222">
        <f>G18+G19+G20</f>
        <v>105530</v>
      </c>
      <c r="H21" s="223"/>
      <c r="J21" s="261"/>
      <c r="K21" s="261"/>
      <c r="L21" s="261"/>
      <c r="M21" s="261"/>
    </row>
    <row r="22" ht="16.5" spans="2:13">
      <c r="B22" s="212">
        <v>5</v>
      </c>
      <c r="C22" s="213" t="s">
        <v>98</v>
      </c>
      <c r="D22" s="221" t="s">
        <v>99</v>
      </c>
      <c r="E22" s="221"/>
      <c r="F22" s="215"/>
      <c r="G22" s="222"/>
      <c r="H22" s="217"/>
      <c r="J22" s="261"/>
      <c r="K22" s="261"/>
      <c r="L22" s="261"/>
      <c r="M22" s="261"/>
    </row>
    <row r="23" ht="18" customHeight="1" spans="2:13">
      <c r="B23" s="212">
        <v>6</v>
      </c>
      <c r="C23" s="224" t="s">
        <v>100</v>
      </c>
      <c r="D23" s="225">
        <v>0.056</v>
      </c>
      <c r="E23" s="225"/>
      <c r="F23" s="225"/>
      <c r="G23" s="222"/>
      <c r="H23" s="217"/>
      <c r="J23" s="261"/>
      <c r="K23" s="261"/>
      <c r="L23" s="261"/>
      <c r="M23" s="261"/>
    </row>
    <row r="24" ht="16.5" spans="2:8">
      <c r="B24" s="226" t="s">
        <v>101</v>
      </c>
      <c r="C24" s="227"/>
      <c r="D24" s="227"/>
      <c r="E24" s="227"/>
      <c r="F24" s="227"/>
      <c r="G24" s="228">
        <f>G21+G22</f>
        <v>105530</v>
      </c>
      <c r="H24" s="229"/>
    </row>
    <row r="25" ht="16" customHeight="1" spans="2:8">
      <c r="B25" s="230" t="s">
        <v>102</v>
      </c>
      <c r="C25" s="231"/>
      <c r="D25" s="231"/>
      <c r="E25" s="231"/>
      <c r="F25" s="231"/>
      <c r="G25" s="232">
        <f>G24</f>
        <v>105530</v>
      </c>
      <c r="H25" s="233"/>
    </row>
    <row r="26" ht="14.25"/>
  </sheetData>
  <mergeCells count="32">
    <mergeCell ref="A1:N1"/>
    <mergeCell ref="B4:F4"/>
    <mergeCell ref="B7:H7"/>
    <mergeCell ref="I7:J7"/>
    <mergeCell ref="K7:M7"/>
    <mergeCell ref="B8:D8"/>
    <mergeCell ref="E8:H8"/>
    <mergeCell ref="K8:M8"/>
    <mergeCell ref="B9:D9"/>
    <mergeCell ref="E9:H9"/>
    <mergeCell ref="K9:M9"/>
    <mergeCell ref="B10:C10"/>
    <mergeCell ref="E10:G10"/>
    <mergeCell ref="K10:M10"/>
    <mergeCell ref="B11:C11"/>
    <mergeCell ref="E11:G11"/>
    <mergeCell ref="B12:C12"/>
    <mergeCell ref="E12:G12"/>
    <mergeCell ref="K12:N12"/>
    <mergeCell ref="B13:C13"/>
    <mergeCell ref="E13:G13"/>
    <mergeCell ref="K13:N13"/>
    <mergeCell ref="A15:N15"/>
    <mergeCell ref="D17:E17"/>
    <mergeCell ref="D18:E18"/>
    <mergeCell ref="D21:E21"/>
    <mergeCell ref="D22:E22"/>
    <mergeCell ref="D23:F23"/>
    <mergeCell ref="B24:F24"/>
    <mergeCell ref="B25:F25"/>
    <mergeCell ref="C18:C21"/>
    <mergeCell ref="J17:M23"/>
  </mergeCells>
  <conditionalFormatting sqref="G20:H21 C21:E21 F19:F22">
    <cfRule type="cellIs" dxfId="2" priority="1" stopIfTrue="1" operator="equal">
      <formula>"信用卡"</formula>
    </cfRule>
    <cfRule type="cellIs" dxfId="3" priority="2" stopIfTrue="1" operator="equal">
      <formula>"現金"</formula>
    </cfRule>
  </conditionalFormatting>
  <pageMargins left="0.75" right="0.75" top="1" bottom="1" header="0.5" footer="0.5"/>
  <headerFooter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0"/>
  <sheetViews>
    <sheetView topLeftCell="C1" workbookViewId="0">
      <selection activeCell="M16" sqref="M16:N16"/>
    </sheetView>
  </sheetViews>
  <sheetFormatPr defaultColWidth="9" defaultRowHeight="13.5"/>
  <cols>
    <col min="1" max="1" width="5.25" customWidth="1"/>
    <col min="2" max="2" width="11.375" customWidth="1"/>
    <col min="3" max="3" width="22.125" customWidth="1"/>
    <col min="4" max="4" width="8.5" customWidth="1"/>
    <col min="5" max="5" width="10.375"/>
    <col min="6" max="6" width="26.25" style="131" customWidth="1"/>
    <col min="7" max="7" width="12.625" style="131" customWidth="1"/>
    <col min="8" max="8" width="11.875" style="131" customWidth="1"/>
    <col min="9" max="9" width="12.625"/>
    <col min="10" max="10" width="12.625" style="132" customWidth="1"/>
    <col min="13" max="13" width="9.375"/>
    <col min="14" max="14" width="10.375"/>
    <col min="15" max="15" width="17.25" customWidth="1"/>
    <col min="16" max="16" width="11.75" customWidth="1"/>
  </cols>
  <sheetData>
    <row r="1" customFormat="1" ht="18.75" spans="1:10">
      <c r="A1" s="133" t="s">
        <v>103</v>
      </c>
      <c r="F1" s="131"/>
      <c r="G1" s="131"/>
      <c r="H1" s="131"/>
      <c r="J1" s="132"/>
    </row>
    <row r="2" customFormat="1" spans="1:10">
      <c r="A2" s="134" t="s">
        <v>104</v>
      </c>
      <c r="B2" s="135">
        <v>44927</v>
      </c>
      <c r="F2" s="131"/>
      <c r="G2" s="131"/>
      <c r="H2" s="131"/>
      <c r="J2" s="132"/>
    </row>
    <row r="3" s="130" customFormat="1" ht="27" spans="1:17">
      <c r="A3" s="136" t="s">
        <v>0</v>
      </c>
      <c r="B3" s="136" t="s">
        <v>105</v>
      </c>
      <c r="C3" s="136" t="s">
        <v>106</v>
      </c>
      <c r="D3" s="137" t="s">
        <v>107</v>
      </c>
      <c r="E3" s="137" t="s">
        <v>108</v>
      </c>
      <c r="F3" s="138" t="s">
        <v>109</v>
      </c>
      <c r="G3" s="138" t="s">
        <v>110</v>
      </c>
      <c r="H3" s="139" t="s">
        <v>111</v>
      </c>
      <c r="I3" s="136" t="s">
        <v>112</v>
      </c>
      <c r="J3" s="146" t="s">
        <v>113</v>
      </c>
      <c r="K3" s="136" t="s">
        <v>114</v>
      </c>
      <c r="L3" s="136" t="s">
        <v>115</v>
      </c>
      <c r="M3" s="136" t="s">
        <v>116</v>
      </c>
      <c r="N3" s="147" t="s">
        <v>117</v>
      </c>
      <c r="O3" s="148" t="s">
        <v>24</v>
      </c>
      <c r="P3" s="148" t="s">
        <v>118</v>
      </c>
      <c r="Q3" s="154"/>
    </row>
    <row r="4" customFormat="1" spans="3:16">
      <c r="C4" s="140" t="s">
        <v>119</v>
      </c>
      <c r="D4" t="s">
        <v>61</v>
      </c>
      <c r="E4" s="141" t="s">
        <v>120</v>
      </c>
      <c r="F4" s="142" t="s">
        <v>62</v>
      </c>
      <c r="G4" s="142">
        <v>13944441728</v>
      </c>
      <c r="H4" s="131"/>
      <c r="I4" s="149">
        <v>8000</v>
      </c>
      <c r="J4" s="150">
        <f t="shared" ref="J4:J14" si="0">I4/12</f>
        <v>666.666666666667</v>
      </c>
      <c r="K4" s="151">
        <f t="shared" ref="K4:K14" si="1">(ROUND(IF(J4&lt;=0,0%,IF(J4&lt;=3000,3%,IF(J4&lt;=12000,10%,IF(J4&lt;=25000,20%,IF(J4&lt;=35000,25%,0))))),2)+ROUND(IF(J4&gt;35000,IF(J4&lt;=55000,30%,IF(J4&lt;=80000,35%,45%))),2))*100</f>
        <v>3</v>
      </c>
      <c r="L4" s="151">
        <f t="shared" ref="L4:L14" si="2">IF(K4&lt;10,0,IF(K4=10,210,IF(K4=20,1410,IF(K4=25,2660,IF(K4=30,4410,IF(K4=35,7160,IF(K4=45,,1160)))))))</f>
        <v>0</v>
      </c>
      <c r="M4" s="151">
        <f t="shared" ref="M4:M14" si="3">ROUND(I4*K4*0.01-L4,2)</f>
        <v>240</v>
      </c>
      <c r="N4" s="152">
        <f t="shared" ref="N4:N14" si="4">I4-M4</f>
        <v>7760</v>
      </c>
      <c r="P4" s="153"/>
    </row>
    <row r="5" customFormat="1" spans="3:16">
      <c r="C5" s="140" t="s">
        <v>119</v>
      </c>
      <c r="D5" t="s">
        <v>121</v>
      </c>
      <c r="E5" s="141" t="s">
        <v>120</v>
      </c>
      <c r="F5" s="351" t="s">
        <v>122</v>
      </c>
      <c r="G5" s="142">
        <v>15360550807</v>
      </c>
      <c r="H5" s="131"/>
      <c r="I5" s="149">
        <v>4880</v>
      </c>
      <c r="J5" s="150">
        <f t="shared" si="0"/>
        <v>406.666666666667</v>
      </c>
      <c r="K5" s="151">
        <f t="shared" si="1"/>
        <v>3</v>
      </c>
      <c r="L5" s="151">
        <f t="shared" si="2"/>
        <v>0</v>
      </c>
      <c r="M5" s="151">
        <f t="shared" si="3"/>
        <v>146.4</v>
      </c>
      <c r="N5" s="152">
        <f t="shared" si="4"/>
        <v>4733.6</v>
      </c>
      <c r="P5" s="153"/>
    </row>
    <row r="6" customFormat="1" spans="3:16">
      <c r="C6" s="140" t="s">
        <v>119</v>
      </c>
      <c r="D6" t="s">
        <v>123</v>
      </c>
      <c r="E6" s="141" t="s">
        <v>120</v>
      </c>
      <c r="F6" s="351" t="s">
        <v>124</v>
      </c>
      <c r="G6" s="142" t="s">
        <v>125</v>
      </c>
      <c r="H6" s="131"/>
      <c r="I6" s="149">
        <v>24000</v>
      </c>
      <c r="J6" s="150">
        <f t="shared" si="0"/>
        <v>2000</v>
      </c>
      <c r="K6" s="151">
        <f t="shared" si="1"/>
        <v>3</v>
      </c>
      <c r="L6" s="151">
        <f t="shared" si="2"/>
        <v>0</v>
      </c>
      <c r="M6" s="151">
        <f t="shared" si="3"/>
        <v>720</v>
      </c>
      <c r="N6" s="152">
        <f t="shared" si="4"/>
        <v>23280</v>
      </c>
      <c r="P6" s="153"/>
    </row>
    <row r="7" customFormat="1" spans="3:16">
      <c r="C7" s="140" t="s">
        <v>119</v>
      </c>
      <c r="D7" t="s">
        <v>126</v>
      </c>
      <c r="E7" s="141" t="s">
        <v>120</v>
      </c>
      <c r="F7" s="351" t="s">
        <v>127</v>
      </c>
      <c r="G7" s="142" t="s">
        <v>128</v>
      </c>
      <c r="H7" s="131"/>
      <c r="I7" s="149">
        <v>7200</v>
      </c>
      <c r="J7" s="150">
        <f t="shared" si="0"/>
        <v>600</v>
      </c>
      <c r="K7" s="151">
        <f t="shared" si="1"/>
        <v>3</v>
      </c>
      <c r="L7" s="151">
        <f t="shared" si="2"/>
        <v>0</v>
      </c>
      <c r="M7" s="151">
        <f t="shared" si="3"/>
        <v>216</v>
      </c>
      <c r="N7" s="152">
        <f t="shared" si="4"/>
        <v>6984</v>
      </c>
      <c r="P7" s="153"/>
    </row>
    <row r="8" customFormat="1" spans="3:16">
      <c r="C8" s="140" t="s">
        <v>119</v>
      </c>
      <c r="D8" t="s">
        <v>129</v>
      </c>
      <c r="E8" s="141" t="s">
        <v>120</v>
      </c>
      <c r="F8" s="351" t="s">
        <v>130</v>
      </c>
      <c r="G8" s="142">
        <v>19356875630</v>
      </c>
      <c r="H8" s="131"/>
      <c r="I8" s="149">
        <v>5250</v>
      </c>
      <c r="J8" s="150">
        <f t="shared" si="0"/>
        <v>437.5</v>
      </c>
      <c r="K8" s="151">
        <f t="shared" si="1"/>
        <v>3</v>
      </c>
      <c r="L8" s="151">
        <f t="shared" si="2"/>
        <v>0</v>
      </c>
      <c r="M8" s="151">
        <f t="shared" si="3"/>
        <v>157.5</v>
      </c>
      <c r="N8" s="152">
        <f t="shared" si="4"/>
        <v>5092.5</v>
      </c>
      <c r="P8" s="153"/>
    </row>
    <row r="9" customFormat="1" spans="3:16">
      <c r="C9" s="140" t="s">
        <v>119</v>
      </c>
      <c r="D9" t="s">
        <v>131</v>
      </c>
      <c r="E9" s="141" t="s">
        <v>120</v>
      </c>
      <c r="F9" s="351" t="s">
        <v>132</v>
      </c>
      <c r="G9" s="142">
        <v>13973652684</v>
      </c>
      <c r="H9" s="131"/>
      <c r="I9" s="149">
        <v>3250</v>
      </c>
      <c r="J9" s="150">
        <f t="shared" si="0"/>
        <v>270.833333333333</v>
      </c>
      <c r="K9" s="151">
        <f t="shared" si="1"/>
        <v>3</v>
      </c>
      <c r="L9" s="151">
        <f t="shared" si="2"/>
        <v>0</v>
      </c>
      <c r="M9" s="151">
        <f t="shared" si="3"/>
        <v>97.5</v>
      </c>
      <c r="N9" s="152">
        <f t="shared" si="4"/>
        <v>3152.5</v>
      </c>
      <c r="P9" s="153"/>
    </row>
    <row r="10" customFormat="1" spans="3:16">
      <c r="C10" s="140" t="s">
        <v>119</v>
      </c>
      <c r="D10" t="s">
        <v>133</v>
      </c>
      <c r="E10" s="141" t="s">
        <v>120</v>
      </c>
      <c r="F10" s="351" t="s">
        <v>134</v>
      </c>
      <c r="G10" s="142">
        <v>18356553626</v>
      </c>
      <c r="H10" s="131"/>
      <c r="I10" s="149">
        <v>7200</v>
      </c>
      <c r="J10" s="150">
        <f>I10/12</f>
        <v>600</v>
      </c>
      <c r="K10" s="151">
        <f>(ROUND(IF(J10&lt;=0,0%,IF(J10&lt;=3000,3%,IF(J10&lt;=12000,10%,IF(J10&lt;=25000,20%,IF(J10&lt;=35000,25%,0))))),2)+ROUND(IF(J10&gt;35000,IF(J10&lt;=55000,30%,IF(J10&lt;=80000,35%,45%))),2))*100</f>
        <v>3</v>
      </c>
      <c r="L10" s="151">
        <f>IF(K10&lt;10,0,IF(K10=10,210,IF(K10=20,1410,IF(K10=25,2660,IF(K10=30,4410,IF(K10=35,7160,IF(K10=45,,1160)))))))</f>
        <v>0</v>
      </c>
      <c r="M10" s="151">
        <f>ROUND(I10*K10*0.01-L10,2)</f>
        <v>216</v>
      </c>
      <c r="N10" s="152">
        <f>I10-M10</f>
        <v>6984</v>
      </c>
      <c r="P10" s="153"/>
    </row>
    <row r="11" customFormat="1" spans="3:16">
      <c r="C11" s="140" t="s">
        <v>119</v>
      </c>
      <c r="D11" t="s">
        <v>135</v>
      </c>
      <c r="E11" s="141" t="s">
        <v>120</v>
      </c>
      <c r="F11" s="351" t="s">
        <v>136</v>
      </c>
      <c r="G11" s="142">
        <v>18326897140</v>
      </c>
      <c r="H11" s="131"/>
      <c r="I11" s="149">
        <v>3750</v>
      </c>
      <c r="J11" s="150">
        <f>I11/12</f>
        <v>312.5</v>
      </c>
      <c r="K11" s="151">
        <f>(ROUND(IF(J11&lt;=0,0%,IF(J11&lt;=3000,3%,IF(J11&lt;=12000,10%,IF(J11&lt;=25000,20%,IF(J11&lt;=35000,25%,0))))),2)+ROUND(IF(J11&gt;35000,IF(J11&lt;=55000,30%,IF(J11&lt;=80000,35%,45%))),2))*100</f>
        <v>3</v>
      </c>
      <c r="L11" s="151">
        <f>IF(K11&lt;10,0,IF(K11=10,210,IF(K11=20,1410,IF(K11=25,2660,IF(K11=30,4410,IF(K11=35,7160,IF(K11=45,,1160)))))))</f>
        <v>0</v>
      </c>
      <c r="M11" s="151">
        <f>ROUND(I11*K11*0.01-L11,2)</f>
        <v>112.5</v>
      </c>
      <c r="N11" s="152">
        <f>I11-M11</f>
        <v>3637.5</v>
      </c>
      <c r="P11" s="153"/>
    </row>
    <row r="12" customFormat="1" spans="3:16">
      <c r="C12" s="140" t="s">
        <v>119</v>
      </c>
      <c r="D12" t="s">
        <v>137</v>
      </c>
      <c r="E12" s="141" t="s">
        <v>120</v>
      </c>
      <c r="F12" s="351" t="s">
        <v>138</v>
      </c>
      <c r="G12" s="142">
        <v>17201857014</v>
      </c>
      <c r="H12" s="131"/>
      <c r="I12" s="149">
        <v>16000</v>
      </c>
      <c r="J12" s="150">
        <f>I12/12</f>
        <v>1333.33333333333</v>
      </c>
      <c r="K12" s="151">
        <f>(ROUND(IF(J12&lt;=0,0%,IF(J12&lt;=3000,3%,IF(J12&lt;=12000,10%,IF(J12&lt;=25000,20%,IF(J12&lt;=35000,25%,0))))),2)+ROUND(IF(J12&gt;35000,IF(J12&lt;=55000,30%,IF(J12&lt;=80000,35%,45%))),2))*100</f>
        <v>3</v>
      </c>
      <c r="L12" s="151">
        <f>IF(K12&lt;10,0,IF(K12=10,210,IF(K12=20,1410,IF(K12=25,2660,IF(K12=30,4410,IF(K12=35,7160,IF(K12=45,,1160)))))))</f>
        <v>0</v>
      </c>
      <c r="M12" s="151">
        <f>ROUND(I12*K12*0.01-L12,2)</f>
        <v>480</v>
      </c>
      <c r="N12" s="152">
        <f>I12-M12</f>
        <v>15520</v>
      </c>
      <c r="P12" s="153"/>
    </row>
    <row r="13" customFormat="1" spans="3:16">
      <c r="C13" s="140" t="s">
        <v>119</v>
      </c>
      <c r="D13" t="s">
        <v>139</v>
      </c>
      <c r="E13" s="141" t="s">
        <v>120</v>
      </c>
      <c r="F13" s="351" t="s">
        <v>140</v>
      </c>
      <c r="G13" s="142"/>
      <c r="H13" s="131"/>
      <c r="I13" s="149">
        <v>6000</v>
      </c>
      <c r="J13" s="150">
        <f>I13/12</f>
        <v>500</v>
      </c>
      <c r="K13" s="151">
        <f>(ROUND(IF(J13&lt;=0,0%,IF(J13&lt;=3000,3%,IF(J13&lt;=12000,10%,IF(J13&lt;=25000,20%,IF(J13&lt;=35000,25%,0))))),2)+ROUND(IF(J13&gt;35000,IF(J13&lt;=55000,30%,IF(J13&lt;=80000,35%,45%))),2))*100</f>
        <v>3</v>
      </c>
      <c r="L13" s="151">
        <f>IF(K13&lt;10,0,IF(K13=10,210,IF(K13=20,1410,IF(K13=25,2660,IF(K13=30,4410,IF(K13=35,7160,IF(K13=45,,1160)))))))</f>
        <v>0</v>
      </c>
      <c r="M13" s="151">
        <f>ROUND(I13*K13*0.01-L13,2)</f>
        <v>180</v>
      </c>
      <c r="N13" s="152">
        <f>I13-M13</f>
        <v>5820</v>
      </c>
      <c r="P13" s="153"/>
    </row>
    <row r="14" customFormat="1" spans="3:16">
      <c r="C14" s="140" t="s">
        <v>119</v>
      </c>
      <c r="D14" t="s">
        <v>141</v>
      </c>
      <c r="E14" s="141" t="s">
        <v>120</v>
      </c>
      <c r="F14" s="351" t="s">
        <v>142</v>
      </c>
      <c r="G14" s="142">
        <v>15056587375</v>
      </c>
      <c r="H14" s="131"/>
      <c r="I14" s="149">
        <v>20000</v>
      </c>
      <c r="J14" s="150">
        <f>I14/12</f>
        <v>1666.66666666667</v>
      </c>
      <c r="K14" s="151">
        <f>(ROUND(IF(J14&lt;=0,0%,IF(J14&lt;=3000,3%,IF(J14&lt;=12000,10%,IF(J14&lt;=25000,20%,IF(J14&lt;=35000,25%,0))))),2)+ROUND(IF(J14&gt;35000,IF(J14&lt;=55000,30%,IF(J14&lt;=80000,35%,45%))),2))*100</f>
        <v>3</v>
      </c>
      <c r="L14" s="151">
        <f>IF(K14&lt;10,0,IF(K14=10,210,IF(K14=20,1410,IF(K14=25,2660,IF(K14=30,4410,IF(K14=35,7160,IF(K14=45,,1160)))))))</f>
        <v>0</v>
      </c>
      <c r="M14" s="151">
        <f>ROUND(I14*K14*0.01-L14,2)</f>
        <v>600</v>
      </c>
      <c r="N14" s="152">
        <f>I14-M14</f>
        <v>19400</v>
      </c>
      <c r="P14" s="153"/>
    </row>
    <row r="15" customFormat="1" spans="3:16">
      <c r="C15" s="140"/>
      <c r="E15" s="141"/>
      <c r="F15" s="131"/>
      <c r="G15" s="131"/>
      <c r="H15" s="131"/>
      <c r="I15" s="149"/>
      <c r="J15" s="150"/>
      <c r="K15" s="151"/>
      <c r="L15" s="151"/>
      <c r="M15" s="151"/>
      <c r="N15" s="152"/>
      <c r="P15" s="153"/>
    </row>
    <row r="16" customFormat="1" spans="2:16">
      <c r="B16" s="143" t="s">
        <v>143</v>
      </c>
      <c r="C16" s="144"/>
      <c r="D16" s="144"/>
      <c r="E16" s="144"/>
      <c r="F16" s="145"/>
      <c r="G16" s="145"/>
      <c r="H16" s="145"/>
      <c r="I16" s="144">
        <f t="shared" ref="I16:N16" si="5">SUM(I4:I15)</f>
        <v>105530</v>
      </c>
      <c r="J16" s="144">
        <f t="shared" si="5"/>
        <v>8794.16666666667</v>
      </c>
      <c r="K16" s="144">
        <f t="shared" si="5"/>
        <v>33</v>
      </c>
      <c r="L16" s="144">
        <f t="shared" si="5"/>
        <v>0</v>
      </c>
      <c r="M16" s="144">
        <f t="shared" si="5"/>
        <v>3165.9</v>
      </c>
      <c r="N16" s="144">
        <f t="shared" si="5"/>
        <v>102364.1</v>
      </c>
      <c r="O16" s="143"/>
      <c r="P16" s="143"/>
    </row>
    <row r="19" customFormat="1" spans="5:10">
      <c r="E19" s="47" t="s">
        <v>144</v>
      </c>
      <c r="F19" s="47" t="s">
        <v>145</v>
      </c>
      <c r="G19" s="47" t="s">
        <v>22</v>
      </c>
      <c r="H19" s="47" t="s">
        <v>23</v>
      </c>
      <c r="J19" s="132"/>
    </row>
    <row r="20" customFormat="1" spans="5:10">
      <c r="E20" s="48">
        <f>N16</f>
        <v>102364.1</v>
      </c>
      <c r="F20" s="48">
        <f>M16</f>
        <v>3165.9</v>
      </c>
      <c r="G20" s="48">
        <f>AN15</f>
        <v>0</v>
      </c>
      <c r="H20" s="48">
        <f>E20+F20+G20</f>
        <v>105530</v>
      </c>
      <c r="J20" s="132"/>
    </row>
  </sheetData>
  <conditionalFormatting sqref="F1:F3">
    <cfRule type="duplicateValues" dxfId="4" priority="6"/>
  </conditionalFormatting>
  <conditionalFormatting sqref="F19:F20">
    <cfRule type="duplicateValues" dxfId="4" priority="1" stopIfTrue="1"/>
    <cfRule type="expression" dxfId="5" priority="2" stopIfTrue="1">
      <formula>AND(COUNTIF($B$15:$B$65442,F19)+COUNTIF($B$1:$B$3,F19)&gt;1,NOT(ISBLANK(F19)))</formula>
    </cfRule>
    <cfRule type="expression" dxfId="5" priority="3" stopIfTrue="1">
      <formula>AND(COUNTIF($B$19:$B$65393,F19)+COUNTIF($B$1:$B$18,F19)&gt;1,NOT(ISBLANK(F19)))</formula>
    </cfRule>
    <cfRule type="expression" dxfId="5" priority="4" stopIfTrue="1">
      <formula>AND(COUNTIF($B$15:$B$65431,F19)+COUNTIF($B$1:$B$3,F19)&gt;1,NOT(ISBLANK(F19)))</formula>
    </cfRule>
  </conditionalFormatting>
  <conditionalFormatting sqref="G1:G3">
    <cfRule type="duplicateValues" dxfId="6" priority="5"/>
  </conditionalFormatting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>
    <tabColor rgb="FF00B050"/>
    <pageSetUpPr fitToPage="1"/>
  </sheetPr>
  <dimension ref="A1:AN36"/>
  <sheetViews>
    <sheetView workbookViewId="0">
      <pane xSplit="6" ySplit="3" topLeftCell="G4" activePane="bottomRight" state="frozen"/>
      <selection/>
      <selection pane="topRight"/>
      <selection pane="bottomLeft"/>
      <selection pane="bottomRight" activeCell="B4" sqref="B4:P18"/>
    </sheetView>
  </sheetViews>
  <sheetFormatPr defaultColWidth="9" defaultRowHeight="13.5"/>
  <cols>
    <col min="1" max="1" width="4.45" style="15" customWidth="1"/>
    <col min="2" max="2" width="12.6333333333333" style="15" customWidth="1"/>
    <col min="3" max="3" width="10.45" style="15" customWidth="1"/>
    <col min="4" max="4" width="8.725" style="15" customWidth="1"/>
    <col min="5" max="5" width="19.45" style="16" customWidth="1"/>
    <col min="6" max="6" width="9" style="15"/>
    <col min="7" max="7" width="11.9083333333333" style="17" customWidth="1"/>
    <col min="8" max="8" width="4.63333333333333" style="15" hidden="1" customWidth="1"/>
    <col min="9" max="9" width="5.26666666666667" style="15" hidden="1" customWidth="1"/>
    <col min="10" max="10" width="11.725" style="18" customWidth="1"/>
    <col min="11" max="11" width="5.26666666666667" style="15" customWidth="1"/>
    <col min="12" max="12" width="11.725" style="15" customWidth="1"/>
    <col min="13" max="13" width="12.45" style="15" customWidth="1" outlineLevel="1"/>
    <col min="14" max="15" width="9" style="15" customWidth="1" outlineLevel="1"/>
    <col min="16" max="16" width="11.0916666666667" style="15" customWidth="1" outlineLevel="1"/>
    <col min="17" max="17" width="9.725" style="15" customWidth="1"/>
    <col min="18" max="18" width="9.45" style="15" customWidth="1"/>
    <col min="19" max="19" width="13.3666666666667" style="15" customWidth="1"/>
    <col min="20" max="21" width="12.2666666666667" style="15" customWidth="1"/>
    <col min="22" max="27" width="9" style="15" customWidth="1" outlineLevel="1"/>
    <col min="28" max="28" width="11.2666666666667" style="15" customWidth="1"/>
    <col min="29" max="29" width="8.45" style="15" customWidth="1"/>
    <col min="30" max="30" width="15.2666666666667" style="15" customWidth="1"/>
    <col min="31" max="31" width="14" style="15" customWidth="1"/>
    <col min="32" max="32" width="10.725" style="15" customWidth="1"/>
    <col min="33" max="33" width="12.2666666666667" style="15" customWidth="1"/>
    <col min="34" max="34" width="11.45" style="15" customWidth="1"/>
    <col min="35" max="35" width="7.90833333333333" style="19" customWidth="1"/>
    <col min="36" max="36" width="11.45" style="15" customWidth="1"/>
    <col min="37" max="37" width="9" style="15"/>
    <col min="38" max="38" width="11.45" style="15" customWidth="1"/>
    <col min="39" max="16384" width="9" style="15"/>
  </cols>
  <sheetData>
    <row r="1" s="10" customFormat="1" ht="29.25" customHeight="1" spans="1:38">
      <c r="A1" s="20" t="s">
        <v>146</v>
      </c>
      <c r="B1" s="21"/>
      <c r="C1" s="22"/>
      <c r="D1" s="23"/>
      <c r="E1" s="24"/>
      <c r="F1" s="24"/>
      <c r="G1" s="25"/>
      <c r="J1" s="60"/>
      <c r="L1" s="61"/>
      <c r="M1" s="62" t="s">
        <v>147</v>
      </c>
      <c r="N1" s="62"/>
      <c r="O1" s="62"/>
      <c r="P1" s="62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  <c r="AC1" s="83"/>
      <c r="AD1" s="61"/>
      <c r="AE1" s="61"/>
      <c r="AF1" s="61"/>
      <c r="AG1" s="61"/>
      <c r="AH1" s="61"/>
      <c r="AI1" s="102"/>
      <c r="AJ1" s="61"/>
      <c r="AK1" s="61"/>
      <c r="AL1" s="61"/>
    </row>
    <row r="2" s="11" customFormat="1" ht="20.15" customHeight="1" spans="1:38">
      <c r="A2" s="26" t="s">
        <v>0</v>
      </c>
      <c r="B2" s="27" t="s">
        <v>148</v>
      </c>
      <c r="C2" s="28" t="s">
        <v>149</v>
      </c>
      <c r="D2" s="28" t="s">
        <v>150</v>
      </c>
      <c r="E2" s="29" t="s">
        <v>151</v>
      </c>
      <c r="F2" s="30" t="s">
        <v>152</v>
      </c>
      <c r="G2" s="29" t="s">
        <v>153</v>
      </c>
      <c r="H2" s="29" t="s">
        <v>154</v>
      </c>
      <c r="I2" s="29" t="s">
        <v>155</v>
      </c>
      <c r="J2" s="63" t="s">
        <v>156</v>
      </c>
      <c r="K2" s="29" t="s">
        <v>157</v>
      </c>
      <c r="L2" s="29" t="s">
        <v>158</v>
      </c>
      <c r="M2" s="64" t="s">
        <v>159</v>
      </c>
      <c r="N2" s="65"/>
      <c r="O2" s="65"/>
      <c r="P2" s="66"/>
      <c r="Q2" s="30" t="s">
        <v>160</v>
      </c>
      <c r="R2" s="29" t="s">
        <v>161</v>
      </c>
      <c r="S2" s="30" t="s">
        <v>162</v>
      </c>
      <c r="T2" s="84" t="s">
        <v>163</v>
      </c>
      <c r="U2" s="30" t="s">
        <v>164</v>
      </c>
      <c r="V2" s="85" t="s">
        <v>165</v>
      </c>
      <c r="W2" s="86"/>
      <c r="X2" s="86"/>
      <c r="Y2" s="86"/>
      <c r="Z2" s="86"/>
      <c r="AA2" s="94"/>
      <c r="AB2" s="30" t="s">
        <v>166</v>
      </c>
      <c r="AC2" s="30" t="s">
        <v>167</v>
      </c>
      <c r="AD2" s="84" t="s">
        <v>168</v>
      </c>
      <c r="AE2" s="84" t="s">
        <v>169</v>
      </c>
      <c r="AF2" s="84" t="s">
        <v>170</v>
      </c>
      <c r="AG2" s="84" t="s">
        <v>171</v>
      </c>
      <c r="AH2" s="103" t="s">
        <v>172</v>
      </c>
      <c r="AI2" s="104" t="s">
        <v>173</v>
      </c>
      <c r="AJ2" s="103" t="s">
        <v>144</v>
      </c>
      <c r="AK2" s="28" t="s">
        <v>22</v>
      </c>
      <c r="AL2" s="103" t="s">
        <v>174</v>
      </c>
    </row>
    <row r="3" s="11" customFormat="1" ht="27" customHeight="1" spans="1:38">
      <c r="A3" s="31"/>
      <c r="B3" s="32"/>
      <c r="C3" s="33"/>
      <c r="D3" s="33"/>
      <c r="E3" s="34"/>
      <c r="F3" s="35"/>
      <c r="G3" s="34"/>
      <c r="H3" s="34"/>
      <c r="I3" s="34"/>
      <c r="J3" s="67"/>
      <c r="K3" s="34"/>
      <c r="L3" s="34"/>
      <c r="M3" s="68" t="s">
        <v>175</v>
      </c>
      <c r="N3" s="68" t="s">
        <v>176</v>
      </c>
      <c r="O3" s="68" t="s">
        <v>177</v>
      </c>
      <c r="P3" s="68" t="s">
        <v>37</v>
      </c>
      <c r="Q3" s="35"/>
      <c r="R3" s="34"/>
      <c r="S3" s="35"/>
      <c r="T3" s="87"/>
      <c r="U3" s="35"/>
      <c r="V3" s="88" t="s">
        <v>178</v>
      </c>
      <c r="W3" s="88" t="s">
        <v>179</v>
      </c>
      <c r="X3" s="88" t="s">
        <v>180</v>
      </c>
      <c r="Y3" s="88" t="s">
        <v>181</v>
      </c>
      <c r="Z3" s="88" t="s">
        <v>182</v>
      </c>
      <c r="AA3" s="88" t="s">
        <v>183</v>
      </c>
      <c r="AB3" s="35"/>
      <c r="AC3" s="35"/>
      <c r="AD3" s="87"/>
      <c r="AE3" s="87"/>
      <c r="AF3" s="87"/>
      <c r="AG3" s="87"/>
      <c r="AH3" s="105"/>
      <c r="AI3" s="106"/>
      <c r="AJ3" s="105"/>
      <c r="AK3" s="33"/>
      <c r="AL3" s="105"/>
    </row>
    <row r="4" s="12" customFormat="1" ht="18" customHeight="1" spans="1:40">
      <c r="A4" s="36">
        <v>1</v>
      </c>
      <c r="B4" s="37" t="s">
        <v>184</v>
      </c>
      <c r="C4" s="37" t="s">
        <v>61</v>
      </c>
      <c r="D4" s="37" t="s">
        <v>120</v>
      </c>
      <c r="E4" s="37" t="s">
        <v>62</v>
      </c>
      <c r="F4" s="38" t="s">
        <v>185</v>
      </c>
      <c r="G4" s="39">
        <v>13944441728</v>
      </c>
      <c r="H4" s="40"/>
      <c r="I4" s="40"/>
      <c r="J4" s="69"/>
      <c r="K4" s="40"/>
      <c r="L4" s="70">
        <v>8000</v>
      </c>
      <c r="M4" s="71">
        <f>VLOOKUP(C4,[2]Sheet1!$B$2:$D$16,3,0)</f>
        <v>319.46</v>
      </c>
      <c r="N4" s="71">
        <f>VLOOKUP(C4,[2]Sheet1!$B$2:$F$16,5,0)</f>
        <v>79.86</v>
      </c>
      <c r="O4" s="71">
        <f>VLOOKUP(C4,[2]Sheet1!$B$1:$E$16,4,0)</f>
        <v>11.98</v>
      </c>
      <c r="P4" s="71">
        <f>VLOOKUP(C4,[2]Sheet1!$B$2:$H$16,7,0)</f>
        <v>177.4</v>
      </c>
      <c r="Q4" s="89">
        <f>ROUND(SUM(M4:P4),2)</f>
        <v>588.7</v>
      </c>
      <c r="R4" s="70">
        <v>0</v>
      </c>
      <c r="S4" s="90">
        <f>L4+IFERROR(VLOOKUP($E:$E,'（居民）工资表-6月'!$E:$S,15,0),0)</f>
        <v>48000</v>
      </c>
      <c r="T4" s="91">
        <f>5000+IFERROR(VLOOKUP($E:$E,'（居民）工资表-6月'!$E:$T,16,0),0)</f>
        <v>30000</v>
      </c>
      <c r="U4" s="91">
        <f>Q4+IFERROR(VLOOKUP($E:$E,'（居民）工资表-6月'!$E:$U,17,0),0)</f>
        <v>3564.53</v>
      </c>
      <c r="V4" s="70">
        <v>7000</v>
      </c>
      <c r="W4" s="70"/>
      <c r="X4" s="70">
        <v>7000</v>
      </c>
      <c r="Y4" s="70"/>
      <c r="Z4" s="70">
        <v>2800</v>
      </c>
      <c r="AA4" s="70"/>
      <c r="AB4" s="90">
        <f>ROUND(SUM(V4:AA4),2)</f>
        <v>16800</v>
      </c>
      <c r="AC4" s="90">
        <f>R4+IFERROR(VLOOKUP($E:$E,'（居民）工资表-6月'!$E:$AC,25,0),0)</f>
        <v>0</v>
      </c>
      <c r="AD4" s="95">
        <f>ROUND(S4-T4-U4-AB4-AC4,2)</f>
        <v>-2364.53</v>
      </c>
      <c r="AE4" s="96">
        <f>ROUND(MAX((AD4)*{0.03;0.1;0.2;0.25;0.3;0.35;0.45}-{0;2520;16920;31920;52920;85920;181920},0),2)</f>
        <v>0</v>
      </c>
      <c r="AF4" s="97">
        <f>IFERROR(VLOOKUP(E:E,'（居民）工资表-6月'!E:AF,28,0)+VLOOKUP(E:E,'（居民）工资表-6月'!E:AG,29,0),0)</f>
        <v>360.73</v>
      </c>
      <c r="AG4" s="97">
        <f>IF((AE4-AF4)&lt;0,0,AE4-AF4)</f>
        <v>0</v>
      </c>
      <c r="AH4" s="107">
        <f>ROUND(IF((L4-Q4-AG4)&lt;0,0,(L4-Q4-AG4)),2)</f>
        <v>7411.3</v>
      </c>
      <c r="AI4" s="108"/>
      <c r="AJ4" s="107">
        <f>AH4+AI4</f>
        <v>7411.3</v>
      </c>
      <c r="AK4" s="109"/>
      <c r="AL4" s="107">
        <f>AJ4+AG4+AK4</f>
        <v>7411.3</v>
      </c>
      <c r="AM4" s="12" t="s">
        <v>186</v>
      </c>
      <c r="AN4" s="12" t="s">
        <v>51</v>
      </c>
    </row>
    <row r="5" s="12" customFormat="1" ht="18" customHeight="1" spans="1:40">
      <c r="A5" s="36">
        <v>2</v>
      </c>
      <c r="B5" s="37" t="s">
        <v>184</v>
      </c>
      <c r="C5" s="37" t="s">
        <v>121</v>
      </c>
      <c r="D5" s="37" t="s">
        <v>120</v>
      </c>
      <c r="E5" s="352" t="s">
        <v>122</v>
      </c>
      <c r="F5" s="38" t="s">
        <v>187</v>
      </c>
      <c r="G5" s="39">
        <v>15360550807</v>
      </c>
      <c r="H5" s="40"/>
      <c r="I5" s="40"/>
      <c r="J5" s="69"/>
      <c r="K5" s="40"/>
      <c r="L5" s="70">
        <v>6100</v>
      </c>
      <c r="M5" s="71">
        <f>VLOOKUP(C5,[2]Sheet1!$B$2:$D$16,3,0)</f>
        <v>422.72</v>
      </c>
      <c r="N5" s="71">
        <f>VLOOKUP(C5,[2]Sheet1!$B$2:$F$16,5,0)</f>
        <v>119.92</v>
      </c>
      <c r="O5" s="71">
        <f>VLOOKUP(C5,[2]Sheet1!$B$1:$E$16,4,0)</f>
        <v>4.6</v>
      </c>
      <c r="P5" s="71">
        <f>VLOOKUP(C5,[2]Sheet1!$B$2:$H$16,7,0)</f>
        <v>115</v>
      </c>
      <c r="Q5" s="89">
        <f>ROUND(SUM(M5:P5),2)</f>
        <v>662.24</v>
      </c>
      <c r="R5" s="70">
        <v>0</v>
      </c>
      <c r="S5" s="90">
        <f>L5+IFERROR(VLOOKUP($E:$E,'（居民）工资表-6月'!$E:$S,15,0),0)</f>
        <v>35460</v>
      </c>
      <c r="T5" s="91">
        <f>5000+IFERROR(VLOOKUP($E:$E,'（居民）工资表-6月'!$E:$T,16,0),0)</f>
        <v>30000</v>
      </c>
      <c r="U5" s="91">
        <f>Q5+IFERROR(VLOOKUP($E:$E,'（居民）工资表-6月'!$E:$U,17,0),0)</f>
        <v>4124.88</v>
      </c>
      <c r="V5" s="70"/>
      <c r="W5" s="70"/>
      <c r="X5" s="70">
        <v>7000</v>
      </c>
      <c r="Y5" s="70"/>
      <c r="Z5" s="70"/>
      <c r="AA5" s="70"/>
      <c r="AB5" s="90">
        <f>ROUND(SUM(V5:AA5),2)</f>
        <v>7000</v>
      </c>
      <c r="AC5" s="90">
        <f>R5+IFERROR(VLOOKUP($E:$E,'（居民）工资表-6月'!$E:$AC,25,0),0)</f>
        <v>0</v>
      </c>
      <c r="AD5" s="95">
        <f>ROUND(S5-T5-U5-AB5-AC5,2)</f>
        <v>-5664.88</v>
      </c>
      <c r="AE5" s="96">
        <f>ROUND(MAX((AD5)*{0.03;0.1;0.2;0.25;0.3;0.35;0.45}-{0;2520;16920;31920;52920;85920;181920},0),2)</f>
        <v>0</v>
      </c>
      <c r="AF5" s="97">
        <f>IFERROR(VLOOKUP(E:E,'（居民）工资表-6月'!E:AF,28,0)+VLOOKUP(E:E,'（居民）工资表-6月'!E:AG,29,0),0)</f>
        <v>26.92</v>
      </c>
      <c r="AG5" s="97">
        <f>IF((AE5-AF5)&lt;0,0,AE5-AF5)</f>
        <v>0</v>
      </c>
      <c r="AH5" s="107">
        <f>ROUND(IF((L5-Q5-AG5)&lt;0,0,(L5-Q5-AG5)),2)</f>
        <v>5437.76</v>
      </c>
      <c r="AI5" s="108"/>
      <c r="AJ5" s="107">
        <f>AH5+AI5</f>
        <v>5437.76</v>
      </c>
      <c r="AK5" s="109"/>
      <c r="AL5" s="107">
        <f>AJ5+AG5+AK5</f>
        <v>5437.76</v>
      </c>
      <c r="AM5" s="12" t="s">
        <v>50</v>
      </c>
      <c r="AN5" s="12" t="s">
        <v>51</v>
      </c>
    </row>
    <row r="6" s="12" customFormat="1" ht="18" customHeight="1" spans="1:40">
      <c r="A6" s="36">
        <v>3</v>
      </c>
      <c r="B6" s="37" t="s">
        <v>184</v>
      </c>
      <c r="C6" s="37" t="s">
        <v>123</v>
      </c>
      <c r="D6" s="37" t="s">
        <v>120</v>
      </c>
      <c r="E6" s="352" t="s">
        <v>124</v>
      </c>
      <c r="F6" s="38" t="s">
        <v>185</v>
      </c>
      <c r="G6" s="39" t="s">
        <v>125</v>
      </c>
      <c r="H6" s="40"/>
      <c r="I6" s="40"/>
      <c r="J6" s="69"/>
      <c r="K6" s="40"/>
      <c r="L6" s="70">
        <v>30060</v>
      </c>
      <c r="M6" s="71">
        <f>VLOOKUP(C6,[2]Sheet1!$B$2:$D$16,3,0)</f>
        <v>584.8</v>
      </c>
      <c r="N6" s="71">
        <f>VLOOKUP(C6,[2]Sheet1!$B$2:$F$16,5,0)</f>
        <v>146.2</v>
      </c>
      <c r="O6" s="71">
        <f>VLOOKUP(C6,[2]Sheet1!$B$1:$E$16,4,0)</f>
        <v>36.55</v>
      </c>
      <c r="P6" s="71">
        <f>VLOOKUP(C6,[2]Sheet1!$B$2:$H$16,7,0)</f>
        <v>181</v>
      </c>
      <c r="Q6" s="89">
        <f>ROUND(SUM(M6:P6),2)</f>
        <v>948.55</v>
      </c>
      <c r="R6" s="70">
        <v>0</v>
      </c>
      <c r="S6" s="90">
        <f>L6+IFERROR(VLOOKUP($E:$E,'（居民）工资表-6月'!$E:$S,15,0),0)</f>
        <v>180360</v>
      </c>
      <c r="T6" s="91">
        <f>5000+IFERROR(VLOOKUP($E:$E,'（居民）工资表-6月'!$E:$T,16,0),0)</f>
        <v>30000</v>
      </c>
      <c r="U6" s="91">
        <f>Q6+IFERROR(VLOOKUP($E:$E,'（居民）工资表-6月'!$E:$U,17,0),0)</f>
        <v>5706.07</v>
      </c>
      <c r="V6" s="70"/>
      <c r="W6" s="70"/>
      <c r="X6" s="70"/>
      <c r="Y6" s="70">
        <v>10500</v>
      </c>
      <c r="Z6" s="70"/>
      <c r="AA6" s="70"/>
      <c r="AB6" s="90">
        <f>ROUND(SUM(V6:AA6),2)</f>
        <v>10500</v>
      </c>
      <c r="AC6" s="90">
        <f>R6+IFERROR(VLOOKUP($E:$E,'（居民）工资表-6月'!$E:$AC,25,0),0)</f>
        <v>0</v>
      </c>
      <c r="AD6" s="95">
        <f>ROUND(S6-T6-U6-AB6-AC6,2)</f>
        <v>134153.93</v>
      </c>
      <c r="AE6" s="96">
        <f>ROUND(MAX((AD6)*{0.03;0.1;0.2;0.25;0.3;0.35;0.45}-{0;2520;16920;31920;52920;85920;181920},0),2)</f>
        <v>10895.39</v>
      </c>
      <c r="AF6" s="97">
        <f>IFERROR(VLOOKUP(E:E,'（居民）工资表-6月'!E:AF,28,0)+VLOOKUP(E:E,'（居民）工资表-6月'!E:AG,29,0),0)</f>
        <v>9534.25</v>
      </c>
      <c r="AG6" s="97">
        <f>IF((AE6-AF6)&lt;0,0,AE6-AF6)</f>
        <v>1361.14</v>
      </c>
      <c r="AH6" s="107">
        <f>ROUND(IF((L6-Q6-AG6)&lt;0,0,(L6-Q6-AG6)),2)</f>
        <v>27750.31</v>
      </c>
      <c r="AI6" s="108"/>
      <c r="AJ6" s="107">
        <f>AH6+AI6</f>
        <v>27750.31</v>
      </c>
      <c r="AK6" s="109"/>
      <c r="AL6" s="107">
        <f>AJ6+AG6+AK6</f>
        <v>29111.45</v>
      </c>
      <c r="AM6" s="12" t="s">
        <v>188</v>
      </c>
      <c r="AN6" s="12" t="s">
        <v>189</v>
      </c>
    </row>
    <row r="7" s="12" customFormat="1" ht="18" customHeight="1" spans="1:40">
      <c r="A7" s="36">
        <v>4</v>
      </c>
      <c r="B7" s="37" t="s">
        <v>184</v>
      </c>
      <c r="C7" s="37" t="s">
        <v>126</v>
      </c>
      <c r="D7" s="37" t="s">
        <v>120</v>
      </c>
      <c r="E7" s="352" t="s">
        <v>127</v>
      </c>
      <c r="F7" s="38" t="s">
        <v>185</v>
      </c>
      <c r="G7" s="39" t="s">
        <v>128</v>
      </c>
      <c r="H7" s="40"/>
      <c r="I7" s="40"/>
      <c r="J7" s="69"/>
      <c r="K7" s="40"/>
      <c r="L7" s="70">
        <v>11000</v>
      </c>
      <c r="M7" s="71">
        <f>VLOOKUP(C7,[2]Sheet1!$B$2:$D$16,3,0)</f>
        <v>321.52</v>
      </c>
      <c r="N7" s="71">
        <f>VLOOKUP(C7,[2]Sheet1!$B$2:$F$16,5,0)</f>
        <v>89.09</v>
      </c>
      <c r="O7" s="71">
        <f>VLOOKUP(C7,[2]Sheet1!$B$1:$E$16,4,0)</f>
        <v>20.1</v>
      </c>
      <c r="P7" s="71">
        <f>VLOOKUP(C7,[2]Sheet1!$B$2:$H$16,7,0)</f>
        <v>97</v>
      </c>
      <c r="Q7" s="89">
        <f t="shared" ref="Q7:Q19" si="0">ROUND(SUM(M7:P7),2)</f>
        <v>527.71</v>
      </c>
      <c r="R7" s="70">
        <v>0</v>
      </c>
      <c r="S7" s="90">
        <f>L7+IFERROR(VLOOKUP($E:$E,'（居民）工资表-6月'!$E:$S,15,0),0)</f>
        <v>54000</v>
      </c>
      <c r="T7" s="91">
        <f>5000+IFERROR(VLOOKUP($E:$E,'（居民）工资表-6月'!$E:$T,16,0),0)</f>
        <v>30000</v>
      </c>
      <c r="U7" s="91">
        <f>Q7+IFERROR(VLOOKUP($E:$E,'（居民）工资表-6月'!$E:$U,17,0),0)</f>
        <v>3188.55</v>
      </c>
      <c r="V7" s="70"/>
      <c r="W7" s="70"/>
      <c r="X7" s="70">
        <v>5000</v>
      </c>
      <c r="Y7" s="70"/>
      <c r="Z7" s="70"/>
      <c r="AA7" s="70"/>
      <c r="AB7" s="90">
        <f t="shared" ref="AB7:AB19" si="1">ROUND(SUM(V7:AA7),2)</f>
        <v>5000</v>
      </c>
      <c r="AC7" s="90">
        <f>R7+IFERROR(VLOOKUP($E:$E,'（居民）工资表-6月'!$E:$AC,25,0),0)</f>
        <v>0</v>
      </c>
      <c r="AD7" s="95">
        <f t="shared" ref="AD7:AD19" si="2">ROUND(S7-T7-U7-AB7-AC7,2)</f>
        <v>15811.45</v>
      </c>
      <c r="AE7" s="96">
        <f>ROUND(MAX((AD7)*{0.03;0.1;0.2;0.25;0.3;0.35;0.45}-{0;2520;16920;31920;52920;85920;181920},0),2)</f>
        <v>474.34</v>
      </c>
      <c r="AF7" s="97">
        <f>IFERROR(VLOOKUP(E:E,'（居民）工资表-6月'!E:AF,28,0)+VLOOKUP(E:E,'（居民）工资表-6月'!E:AG,29,0),0)</f>
        <v>460.17</v>
      </c>
      <c r="AG7" s="97">
        <f t="shared" ref="AG7:AG19" si="3">IF((AE7-AF7)&lt;0,0,AE7-AF7)</f>
        <v>14.17</v>
      </c>
      <c r="AH7" s="107">
        <f t="shared" ref="AH7:AH19" si="4">ROUND(IF((L7-Q7-AG7)&lt;0,0,(L7-Q7-AG7)),2)</f>
        <v>10458.12</v>
      </c>
      <c r="AI7" s="108"/>
      <c r="AJ7" s="107">
        <f t="shared" ref="AJ7:AJ19" si="5">AH7+AI7</f>
        <v>10458.12</v>
      </c>
      <c r="AK7" s="109"/>
      <c r="AL7" s="107">
        <f t="shared" ref="AL7:AL19" si="6">AJ7+AG7+AK7</f>
        <v>10472.29</v>
      </c>
      <c r="AM7" s="12" t="s">
        <v>190</v>
      </c>
      <c r="AN7" s="12" t="s">
        <v>51</v>
      </c>
    </row>
    <row r="8" s="12" customFormat="1" ht="18" customHeight="1" spans="1:40">
      <c r="A8" s="36">
        <v>5</v>
      </c>
      <c r="B8" s="37" t="s">
        <v>184</v>
      </c>
      <c r="C8" s="37" t="s">
        <v>129</v>
      </c>
      <c r="D8" s="37" t="s">
        <v>120</v>
      </c>
      <c r="E8" s="352" t="s">
        <v>130</v>
      </c>
      <c r="F8" s="38" t="s">
        <v>185</v>
      </c>
      <c r="G8" s="39">
        <v>19356875630</v>
      </c>
      <c r="H8" s="40"/>
      <c r="I8" s="40"/>
      <c r="J8" s="69"/>
      <c r="K8" s="40"/>
      <c r="L8" s="70">
        <v>12500</v>
      </c>
      <c r="M8" s="71">
        <f>VLOOKUP(C8,[2]Sheet1!$B$2:$D$16,3,0)</f>
        <v>321.52</v>
      </c>
      <c r="N8" s="71">
        <f>VLOOKUP(C8,[2]Sheet1!$B$2:$F$16,5,0)</f>
        <v>86.38</v>
      </c>
      <c r="O8" s="71">
        <f>VLOOKUP(C8,[2]Sheet1!$B$1:$E$16,4,0)</f>
        <v>20.1</v>
      </c>
      <c r="P8" s="71">
        <f>VLOOKUP(C8,[2]Sheet1!$B$2:$H$16,7,0)</f>
        <v>344</v>
      </c>
      <c r="Q8" s="89">
        <f t="shared" si="0"/>
        <v>772</v>
      </c>
      <c r="R8" s="70">
        <v>0</v>
      </c>
      <c r="S8" s="90">
        <f>L8+IFERROR(VLOOKUP($E:$E,'（居民）工资表-6月'!$E:$S,15,0),0)</f>
        <v>65000</v>
      </c>
      <c r="T8" s="91">
        <f>5000+IFERROR(VLOOKUP($E:$E,'（居民）工资表-6月'!$E:$T,16,0),0)</f>
        <v>30000</v>
      </c>
      <c r="U8" s="91">
        <f>Q8+IFERROR(VLOOKUP($E:$E,'（居民）工资表-6月'!$E:$U,17,0),0)</f>
        <v>4653.84</v>
      </c>
      <c r="V8" s="70"/>
      <c r="W8" s="70"/>
      <c r="X8" s="70"/>
      <c r="Y8" s="70"/>
      <c r="Z8" s="70"/>
      <c r="AA8" s="70"/>
      <c r="AB8" s="90">
        <f t="shared" si="1"/>
        <v>0</v>
      </c>
      <c r="AC8" s="90">
        <f>R8+IFERROR(VLOOKUP($E:$E,'（居民）工资表-6月'!$E:$AC,25,0),0)</f>
        <v>0</v>
      </c>
      <c r="AD8" s="95">
        <f t="shared" si="2"/>
        <v>30346.16</v>
      </c>
      <c r="AE8" s="96">
        <f>ROUND(MAX((AD8)*{0.03;0.1;0.2;0.25;0.3;0.35;0.45}-{0;2520;16920;31920;52920;85920;181920},0),2)</f>
        <v>910.38</v>
      </c>
      <c r="AF8" s="97">
        <f>IFERROR(VLOOKUP(E:E,'（居民）工资表-6月'!E:AF,28,0)+VLOOKUP(E:E,'（居民）工资表-6月'!E:AG,29,0),0)</f>
        <v>708.54</v>
      </c>
      <c r="AG8" s="97">
        <f t="shared" si="3"/>
        <v>201.84</v>
      </c>
      <c r="AH8" s="107">
        <f t="shared" si="4"/>
        <v>11526.16</v>
      </c>
      <c r="AI8" s="108"/>
      <c r="AJ8" s="107">
        <f t="shared" si="5"/>
        <v>11526.16</v>
      </c>
      <c r="AK8" s="109"/>
      <c r="AL8" s="107">
        <f t="shared" si="6"/>
        <v>11728</v>
      </c>
      <c r="AM8" s="12" t="s">
        <v>190</v>
      </c>
      <c r="AN8" s="12" t="s">
        <v>51</v>
      </c>
    </row>
    <row r="9" s="12" customFormat="1" ht="18" customHeight="1" spans="1:40">
      <c r="A9" s="36">
        <v>6</v>
      </c>
      <c r="B9" s="37" t="s">
        <v>184</v>
      </c>
      <c r="C9" s="37" t="s">
        <v>131</v>
      </c>
      <c r="D9" s="37" t="s">
        <v>120</v>
      </c>
      <c r="E9" s="352" t="s">
        <v>132</v>
      </c>
      <c r="F9" s="38" t="s">
        <v>185</v>
      </c>
      <c r="G9" s="39">
        <v>13973652684</v>
      </c>
      <c r="H9" s="40"/>
      <c r="I9" s="40"/>
      <c r="J9" s="69"/>
      <c r="K9" s="40"/>
      <c r="L9" s="70">
        <v>6500</v>
      </c>
      <c r="M9" s="71">
        <f>VLOOKUP(C9,[2]Sheet1!$B$2:$D$16,3,0)</f>
        <v>324.24</v>
      </c>
      <c r="N9" s="71">
        <f>VLOOKUP(C9,[2]Sheet1!$B$2:$F$16,5,0)</f>
        <v>90.4</v>
      </c>
      <c r="O9" s="71">
        <f>VLOOKUP(C9,[2]Sheet1!$B$1:$E$16,4,0)</f>
        <v>12.16</v>
      </c>
      <c r="P9" s="71">
        <f>VLOOKUP(C9,[2]Sheet1!$B$2:$H$16,7,0)</f>
        <v>100</v>
      </c>
      <c r="Q9" s="89">
        <f t="shared" si="0"/>
        <v>526.8</v>
      </c>
      <c r="R9" s="70">
        <v>0</v>
      </c>
      <c r="S9" s="90">
        <f>L9+IFERROR(VLOOKUP($E:$E,'（居民）工资表-6月'!$E:$S,15,0),0)</f>
        <v>39000</v>
      </c>
      <c r="T9" s="91">
        <f>5000+IFERROR(VLOOKUP($E:$E,'（居民）工资表-6月'!$E:$T,16,0),0)</f>
        <v>30000</v>
      </c>
      <c r="U9" s="91">
        <f>Q9+IFERROR(VLOOKUP($E:$E,'（居民）工资表-6月'!$E:$U,17,0),0)</f>
        <v>3163.78</v>
      </c>
      <c r="V9" s="70"/>
      <c r="W9" s="70"/>
      <c r="X9" s="70"/>
      <c r="Y9" s="70"/>
      <c r="Z9" s="70"/>
      <c r="AA9" s="70"/>
      <c r="AB9" s="90">
        <f t="shared" si="1"/>
        <v>0</v>
      </c>
      <c r="AC9" s="90">
        <f>R9+IFERROR(VLOOKUP($E:$E,'（居民）工资表-6月'!$E:$AC,25,0),0)</f>
        <v>0</v>
      </c>
      <c r="AD9" s="95">
        <f t="shared" si="2"/>
        <v>5836.22</v>
      </c>
      <c r="AE9" s="96">
        <f>ROUND(MAX((AD9)*{0.03;0.1;0.2;0.25;0.3;0.35;0.45}-{0;2520;16920;31920;52920;85920;181920},0),2)</f>
        <v>175.09</v>
      </c>
      <c r="AF9" s="97">
        <f>IFERROR(VLOOKUP(E:E,'（居民）工资表-6月'!E:AF,28,0)+VLOOKUP(E:E,'（居民）工资表-6月'!E:AG,29,0),0)</f>
        <v>145.89</v>
      </c>
      <c r="AG9" s="97">
        <f t="shared" si="3"/>
        <v>29.2</v>
      </c>
      <c r="AH9" s="107">
        <f t="shared" si="4"/>
        <v>5944</v>
      </c>
      <c r="AI9" s="108"/>
      <c r="AJ9" s="107">
        <f t="shared" si="5"/>
        <v>5944</v>
      </c>
      <c r="AK9" s="109"/>
      <c r="AL9" s="107">
        <f t="shared" si="6"/>
        <v>5973.2</v>
      </c>
      <c r="AM9" s="12" t="s">
        <v>191</v>
      </c>
      <c r="AN9" s="12" t="s">
        <v>51</v>
      </c>
    </row>
    <row r="10" s="12" customFormat="1" ht="18" customHeight="1" spans="1:40">
      <c r="A10" s="36">
        <v>7</v>
      </c>
      <c r="B10" s="37" t="s">
        <v>184</v>
      </c>
      <c r="C10" s="37" t="s">
        <v>192</v>
      </c>
      <c r="D10" s="37" t="s">
        <v>120</v>
      </c>
      <c r="E10" s="352" t="s">
        <v>193</v>
      </c>
      <c r="F10" s="38" t="s">
        <v>187</v>
      </c>
      <c r="G10" s="39" t="s">
        <v>194</v>
      </c>
      <c r="H10" s="40"/>
      <c r="I10" s="40"/>
      <c r="J10" s="69"/>
      <c r="K10" s="40"/>
      <c r="L10" s="70">
        <v>4525.84</v>
      </c>
      <c r="M10" s="71">
        <f>VLOOKUP(C10,[2]Sheet1!$B$2:$D$16,3,0)</f>
        <v>380.08</v>
      </c>
      <c r="N10" s="71">
        <f>VLOOKUP(C10,[2]Sheet1!$B$2:$F$16,5,0)</f>
        <v>117.02</v>
      </c>
      <c r="O10" s="71">
        <f>VLOOKUP(C10,[2]Sheet1!$B$1:$E$16,4,0)</f>
        <v>23.76</v>
      </c>
      <c r="P10" s="71">
        <f>VLOOKUP(C10,[2]Sheet1!$B$2:$H$16,7,0)</f>
        <v>109</v>
      </c>
      <c r="Q10" s="89">
        <f t="shared" si="0"/>
        <v>629.86</v>
      </c>
      <c r="R10" s="70">
        <v>0</v>
      </c>
      <c r="S10" s="90">
        <f>L10+IFERROR(VLOOKUP($E:$E,'（居民）工资表-6月'!$E:$S,15,0),0)</f>
        <v>27052.1</v>
      </c>
      <c r="T10" s="91">
        <f>5000+IFERROR(VLOOKUP($E:$E,'（居民）工资表-6月'!$E:$T,16,0),0)</f>
        <v>30000</v>
      </c>
      <c r="U10" s="91">
        <f>Q10+IFERROR(VLOOKUP($E:$E,'（居民）工资表-6月'!$E:$U,17,0),0)</f>
        <v>3813.67</v>
      </c>
      <c r="V10" s="70"/>
      <c r="W10" s="70"/>
      <c r="X10" s="70"/>
      <c r="Y10" s="70"/>
      <c r="Z10" s="70"/>
      <c r="AA10" s="70"/>
      <c r="AB10" s="90">
        <f t="shared" si="1"/>
        <v>0</v>
      </c>
      <c r="AC10" s="90">
        <f>R10+IFERROR(VLOOKUP($E:$E,'（居民）工资表-6月'!$E:$AC,25,0),0)</f>
        <v>0</v>
      </c>
      <c r="AD10" s="95">
        <f t="shared" si="2"/>
        <v>-6761.57</v>
      </c>
      <c r="AE10" s="96">
        <f>ROUND(MAX((AD10)*{0.03;0.1;0.2;0.25;0.3;0.35;0.45}-{0;2520;16920;31920;52920;85920;181920},0),2)</f>
        <v>0</v>
      </c>
      <c r="AF10" s="97">
        <f>IFERROR(VLOOKUP(E:E,'（居民）工资表-6月'!E:AF,28,0)+VLOOKUP(E:E,'（居民）工资表-6月'!E:AG,29,0),0)</f>
        <v>0</v>
      </c>
      <c r="AG10" s="97">
        <f t="shared" si="3"/>
        <v>0</v>
      </c>
      <c r="AH10" s="107">
        <f t="shared" si="4"/>
        <v>3895.98</v>
      </c>
      <c r="AI10" s="108"/>
      <c r="AJ10" s="107">
        <f t="shared" si="5"/>
        <v>3895.98</v>
      </c>
      <c r="AK10" s="109"/>
      <c r="AL10" s="107">
        <f t="shared" si="6"/>
        <v>3895.98</v>
      </c>
      <c r="AM10" s="12" t="s">
        <v>195</v>
      </c>
      <c r="AN10" s="12" t="s">
        <v>196</v>
      </c>
    </row>
    <row r="11" s="12" customFormat="1" ht="18" customHeight="1" spans="1:40">
      <c r="A11" s="36">
        <v>8</v>
      </c>
      <c r="B11" s="37" t="s">
        <v>184</v>
      </c>
      <c r="C11" s="37" t="s">
        <v>133</v>
      </c>
      <c r="D11" s="37" t="s">
        <v>120</v>
      </c>
      <c r="E11" s="352" t="s">
        <v>134</v>
      </c>
      <c r="F11" s="38" t="s">
        <v>185</v>
      </c>
      <c r="G11" s="39">
        <v>18356553626</v>
      </c>
      <c r="H11" s="40"/>
      <c r="I11" s="40"/>
      <c r="J11" s="69"/>
      <c r="K11" s="40"/>
      <c r="L11" s="70">
        <v>9500</v>
      </c>
      <c r="M11" s="71">
        <f>VLOOKUP(C11,[2]Sheet1!$B$2:$D$16,3,0)</f>
        <v>321.52</v>
      </c>
      <c r="N11" s="71">
        <f>VLOOKUP(C11,[2]Sheet1!$B$2:$F$16,5,0)</f>
        <v>120.38</v>
      </c>
      <c r="O11" s="71">
        <f>VLOOKUP(C11,[2]Sheet1!$B$1:$E$16,4,0)</f>
        <v>20.1</v>
      </c>
      <c r="P11" s="71">
        <f>VLOOKUP(C11,[2]Sheet1!$B$2:$H$16,7,0)</f>
        <v>97</v>
      </c>
      <c r="Q11" s="89">
        <f t="shared" si="0"/>
        <v>559</v>
      </c>
      <c r="R11" s="70">
        <v>0</v>
      </c>
      <c r="S11" s="90">
        <f>L11+IFERROR(VLOOKUP($E:$E,'（居民）工资表-6月'!$E:$S,15,0),0)</f>
        <v>52500</v>
      </c>
      <c r="T11" s="91">
        <f>5000+IFERROR(VLOOKUP($E:$E,'（居民）工资表-6月'!$E:$T,16,0),0)</f>
        <v>30000</v>
      </c>
      <c r="U11" s="91">
        <f>Q11+IFERROR(VLOOKUP($E:$E,'（居民）工资表-6月'!$E:$U,17,0),0)</f>
        <v>3375.84</v>
      </c>
      <c r="V11" s="70"/>
      <c r="W11" s="70"/>
      <c r="X11" s="70"/>
      <c r="Y11" s="70"/>
      <c r="Z11" s="70"/>
      <c r="AA11" s="70"/>
      <c r="AB11" s="90">
        <f t="shared" si="1"/>
        <v>0</v>
      </c>
      <c r="AC11" s="90">
        <f>R11+IFERROR(VLOOKUP($E:$E,'（居民）工资表-6月'!$E:$AC,25,0),0)</f>
        <v>0</v>
      </c>
      <c r="AD11" s="95">
        <f t="shared" si="2"/>
        <v>19124.16</v>
      </c>
      <c r="AE11" s="96">
        <f>ROUND(MAX((AD11)*{0.03;0.1;0.2;0.25;0.3;0.35;0.45}-{0;2520;16920;31920;52920;85920;181920},0),2)</f>
        <v>573.72</v>
      </c>
      <c r="AF11" s="97">
        <f>IFERROR(VLOOKUP(E:E,'（居民）工资表-6月'!E:AF,28,0)+VLOOKUP(E:E,'（居民）工资表-6月'!E:AG,29,0),0)</f>
        <v>455.49</v>
      </c>
      <c r="AG11" s="97">
        <f t="shared" si="3"/>
        <v>118.23</v>
      </c>
      <c r="AH11" s="107">
        <f t="shared" si="4"/>
        <v>8822.77</v>
      </c>
      <c r="AI11" s="108"/>
      <c r="AJ11" s="107">
        <f t="shared" si="5"/>
        <v>8822.77</v>
      </c>
      <c r="AK11" s="109"/>
      <c r="AL11" s="107">
        <f t="shared" si="6"/>
        <v>8941</v>
      </c>
      <c r="AM11" s="12" t="s">
        <v>197</v>
      </c>
      <c r="AN11" s="12" t="s">
        <v>198</v>
      </c>
    </row>
    <row r="12" s="12" customFormat="1" ht="18" customHeight="1" spans="1:40">
      <c r="A12" s="36">
        <v>9</v>
      </c>
      <c r="B12" s="37" t="s">
        <v>184</v>
      </c>
      <c r="C12" s="37" t="s">
        <v>135</v>
      </c>
      <c r="D12" s="37" t="s">
        <v>120</v>
      </c>
      <c r="E12" s="352" t="s">
        <v>136</v>
      </c>
      <c r="F12" s="38" t="s">
        <v>185</v>
      </c>
      <c r="G12" s="39">
        <v>18326897140</v>
      </c>
      <c r="H12" s="40"/>
      <c r="I12" s="40"/>
      <c r="J12" s="69"/>
      <c r="K12" s="40"/>
      <c r="L12" s="70">
        <v>8000</v>
      </c>
      <c r="M12" s="71">
        <f>VLOOKUP(C12,[2]Sheet1!$B$2:$D$16,3,0)</f>
        <v>321.52</v>
      </c>
      <c r="N12" s="71">
        <f>VLOOKUP(C12,[2]Sheet1!$B$2:$F$16,5,0)</f>
        <v>86.38</v>
      </c>
      <c r="O12" s="71">
        <f>VLOOKUP(C12,[2]Sheet1!$B$1:$E$16,4,0)</f>
        <v>20.1</v>
      </c>
      <c r="P12" s="71">
        <f>VLOOKUP(C12,[2]Sheet1!$B$2:$H$16,7,0)</f>
        <v>344</v>
      </c>
      <c r="Q12" s="89">
        <f t="shared" si="0"/>
        <v>772</v>
      </c>
      <c r="R12" s="70">
        <v>0</v>
      </c>
      <c r="S12" s="90">
        <f>L12+IFERROR(VLOOKUP($E:$E,'（居民）工资表-6月'!$E:$S,15,0),0)</f>
        <v>43500</v>
      </c>
      <c r="T12" s="91">
        <f>5000+IFERROR(VLOOKUP($E:$E,'（居民）工资表-6月'!$E:$T,16,0),0)</f>
        <v>30000</v>
      </c>
      <c r="U12" s="91">
        <f>Q12+IFERROR(VLOOKUP($E:$E,'（居民）工资表-6月'!$E:$U,17,0),0)</f>
        <v>4653.84</v>
      </c>
      <c r="V12" s="70"/>
      <c r="W12" s="70"/>
      <c r="X12" s="70"/>
      <c r="Y12" s="70"/>
      <c r="Z12" s="70"/>
      <c r="AA12" s="70"/>
      <c r="AB12" s="90">
        <f t="shared" si="1"/>
        <v>0</v>
      </c>
      <c r="AC12" s="90">
        <f>R12+IFERROR(VLOOKUP($E:$E,'（居民）工资表-6月'!$E:$AC,25,0),0)</f>
        <v>0</v>
      </c>
      <c r="AD12" s="95">
        <f t="shared" si="2"/>
        <v>8846.16</v>
      </c>
      <c r="AE12" s="96">
        <f>ROUND(MAX((AD12)*{0.03;0.1;0.2;0.25;0.3;0.35;0.45}-{0;2520;16920;31920;52920;85920;181920},0),2)</f>
        <v>265.38</v>
      </c>
      <c r="AF12" s="97">
        <f>IFERROR(VLOOKUP(E:E,'（居民）工资表-6月'!E:AF,28,0)+VLOOKUP(E:E,'（居民）工资表-6月'!E:AG,29,0),0)</f>
        <v>198.54</v>
      </c>
      <c r="AG12" s="97">
        <f t="shared" si="3"/>
        <v>66.84</v>
      </c>
      <c r="AH12" s="107">
        <f t="shared" si="4"/>
        <v>7161.16</v>
      </c>
      <c r="AI12" s="108"/>
      <c r="AJ12" s="107">
        <f t="shared" si="5"/>
        <v>7161.16</v>
      </c>
      <c r="AK12" s="109"/>
      <c r="AL12" s="107">
        <f t="shared" si="6"/>
        <v>7228</v>
      </c>
      <c r="AM12" s="12" t="s">
        <v>190</v>
      </c>
      <c r="AN12" s="12" t="s">
        <v>51</v>
      </c>
    </row>
    <row r="13" s="12" customFormat="1" ht="18" customHeight="1" spans="1:40">
      <c r="A13" s="36">
        <v>10</v>
      </c>
      <c r="B13" s="37" t="s">
        <v>184</v>
      </c>
      <c r="C13" s="37" t="s">
        <v>137</v>
      </c>
      <c r="D13" s="37" t="s">
        <v>120</v>
      </c>
      <c r="E13" s="352" t="s">
        <v>138</v>
      </c>
      <c r="F13" s="38" t="s">
        <v>185</v>
      </c>
      <c r="G13" s="39">
        <v>17201857014</v>
      </c>
      <c r="H13" s="40"/>
      <c r="I13" s="40"/>
      <c r="J13" s="69"/>
      <c r="K13" s="40"/>
      <c r="L13" s="70">
        <v>9000</v>
      </c>
      <c r="M13" s="71">
        <f>VLOOKUP(C13,[2]Sheet1!$B$2:$D$16,3,0)</f>
        <v>321.52</v>
      </c>
      <c r="N13" s="71">
        <f>VLOOKUP(C13,[2]Sheet1!$B$2:$F$16,5,0)</f>
        <v>86.38</v>
      </c>
      <c r="O13" s="71">
        <f>VLOOKUP(C13,[2]Sheet1!$B$1:$E$16,4,0)</f>
        <v>20.1</v>
      </c>
      <c r="P13" s="71">
        <f>VLOOKUP(C13,[2]Sheet1!$B$2:$H$16,7,0)</f>
        <v>344</v>
      </c>
      <c r="Q13" s="89">
        <f t="shared" si="0"/>
        <v>772</v>
      </c>
      <c r="R13" s="70">
        <v>0</v>
      </c>
      <c r="S13" s="90">
        <f>L13+IFERROR(VLOOKUP($E:$E,'（居民）工资表-6月'!$E:$S,15,0),0)</f>
        <v>45000</v>
      </c>
      <c r="T13" s="91">
        <f>5000+IFERROR(VLOOKUP($E:$E,'（居民）工资表-6月'!$E:$T,16,0),0)</f>
        <v>30000</v>
      </c>
      <c r="U13" s="91">
        <f>Q13+IFERROR(VLOOKUP($E:$E,'（居民）工资表-6月'!$E:$U,17,0),0)</f>
        <v>4653.84</v>
      </c>
      <c r="V13" s="70"/>
      <c r="W13" s="70"/>
      <c r="X13" s="70"/>
      <c r="Y13" s="70"/>
      <c r="Z13" s="70"/>
      <c r="AA13" s="70"/>
      <c r="AB13" s="90">
        <f t="shared" si="1"/>
        <v>0</v>
      </c>
      <c r="AC13" s="90">
        <f>R13+IFERROR(VLOOKUP($E:$E,'（居民）工资表-6月'!$E:$AC,25,0),0)</f>
        <v>0</v>
      </c>
      <c r="AD13" s="95">
        <f t="shared" si="2"/>
        <v>10346.16</v>
      </c>
      <c r="AE13" s="96">
        <f>ROUND(MAX((AD13)*{0.03;0.1;0.2;0.25;0.3;0.35;0.45}-{0;2520;16920;31920;52920;85920;181920},0),2)</f>
        <v>310.38</v>
      </c>
      <c r="AF13" s="97">
        <f>IFERROR(VLOOKUP(E:E,'（居民）工资表-6月'!E:AF,28,0)+VLOOKUP(E:E,'（居民）工资表-6月'!E:AG,29,0),0)</f>
        <v>213.54</v>
      </c>
      <c r="AG13" s="97">
        <f t="shared" si="3"/>
        <v>96.84</v>
      </c>
      <c r="AH13" s="107">
        <f t="shared" si="4"/>
        <v>8131.16</v>
      </c>
      <c r="AI13" s="108"/>
      <c r="AJ13" s="107">
        <f t="shared" si="5"/>
        <v>8131.16</v>
      </c>
      <c r="AK13" s="109"/>
      <c r="AL13" s="107">
        <f t="shared" si="6"/>
        <v>8228</v>
      </c>
      <c r="AM13" s="12" t="s">
        <v>190</v>
      </c>
      <c r="AN13" s="12" t="s">
        <v>51</v>
      </c>
    </row>
    <row r="14" s="12" customFormat="1" ht="18" customHeight="1" spans="1:40">
      <c r="A14" s="36">
        <v>11</v>
      </c>
      <c r="B14" s="37" t="s">
        <v>184</v>
      </c>
      <c r="C14" s="37" t="s">
        <v>199</v>
      </c>
      <c r="D14" s="37" t="s">
        <v>120</v>
      </c>
      <c r="E14" s="352" t="s">
        <v>200</v>
      </c>
      <c r="F14" s="38" t="s">
        <v>187</v>
      </c>
      <c r="G14" s="39" t="s">
        <v>201</v>
      </c>
      <c r="H14" s="40"/>
      <c r="I14" s="40"/>
      <c r="J14" s="69"/>
      <c r="K14" s="40"/>
      <c r="L14" s="70">
        <v>7600</v>
      </c>
      <c r="M14" s="71">
        <f>VLOOKUP(C14,[2]Sheet1!$B$2:$D$16,3,0)</f>
        <v>321.52</v>
      </c>
      <c r="N14" s="71">
        <f>VLOOKUP(C14,[2]Sheet1!$B$2:$F$16,5,0)</f>
        <v>120.38</v>
      </c>
      <c r="O14" s="71">
        <f>VLOOKUP(C14,[2]Sheet1!$B$1:$E$16,4,0)</f>
        <v>20.1</v>
      </c>
      <c r="P14" s="71">
        <f>VLOOKUP(C14,[2]Sheet1!$B$2:$H$16,7,0)</f>
        <v>97</v>
      </c>
      <c r="Q14" s="89">
        <f t="shared" si="0"/>
        <v>559</v>
      </c>
      <c r="R14" s="70">
        <v>0</v>
      </c>
      <c r="S14" s="90">
        <f>L14+IFERROR(VLOOKUP($E:$E,'（居民）工资表-6月'!$E:$S,15,0),0)</f>
        <v>35600</v>
      </c>
      <c r="T14" s="91">
        <f>5000+IFERROR(VLOOKUP($E:$E,'（居民）工资表-6月'!$E:$T,16,0),0)</f>
        <v>25000</v>
      </c>
      <c r="U14" s="91">
        <f>Q14+IFERROR(VLOOKUP($E:$E,'（居民）工资表-6月'!$E:$U,17,0),0)</f>
        <v>2795</v>
      </c>
      <c r="V14" s="70"/>
      <c r="W14" s="70"/>
      <c r="X14" s="70"/>
      <c r="Y14" s="70"/>
      <c r="Z14" s="70"/>
      <c r="AA14" s="70"/>
      <c r="AB14" s="90">
        <f t="shared" si="1"/>
        <v>0</v>
      </c>
      <c r="AC14" s="90">
        <f>R14+IFERROR(VLOOKUP($E:$E,'（居民）工资表-6月'!$E:$AC,25,0),0)</f>
        <v>0</v>
      </c>
      <c r="AD14" s="95">
        <f t="shared" si="2"/>
        <v>7805</v>
      </c>
      <c r="AE14" s="96">
        <f>ROUND(MAX((AD14)*{0.03;0.1;0.2;0.25;0.3;0.35;0.45}-{0;2520;16920;31920;52920;85920;181920},0),2)</f>
        <v>234.15</v>
      </c>
      <c r="AF14" s="97">
        <f>IFERROR(VLOOKUP(E:E,'（居民）工资表-6月'!E:AF,28,0)+VLOOKUP(E:E,'（居民）工资表-6月'!E:AG,29,0),0)</f>
        <v>172.92</v>
      </c>
      <c r="AG14" s="97">
        <f t="shared" si="3"/>
        <v>61.23</v>
      </c>
      <c r="AH14" s="107">
        <f t="shared" si="4"/>
        <v>6979.77</v>
      </c>
      <c r="AI14" s="108"/>
      <c r="AJ14" s="107">
        <f t="shared" si="5"/>
        <v>6979.77</v>
      </c>
      <c r="AK14" s="109"/>
      <c r="AL14" s="107">
        <f t="shared" si="6"/>
        <v>7041</v>
      </c>
      <c r="AM14" s="12" t="s">
        <v>190</v>
      </c>
      <c r="AN14" s="12" t="s">
        <v>51</v>
      </c>
    </row>
    <row r="15" s="12" customFormat="1" ht="18" customHeight="1" spans="1:40">
      <c r="A15" s="36">
        <v>12</v>
      </c>
      <c r="B15" s="37" t="s">
        <v>184</v>
      </c>
      <c r="C15" s="37" t="s">
        <v>202</v>
      </c>
      <c r="D15" s="37" t="s">
        <v>120</v>
      </c>
      <c r="E15" s="352" t="s">
        <v>203</v>
      </c>
      <c r="F15" s="38" t="s">
        <v>187</v>
      </c>
      <c r="G15" s="39">
        <v>15855788591</v>
      </c>
      <c r="H15" s="40"/>
      <c r="I15" s="40"/>
      <c r="J15" s="69"/>
      <c r="K15" s="40"/>
      <c r="L15" s="70">
        <v>6625.64</v>
      </c>
      <c r="M15" s="71">
        <f>VLOOKUP(C15,[2]Sheet1!$B$2:$D$16,3,0)</f>
        <v>321.52</v>
      </c>
      <c r="N15" s="71">
        <f>VLOOKUP(C15,[2]Sheet1!$B$2:$F$16,5,0)</f>
        <v>89.09</v>
      </c>
      <c r="O15" s="71">
        <f>VLOOKUP(C15,[2]Sheet1!$B$1:$E$16,4,0)</f>
        <v>20.1</v>
      </c>
      <c r="P15" s="71">
        <f>VLOOKUP(C15,[2]Sheet1!$B$2:$H$16,7,0)</f>
        <v>97</v>
      </c>
      <c r="Q15" s="89">
        <f t="shared" si="0"/>
        <v>527.71</v>
      </c>
      <c r="R15" s="70">
        <v>0</v>
      </c>
      <c r="S15" s="90">
        <f>L15+IFERROR(VLOOKUP($E:$E,'（居民）工资表-6月'!$E:$S,15,0),0)</f>
        <v>31105.64</v>
      </c>
      <c r="T15" s="91">
        <f>5000+IFERROR(VLOOKUP($E:$E,'（居民）工资表-6月'!$E:$T,16,0),0)</f>
        <v>25000</v>
      </c>
      <c r="U15" s="91">
        <f>Q15+IFERROR(VLOOKUP($E:$E,'（居民）工资表-6月'!$E:$U,17,0),0)</f>
        <v>2638.55</v>
      </c>
      <c r="V15" s="70"/>
      <c r="W15" s="70"/>
      <c r="X15" s="70"/>
      <c r="Y15" s="70"/>
      <c r="Z15" s="70"/>
      <c r="AA15" s="70"/>
      <c r="AB15" s="90">
        <f t="shared" si="1"/>
        <v>0</v>
      </c>
      <c r="AC15" s="90">
        <f>R15+IFERROR(VLOOKUP($E:$E,'（居民）工资表-6月'!$E:$AC,25,0),0)</f>
        <v>0</v>
      </c>
      <c r="AD15" s="95">
        <f t="shared" si="2"/>
        <v>3467.09</v>
      </c>
      <c r="AE15" s="96">
        <f>ROUND(MAX((AD15)*{0.03;0.1;0.2;0.25;0.3;0.35;0.45}-{0;2520;16920;31920;52920;85920;181920},0),2)</f>
        <v>104.01</v>
      </c>
      <c r="AF15" s="97">
        <f>IFERROR(VLOOKUP(E:E,'（居民）工资表-6月'!E:AF,28,0)+VLOOKUP(E:E,'（居民）工资表-6月'!E:AG,29,0),0)</f>
        <v>71.07</v>
      </c>
      <c r="AG15" s="97">
        <f t="shared" si="3"/>
        <v>32.94</v>
      </c>
      <c r="AH15" s="107">
        <f t="shared" si="4"/>
        <v>6064.99</v>
      </c>
      <c r="AI15" s="108"/>
      <c r="AJ15" s="107">
        <f t="shared" si="5"/>
        <v>6064.99</v>
      </c>
      <c r="AK15" s="109"/>
      <c r="AL15" s="107">
        <f t="shared" si="6"/>
        <v>6097.93</v>
      </c>
      <c r="AM15" s="12" t="s">
        <v>190</v>
      </c>
      <c r="AN15" s="12" t="s">
        <v>51</v>
      </c>
    </row>
    <row r="16" s="12" customFormat="1" ht="18" customHeight="1" spans="1:40">
      <c r="A16" s="36">
        <v>13</v>
      </c>
      <c r="B16" s="37" t="s">
        <v>184</v>
      </c>
      <c r="C16" s="37" t="s">
        <v>139</v>
      </c>
      <c r="D16" s="37" t="s">
        <v>120</v>
      </c>
      <c r="E16" s="352" t="s">
        <v>140</v>
      </c>
      <c r="F16" s="38" t="s">
        <v>187</v>
      </c>
      <c r="G16" s="39"/>
      <c r="H16" s="40"/>
      <c r="I16" s="40"/>
      <c r="J16" s="69"/>
      <c r="K16" s="40"/>
      <c r="L16" s="70">
        <v>6000</v>
      </c>
      <c r="M16" s="71">
        <f>VLOOKUP(C16,[2]Sheet1!$B$2:$D$16,3,0)</f>
        <v>321.52</v>
      </c>
      <c r="N16" s="71">
        <f>VLOOKUP(C16,[2]Sheet1!$B$2:$F$16,5,0)</f>
        <v>80.38</v>
      </c>
      <c r="O16" s="71">
        <f>VLOOKUP(C16,[2]Sheet1!$B$1:$E$16,4,0)</f>
        <v>20.1</v>
      </c>
      <c r="P16" s="71">
        <f>VLOOKUP(C16,[2]Sheet1!$B$2:$H$16,7,0)</f>
        <v>103</v>
      </c>
      <c r="Q16" s="89">
        <f t="shared" si="0"/>
        <v>525</v>
      </c>
      <c r="R16" s="70">
        <v>0</v>
      </c>
      <c r="S16" s="90">
        <f>L16+IFERROR(VLOOKUP($E:$E,'（居民）工资表-6月'!$E:$S,15,0),0)</f>
        <v>36000</v>
      </c>
      <c r="T16" s="91">
        <f>5000+IFERROR(VLOOKUP($E:$E,'（居民）工资表-6月'!$E:$T,16,0),0)</f>
        <v>30000</v>
      </c>
      <c r="U16" s="91">
        <f>Q16+IFERROR(VLOOKUP($E:$E,'（居民）工资表-6月'!$E:$U,17,0),0)</f>
        <v>3171.84</v>
      </c>
      <c r="V16" s="70"/>
      <c r="W16" s="70"/>
      <c r="X16" s="70"/>
      <c r="Y16" s="70"/>
      <c r="Z16" s="70"/>
      <c r="AA16" s="70"/>
      <c r="AB16" s="90">
        <f t="shared" si="1"/>
        <v>0</v>
      </c>
      <c r="AC16" s="90">
        <f>R16+IFERROR(VLOOKUP($E:$E,'（居民）工资表-6月'!$E:$AC,25,0),0)</f>
        <v>0</v>
      </c>
      <c r="AD16" s="95">
        <f t="shared" si="2"/>
        <v>2828.16</v>
      </c>
      <c r="AE16" s="96">
        <f>ROUND(MAX((AD16)*{0.03;0.1;0.2;0.25;0.3;0.35;0.45}-{0;2520;16920;31920;52920;85920;181920},0),2)</f>
        <v>84.84</v>
      </c>
      <c r="AF16" s="97">
        <f>IFERROR(VLOOKUP(E:E,'（居民）工资表-6月'!E:AF,28,0)+VLOOKUP(E:E,'（居民）工资表-6月'!E:AG,29,0),0)</f>
        <v>70.59</v>
      </c>
      <c r="AG16" s="97">
        <f t="shared" si="3"/>
        <v>14.25</v>
      </c>
      <c r="AH16" s="107">
        <f t="shared" si="4"/>
        <v>5460.75</v>
      </c>
      <c r="AI16" s="108"/>
      <c r="AJ16" s="107">
        <f t="shared" si="5"/>
        <v>5460.75</v>
      </c>
      <c r="AK16" s="109"/>
      <c r="AL16" s="107">
        <f t="shared" si="6"/>
        <v>5475</v>
      </c>
      <c r="AM16" s="12" t="s">
        <v>190</v>
      </c>
      <c r="AN16" s="12" t="s">
        <v>51</v>
      </c>
    </row>
    <row r="17" s="12" customFormat="1" ht="18" customHeight="1" spans="1:40">
      <c r="A17" s="36">
        <v>14</v>
      </c>
      <c r="B17" s="37" t="s">
        <v>184</v>
      </c>
      <c r="C17" s="37" t="s">
        <v>141</v>
      </c>
      <c r="D17" s="37" t="s">
        <v>120</v>
      </c>
      <c r="E17" s="352" t="s">
        <v>142</v>
      </c>
      <c r="F17" s="38" t="s">
        <v>185</v>
      </c>
      <c r="G17" s="39">
        <v>15056587375</v>
      </c>
      <c r="H17" s="40"/>
      <c r="I17" s="40"/>
      <c r="J17" s="69"/>
      <c r="K17" s="40"/>
      <c r="L17" s="70">
        <v>10000</v>
      </c>
      <c r="M17" s="71">
        <f>VLOOKUP(C17,[2]Sheet1!$B$2:$D$16,3,0)</f>
        <v>321.52</v>
      </c>
      <c r="N17" s="71">
        <f>VLOOKUP(C17,[2]Sheet1!$B$2:$F$16,5,0)</f>
        <v>89.09</v>
      </c>
      <c r="O17" s="71">
        <f>VLOOKUP(C17,[2]Sheet1!$B$1:$E$16,4,0)</f>
        <v>20.1</v>
      </c>
      <c r="P17" s="71">
        <f>VLOOKUP(C17,[2]Sheet1!$B$2:$H$16,7,0)</f>
        <v>97</v>
      </c>
      <c r="Q17" s="89">
        <f t="shared" si="0"/>
        <v>527.71</v>
      </c>
      <c r="R17" s="70">
        <v>0</v>
      </c>
      <c r="S17" s="90">
        <f>L17+IFERROR(VLOOKUP($E:$E,'（居民）工资表-6月'!$E:$S,15,0),0)</f>
        <v>59904.76</v>
      </c>
      <c r="T17" s="91">
        <f>5000+IFERROR(VLOOKUP($E:$E,'（居民）工资表-6月'!$E:$T,16,0),0)</f>
        <v>30000</v>
      </c>
      <c r="U17" s="91">
        <f>Q17+IFERROR(VLOOKUP($E:$E,'（居民）工资表-6月'!$E:$U,17,0),0)</f>
        <v>3188.55</v>
      </c>
      <c r="V17" s="70"/>
      <c r="W17" s="70"/>
      <c r="X17" s="70"/>
      <c r="Y17" s="70"/>
      <c r="Z17" s="70"/>
      <c r="AA17" s="70"/>
      <c r="AB17" s="90">
        <f t="shared" si="1"/>
        <v>0</v>
      </c>
      <c r="AC17" s="90">
        <f>R17+IFERROR(VLOOKUP($E:$E,'（居民）工资表-6月'!$E:$AC,25,0),0)</f>
        <v>0</v>
      </c>
      <c r="AD17" s="95">
        <f t="shared" si="2"/>
        <v>26716.21</v>
      </c>
      <c r="AE17" s="96">
        <f>ROUND(MAX((AD17)*{0.03;0.1;0.2;0.25;0.3;0.35;0.45}-{0;2520;16920;31920;52920;85920;181920},0),2)</f>
        <v>801.49</v>
      </c>
      <c r="AF17" s="97">
        <f>IFERROR(VLOOKUP(E:E,'（居民）工资表-6月'!E:AF,28,0)+VLOOKUP(E:E,'（居民）工资表-6月'!E:AG,29,0),0)</f>
        <v>667.32</v>
      </c>
      <c r="AG17" s="97">
        <f t="shared" si="3"/>
        <v>134.17</v>
      </c>
      <c r="AH17" s="107">
        <f t="shared" si="4"/>
        <v>9338.12</v>
      </c>
      <c r="AI17" s="108"/>
      <c r="AJ17" s="107">
        <f t="shared" si="5"/>
        <v>9338.12</v>
      </c>
      <c r="AK17" s="109"/>
      <c r="AL17" s="107">
        <f t="shared" si="6"/>
        <v>9472.29</v>
      </c>
      <c r="AM17" s="12" t="s">
        <v>191</v>
      </c>
      <c r="AN17" s="12" t="s">
        <v>51</v>
      </c>
    </row>
    <row r="18" s="12" customFormat="1" ht="21" customHeight="1" spans="1:40">
      <c r="A18" s="36">
        <v>15</v>
      </c>
      <c r="B18" s="37" t="s">
        <v>184</v>
      </c>
      <c r="C18" s="37" t="s">
        <v>204</v>
      </c>
      <c r="D18" s="37" t="s">
        <v>120</v>
      </c>
      <c r="E18" s="37" t="s">
        <v>205</v>
      </c>
      <c r="F18" s="38" t="s">
        <v>185</v>
      </c>
      <c r="G18" s="39">
        <v>13711361074</v>
      </c>
      <c r="H18" s="40"/>
      <c r="I18" s="40"/>
      <c r="J18" s="69"/>
      <c r="K18" s="40"/>
      <c r="L18" s="70">
        <v>6563.63</v>
      </c>
      <c r="M18" s="71">
        <f>VLOOKUP(C18,[2]Sheet1!$B$2:$D$16,3,0)</f>
        <v>337.92</v>
      </c>
      <c r="N18" s="71">
        <f>VLOOKUP(C18,[2]Sheet1!$B$2:$F$16,5,0)</f>
        <v>91.48</v>
      </c>
      <c r="O18" s="71">
        <f>VLOOKUP(C18,[2]Sheet1!$B$1:$E$16,4,0)</f>
        <v>12.67</v>
      </c>
      <c r="P18" s="71">
        <f>VLOOKUP(C18,[2]Sheet1!$B$2:$H$16,7,0)</f>
        <v>110.5</v>
      </c>
      <c r="Q18" s="89">
        <f t="shared" si="0"/>
        <v>552.57</v>
      </c>
      <c r="R18" s="70">
        <v>0</v>
      </c>
      <c r="S18" s="90">
        <f>L18+IFERROR(VLOOKUP($E:$E,'（居民）工资表-6月'!$E:$S,15,0),0)</f>
        <v>20750.3</v>
      </c>
      <c r="T18" s="91">
        <f>5000+IFERROR(VLOOKUP($E:$E,'（居民）工资表-6月'!$E:$T,16,0),0)</f>
        <v>20000</v>
      </c>
      <c r="U18" s="91">
        <f>Q18+IFERROR(VLOOKUP($E:$E,'（居民）工资表-6月'!$E:$U,17,0),0)</f>
        <v>2762.85</v>
      </c>
      <c r="V18" s="70"/>
      <c r="W18" s="70"/>
      <c r="X18" s="70"/>
      <c r="Y18" s="70"/>
      <c r="Z18" s="70"/>
      <c r="AA18" s="70"/>
      <c r="AB18" s="90">
        <f t="shared" si="1"/>
        <v>0</v>
      </c>
      <c r="AC18" s="90">
        <f>R18+IFERROR(VLOOKUP($E:$E,'（居民）工资表-6月'!$E:$AC,25,0),0)</f>
        <v>0</v>
      </c>
      <c r="AD18" s="95">
        <f t="shared" si="2"/>
        <v>-2012.55</v>
      </c>
      <c r="AE18" s="96">
        <f>ROUND(MAX((AD18)*{0.03;0.1;0.2;0.25;0.3;0.35;0.45}-{0;2520;16920;31920;52920;85920;181920},0),2)</f>
        <v>0</v>
      </c>
      <c r="AF18" s="97">
        <f>IFERROR(VLOOKUP(E:E,'（居民）工资表-6月'!E:AF,28,0)+VLOOKUP(E:E,'（居民）工资表-6月'!E:AG,29,0),0)</f>
        <v>0</v>
      </c>
      <c r="AG18" s="97">
        <f t="shared" si="3"/>
        <v>0</v>
      </c>
      <c r="AH18" s="107">
        <f t="shared" si="4"/>
        <v>6011.06</v>
      </c>
      <c r="AI18" s="108"/>
      <c r="AJ18" s="107">
        <f t="shared" si="5"/>
        <v>6011.06</v>
      </c>
      <c r="AK18" s="109"/>
      <c r="AL18" s="107">
        <f t="shared" si="6"/>
        <v>6011.06</v>
      </c>
      <c r="AM18" s="12" t="s">
        <v>190</v>
      </c>
      <c r="AN18" s="12" t="s">
        <v>51</v>
      </c>
    </row>
    <row r="19" s="12" customFormat="1" ht="18" customHeight="1" spans="1:38">
      <c r="A19" s="36"/>
      <c r="B19" s="37"/>
      <c r="C19" s="37"/>
      <c r="D19" s="37"/>
      <c r="E19" s="37"/>
      <c r="F19" s="38"/>
      <c r="G19" s="39"/>
      <c r="H19" s="40"/>
      <c r="I19" s="40"/>
      <c r="J19" s="69"/>
      <c r="K19" s="40"/>
      <c r="L19" s="70"/>
      <c r="M19" s="71"/>
      <c r="N19" s="71"/>
      <c r="O19" s="71"/>
      <c r="P19" s="71"/>
      <c r="Q19" s="89"/>
      <c r="R19" s="70"/>
      <c r="S19" s="90"/>
      <c r="T19" s="91"/>
      <c r="U19" s="91"/>
      <c r="V19" s="70"/>
      <c r="W19" s="70"/>
      <c r="X19" s="70"/>
      <c r="Y19" s="70"/>
      <c r="Z19" s="70"/>
      <c r="AA19" s="70"/>
      <c r="AB19" s="90"/>
      <c r="AC19" s="90"/>
      <c r="AD19" s="95"/>
      <c r="AE19" s="96"/>
      <c r="AF19" s="97"/>
      <c r="AG19" s="97"/>
      <c r="AH19" s="107"/>
      <c r="AI19" s="108"/>
      <c r="AJ19" s="107"/>
      <c r="AK19" s="109"/>
      <c r="AL19" s="107"/>
    </row>
    <row r="20" s="13" customFormat="1" ht="18" customHeight="1" spans="1:38">
      <c r="A20" s="41"/>
      <c r="B20" s="42" t="s">
        <v>143</v>
      </c>
      <c r="C20" s="42"/>
      <c r="D20" s="43"/>
      <c r="E20" s="44"/>
      <c r="F20" s="45"/>
      <c r="G20" s="46"/>
      <c r="H20" s="45"/>
      <c r="I20" s="72"/>
      <c r="J20" s="73"/>
      <c r="K20" s="72"/>
      <c r="L20" s="74">
        <f>SUM(L4:L19)</f>
        <v>141975.11</v>
      </c>
      <c r="M20" s="74">
        <f t="shared" ref="M20:AL20" si="7">SUM(M4:M19)</f>
        <v>5262.9</v>
      </c>
      <c r="N20" s="74">
        <f t="shared" si="7"/>
        <v>1492.43</v>
      </c>
      <c r="O20" s="74">
        <f t="shared" si="7"/>
        <v>282.62</v>
      </c>
      <c r="P20" s="74">
        <f t="shared" si="7"/>
        <v>2412.9</v>
      </c>
      <c r="Q20" s="74">
        <f t="shared" si="7"/>
        <v>9450.85</v>
      </c>
      <c r="R20" s="74">
        <f t="shared" si="7"/>
        <v>0</v>
      </c>
      <c r="S20" s="74">
        <f t="shared" si="7"/>
        <v>773232.8</v>
      </c>
      <c r="T20" s="74">
        <f t="shared" si="7"/>
        <v>430000</v>
      </c>
      <c r="U20" s="74">
        <f t="shared" si="7"/>
        <v>55455.63</v>
      </c>
      <c r="V20" s="74">
        <f t="shared" si="7"/>
        <v>7000</v>
      </c>
      <c r="W20" s="74">
        <f t="shared" si="7"/>
        <v>0</v>
      </c>
      <c r="X20" s="74">
        <f t="shared" si="7"/>
        <v>19000</v>
      </c>
      <c r="Y20" s="74">
        <f t="shared" si="7"/>
        <v>10500</v>
      </c>
      <c r="Z20" s="74">
        <f t="shared" si="7"/>
        <v>2800</v>
      </c>
      <c r="AA20" s="74">
        <f t="shared" si="7"/>
        <v>0</v>
      </c>
      <c r="AB20" s="74">
        <f t="shared" si="7"/>
        <v>39300</v>
      </c>
      <c r="AC20" s="74">
        <f t="shared" si="7"/>
        <v>0</v>
      </c>
      <c r="AD20" s="74">
        <f t="shared" si="7"/>
        <v>248477.17</v>
      </c>
      <c r="AE20" s="74">
        <f t="shared" si="7"/>
        <v>14829.17</v>
      </c>
      <c r="AF20" s="74">
        <f t="shared" si="7"/>
        <v>13085.97</v>
      </c>
      <c r="AG20" s="74">
        <f t="shared" si="7"/>
        <v>2130.85</v>
      </c>
      <c r="AH20" s="74">
        <f t="shared" si="7"/>
        <v>130393.41</v>
      </c>
      <c r="AI20" s="74">
        <f t="shared" si="7"/>
        <v>0</v>
      </c>
      <c r="AJ20" s="74">
        <f t="shared" si="7"/>
        <v>130393.41</v>
      </c>
      <c r="AK20" s="74">
        <f t="shared" si="7"/>
        <v>0</v>
      </c>
      <c r="AL20" s="74">
        <f t="shared" si="7"/>
        <v>132524.26</v>
      </c>
    </row>
    <row r="23" spans="30:30">
      <c r="AD23" s="101"/>
    </row>
    <row r="24" ht="18.75" customHeight="1" spans="2:30">
      <c r="B24" s="47" t="s">
        <v>144</v>
      </c>
      <c r="C24" s="47" t="s">
        <v>145</v>
      </c>
      <c r="D24" s="47" t="s">
        <v>22</v>
      </c>
      <c r="E24" s="47" t="s">
        <v>23</v>
      </c>
      <c r="AD24" s="10"/>
    </row>
    <row r="25" ht="18.75" customHeight="1" spans="2:5">
      <c r="B25" s="48">
        <f>AJ20</f>
        <v>130393.41</v>
      </c>
      <c r="C25" s="48">
        <f>AG20</f>
        <v>2130.85</v>
      </c>
      <c r="D25" s="48">
        <f>AK20</f>
        <v>0</v>
      </c>
      <c r="E25" s="48">
        <f>B25+C25+D25</f>
        <v>132524.26</v>
      </c>
    </row>
    <row r="26" spans="2:5">
      <c r="B26" s="49"/>
      <c r="C26" s="49"/>
      <c r="D26" s="49"/>
      <c r="E26" s="49"/>
    </row>
    <row r="27" s="14" customFormat="1" spans="1:35">
      <c r="A27" s="51" t="s">
        <v>206</v>
      </c>
      <c r="B27" s="52" t="s">
        <v>207</v>
      </c>
      <c r="C27" s="50"/>
      <c r="D27" s="50"/>
      <c r="E27" s="50"/>
      <c r="G27" s="53"/>
      <c r="J27" s="75"/>
      <c r="M27" s="76"/>
      <c r="AI27" s="112"/>
    </row>
    <row r="28" s="14" customFormat="1" spans="1:35">
      <c r="A28" s="54"/>
      <c r="B28" s="55" t="s">
        <v>208</v>
      </c>
      <c r="C28" s="50"/>
      <c r="D28" s="50"/>
      <c r="E28" s="50"/>
      <c r="G28" s="53"/>
      <c r="J28" s="75"/>
      <c r="M28" s="76"/>
      <c r="AI28" s="112"/>
    </row>
    <row r="29" s="14" customFormat="1" spans="1:35">
      <c r="A29" s="52"/>
      <c r="B29" s="55" t="s">
        <v>209</v>
      </c>
      <c r="C29" s="56"/>
      <c r="D29" s="56"/>
      <c r="E29" s="56"/>
      <c r="F29" s="56"/>
      <c r="G29" s="56"/>
      <c r="H29" s="56"/>
      <c r="I29" s="56"/>
      <c r="J29" s="77"/>
      <c r="K29" s="56"/>
      <c r="L29" s="56"/>
      <c r="M29" s="78"/>
      <c r="N29" s="56"/>
      <c r="O29" s="56"/>
      <c r="P29" s="56"/>
      <c r="AI29" s="112"/>
    </row>
    <row r="30" s="14" customFormat="1" customHeight="1" spans="1:35">
      <c r="A30" s="55"/>
      <c r="B30" s="55" t="s">
        <v>210</v>
      </c>
      <c r="C30" s="57"/>
      <c r="D30" s="57"/>
      <c r="E30" s="57"/>
      <c r="F30" s="57"/>
      <c r="G30" s="57"/>
      <c r="H30" s="57"/>
      <c r="I30" s="79"/>
      <c r="J30" s="80"/>
      <c r="K30" s="79"/>
      <c r="L30" s="79"/>
      <c r="M30" s="81"/>
      <c r="N30" s="79"/>
      <c r="O30" s="79"/>
      <c r="P30" s="79"/>
      <c r="AI30" s="112"/>
    </row>
    <row r="31" s="14" customFormat="1" customHeight="1" spans="1:35">
      <c r="A31" s="55"/>
      <c r="B31" s="55" t="s">
        <v>211</v>
      </c>
      <c r="C31" s="57"/>
      <c r="D31" s="57"/>
      <c r="E31" s="57"/>
      <c r="F31" s="57"/>
      <c r="G31" s="57"/>
      <c r="H31" s="57"/>
      <c r="I31" s="57"/>
      <c r="J31" s="82"/>
      <c r="K31" s="57"/>
      <c r="L31" s="79"/>
      <c r="M31" s="81"/>
      <c r="N31" s="79"/>
      <c r="O31" s="79"/>
      <c r="P31" s="79"/>
      <c r="AI31" s="112"/>
    </row>
    <row r="32" s="14" customFormat="1" customHeight="1" spans="1:35">
      <c r="A32" s="55"/>
      <c r="B32" s="55" t="s">
        <v>212</v>
      </c>
      <c r="C32" s="57"/>
      <c r="D32" s="57"/>
      <c r="E32" s="57"/>
      <c r="F32" s="57"/>
      <c r="G32" s="57"/>
      <c r="H32" s="57"/>
      <c r="I32" s="79"/>
      <c r="J32" s="80"/>
      <c r="K32" s="79"/>
      <c r="L32" s="79"/>
      <c r="M32" s="81"/>
      <c r="N32" s="79"/>
      <c r="O32" s="79"/>
      <c r="P32" s="79"/>
      <c r="AI32" s="112"/>
    </row>
    <row r="34" ht="11.25" customHeight="1" spans="2:2">
      <c r="B34" s="58" t="s">
        <v>213</v>
      </c>
    </row>
    <row r="35" spans="2:2">
      <c r="B35" s="59" t="s">
        <v>214</v>
      </c>
    </row>
    <row r="36" spans="2:2">
      <c r="B36" s="59" t="s">
        <v>215</v>
      </c>
    </row>
  </sheetData>
  <autoFilter xmlns:etc="http://www.wps.cn/officeDocument/2017/etCustomData" ref="A3:AL20" etc:filterBottomFollowUsedRange="0">
    <extLst/>
  </autoFilter>
  <mergeCells count="31">
    <mergeCell ref="M1:P1"/>
    <mergeCell ref="M2:P2"/>
    <mergeCell ref="V2:AA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Q2:Q3"/>
    <mergeCell ref="R2:R3"/>
    <mergeCell ref="S2:S3"/>
    <mergeCell ref="T2:T3"/>
    <mergeCell ref="U2:U3"/>
    <mergeCell ref="AB2:AB3"/>
    <mergeCell ref="AC2:AC3"/>
    <mergeCell ref="AD2:AD3"/>
    <mergeCell ref="AE2:AE3"/>
    <mergeCell ref="AF2:AF3"/>
    <mergeCell ref="AG2:AG3"/>
    <mergeCell ref="AH2:AH3"/>
    <mergeCell ref="AI2:AI3"/>
    <mergeCell ref="AJ2:AJ3"/>
    <mergeCell ref="AK2:AK3"/>
    <mergeCell ref="AL2:AL3"/>
  </mergeCells>
  <conditionalFormatting sqref="B32">
    <cfRule type="duplicateValues" dxfId="4" priority="2" stopIfTrue="1"/>
  </conditionalFormatting>
  <conditionalFormatting sqref="B27:B31">
    <cfRule type="duplicateValues" dxfId="4" priority="3" stopIfTrue="1"/>
  </conditionalFormatting>
  <conditionalFormatting sqref="B35:B36">
    <cfRule type="duplicateValues" dxfId="4" priority="1" stopIfTrue="1"/>
  </conditionalFormatting>
  <conditionalFormatting sqref="C24:C26">
    <cfRule type="duplicateValues" dxfId="4" priority="4" stopIfTrue="1"/>
    <cfRule type="expression" dxfId="5" priority="5" stopIfTrue="1">
      <formula>AND(COUNTIF($B$20:$B$65456,C24)+COUNTIF($B$1:$B$3,C24)&gt;1,NOT(ISBLANK(C24)))</formula>
    </cfRule>
    <cfRule type="expression" dxfId="5" priority="6" stopIfTrue="1">
      <formula>AND(COUNTIF($B$31:$B$65407,C24)+COUNTIF($B$1:$B$30,C24)&gt;1,NOT(ISBLANK(C24)))</formula>
    </cfRule>
    <cfRule type="expression" dxfId="5" priority="7" stopIfTrue="1">
      <formula>AND(COUNTIF($B$20:$B$65445,C24)+COUNTIF($B$1:$B$3,C24)&gt;1,NOT(ISBLANK(C24)))</formula>
    </cfRule>
  </conditionalFormatting>
  <pageMargins left="0.235416666666667" right="0.235416666666667" top="0.747916666666667" bottom="0.747916666666667" header="0.313888888888889" footer="0.313888888888889"/>
  <pageSetup paperSize="9" scale="56" fitToWidth="2" orientation="landscape"/>
  <headerFooter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6">
    <tabColor rgb="FF00B050"/>
    <pageSetUpPr fitToPage="1"/>
  </sheetPr>
  <dimension ref="A1:AV36"/>
  <sheetViews>
    <sheetView workbookViewId="0">
      <pane xSplit="6" ySplit="3" topLeftCell="G4" activePane="bottomRight" state="frozen"/>
      <selection/>
      <selection pane="topRight"/>
      <selection pane="bottomLeft"/>
      <selection pane="bottomRight" activeCell="A18" sqref="A4:P18"/>
    </sheetView>
  </sheetViews>
  <sheetFormatPr defaultColWidth="9" defaultRowHeight="13.5"/>
  <cols>
    <col min="1" max="1" width="4.45" style="15" customWidth="1"/>
    <col min="2" max="2" width="12.6333333333333" style="15" customWidth="1"/>
    <col min="3" max="3" width="10.45" style="15" customWidth="1"/>
    <col min="4" max="4" width="8.725" style="15" customWidth="1"/>
    <col min="5" max="5" width="19.45" style="16" customWidth="1"/>
    <col min="6" max="6" width="9" style="15"/>
    <col min="7" max="7" width="11.9083333333333" style="17" customWidth="1"/>
    <col min="8" max="8" width="4.63333333333333" style="15" hidden="1" customWidth="1"/>
    <col min="9" max="9" width="5.26666666666667" style="15" hidden="1" customWidth="1"/>
    <col min="10" max="10" width="11.725" style="18" hidden="1" customWidth="1"/>
    <col min="11" max="11" width="5.26666666666667" style="15" hidden="1" customWidth="1"/>
    <col min="12" max="12" width="11.725" style="15" customWidth="1"/>
    <col min="13" max="13" width="9.725" style="15" customWidth="1" outlineLevel="1"/>
    <col min="14" max="15" width="9" style="15" customWidth="1" outlineLevel="1"/>
    <col min="16" max="16" width="11.0916666666667" style="15" customWidth="1" outlineLevel="1"/>
    <col min="17" max="17" width="9.725" style="15" customWidth="1"/>
    <col min="18" max="18" width="9.45" style="15" customWidth="1"/>
    <col min="19" max="19" width="14.0916666666667" style="15" customWidth="1"/>
    <col min="20" max="21" width="12.2666666666667" style="15" customWidth="1"/>
    <col min="22" max="27" width="9" style="15" customWidth="1" outlineLevel="1"/>
    <col min="28" max="28" width="11.2666666666667" style="15" customWidth="1"/>
    <col min="29" max="29" width="8.45" style="15" customWidth="1"/>
    <col min="30" max="30" width="15.2666666666667" style="15" customWidth="1"/>
    <col min="31" max="31" width="14" style="15" customWidth="1"/>
    <col min="32" max="32" width="10.725" style="15" customWidth="1"/>
    <col min="33" max="33" width="12.2666666666667" style="15" customWidth="1"/>
    <col min="34" max="34" width="11.45" style="15" customWidth="1"/>
    <col min="35" max="35" width="7.90833333333333" style="19" customWidth="1"/>
    <col min="36" max="36" width="11.45" style="15" customWidth="1"/>
    <col min="37" max="37" width="9" style="15" customWidth="1"/>
    <col min="38" max="38" width="11.45" style="15" customWidth="1"/>
    <col min="39" max="40" width="9" style="15" customWidth="1"/>
    <col min="41" max="41" width="19" style="15" customWidth="1"/>
    <col min="42" max="42" width="12.2666666666667" style="15" customWidth="1"/>
    <col min="43" max="43" width="9" style="15" customWidth="1"/>
    <col min="44" max="44" width="7" style="15" customWidth="1"/>
    <col min="45" max="45" width="6.725" style="15" customWidth="1"/>
    <col min="46" max="46" width="6.09166666666667" style="15" customWidth="1"/>
    <col min="47" max="16384" width="9" style="15"/>
  </cols>
  <sheetData>
    <row r="1" s="10" customFormat="1" ht="29.25" customHeight="1" spans="1:45">
      <c r="A1" s="20" t="s">
        <v>146</v>
      </c>
      <c r="B1" s="21"/>
      <c r="C1" s="22"/>
      <c r="D1" s="23"/>
      <c r="E1" s="24"/>
      <c r="F1" s="24"/>
      <c r="G1" s="25"/>
      <c r="J1" s="60"/>
      <c r="L1" s="61"/>
      <c r="M1" s="62" t="s">
        <v>147</v>
      </c>
      <c r="N1" s="62"/>
      <c r="O1" s="62"/>
      <c r="P1" s="62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  <c r="AC1" s="83"/>
      <c r="AD1" s="61"/>
      <c r="AE1" s="61"/>
      <c r="AF1" s="61"/>
      <c r="AG1" s="61"/>
      <c r="AH1" s="61"/>
      <c r="AI1" s="102"/>
      <c r="AJ1" s="61"/>
      <c r="AK1" s="61"/>
      <c r="AL1" s="61"/>
      <c r="AM1" s="24"/>
      <c r="AN1" s="24"/>
      <c r="AO1" s="113"/>
      <c r="AP1" s="24"/>
      <c r="AQ1" s="24"/>
      <c r="AR1" s="24"/>
      <c r="AS1" s="24"/>
    </row>
    <row r="2" s="11" customFormat="1" ht="20.15" customHeight="1" spans="1:46">
      <c r="A2" s="26" t="s">
        <v>0</v>
      </c>
      <c r="B2" s="27" t="s">
        <v>148</v>
      </c>
      <c r="C2" s="28" t="s">
        <v>149</v>
      </c>
      <c r="D2" s="28" t="s">
        <v>150</v>
      </c>
      <c r="E2" s="29" t="s">
        <v>151</v>
      </c>
      <c r="F2" s="30" t="s">
        <v>152</v>
      </c>
      <c r="G2" s="29" t="s">
        <v>153</v>
      </c>
      <c r="H2" s="29" t="s">
        <v>154</v>
      </c>
      <c r="I2" s="29" t="s">
        <v>155</v>
      </c>
      <c r="J2" s="63" t="s">
        <v>156</v>
      </c>
      <c r="K2" s="29" t="s">
        <v>157</v>
      </c>
      <c r="L2" s="29" t="s">
        <v>158</v>
      </c>
      <c r="M2" s="64" t="s">
        <v>159</v>
      </c>
      <c r="N2" s="65"/>
      <c r="O2" s="65"/>
      <c r="P2" s="66"/>
      <c r="Q2" s="30" t="s">
        <v>160</v>
      </c>
      <c r="R2" s="29" t="s">
        <v>161</v>
      </c>
      <c r="S2" s="30" t="s">
        <v>162</v>
      </c>
      <c r="T2" s="84" t="s">
        <v>163</v>
      </c>
      <c r="U2" s="30" t="s">
        <v>164</v>
      </c>
      <c r="V2" s="85" t="s">
        <v>165</v>
      </c>
      <c r="W2" s="86"/>
      <c r="X2" s="86"/>
      <c r="Y2" s="86"/>
      <c r="Z2" s="86"/>
      <c r="AA2" s="94"/>
      <c r="AB2" s="30" t="s">
        <v>166</v>
      </c>
      <c r="AC2" s="30" t="s">
        <v>167</v>
      </c>
      <c r="AD2" s="84" t="s">
        <v>168</v>
      </c>
      <c r="AE2" s="84" t="s">
        <v>169</v>
      </c>
      <c r="AF2" s="84" t="s">
        <v>170</v>
      </c>
      <c r="AG2" s="84" t="s">
        <v>171</v>
      </c>
      <c r="AH2" s="103" t="s">
        <v>172</v>
      </c>
      <c r="AI2" s="104" t="s">
        <v>173</v>
      </c>
      <c r="AJ2" s="103" t="s">
        <v>144</v>
      </c>
      <c r="AK2" s="28" t="s">
        <v>22</v>
      </c>
      <c r="AL2" s="103" t="s">
        <v>174</v>
      </c>
      <c r="AM2" s="29" t="s">
        <v>216</v>
      </c>
      <c r="AN2" s="29" t="s">
        <v>217</v>
      </c>
      <c r="AO2" s="114" t="s">
        <v>218</v>
      </c>
      <c r="AP2" s="29" t="s">
        <v>219</v>
      </c>
      <c r="AQ2" s="29" t="s">
        <v>220</v>
      </c>
      <c r="AR2" s="30" t="s">
        <v>221</v>
      </c>
      <c r="AS2" s="30" t="s">
        <v>222</v>
      </c>
      <c r="AT2" s="30" t="s">
        <v>223</v>
      </c>
    </row>
    <row r="3" s="11" customFormat="1" ht="27" customHeight="1" spans="1:46">
      <c r="A3" s="31"/>
      <c r="B3" s="32"/>
      <c r="C3" s="33"/>
      <c r="D3" s="33"/>
      <c r="E3" s="34"/>
      <c r="F3" s="35"/>
      <c r="G3" s="34"/>
      <c r="H3" s="34"/>
      <c r="I3" s="34"/>
      <c r="J3" s="67"/>
      <c r="K3" s="34"/>
      <c r="L3" s="34"/>
      <c r="M3" s="68" t="s">
        <v>175</v>
      </c>
      <c r="N3" s="68" t="s">
        <v>176</v>
      </c>
      <c r="O3" s="68" t="s">
        <v>177</v>
      </c>
      <c r="P3" s="68" t="s">
        <v>37</v>
      </c>
      <c r="Q3" s="35"/>
      <c r="R3" s="34"/>
      <c r="S3" s="35"/>
      <c r="T3" s="87"/>
      <c r="U3" s="35"/>
      <c r="V3" s="88" t="s">
        <v>178</v>
      </c>
      <c r="W3" s="88" t="s">
        <v>179</v>
      </c>
      <c r="X3" s="88" t="s">
        <v>180</v>
      </c>
      <c r="Y3" s="88" t="s">
        <v>181</v>
      </c>
      <c r="Z3" s="88" t="s">
        <v>182</v>
      </c>
      <c r="AA3" s="88" t="s">
        <v>183</v>
      </c>
      <c r="AB3" s="35"/>
      <c r="AC3" s="35"/>
      <c r="AD3" s="87"/>
      <c r="AE3" s="87"/>
      <c r="AF3" s="87"/>
      <c r="AG3" s="87"/>
      <c r="AH3" s="105"/>
      <c r="AI3" s="106"/>
      <c r="AJ3" s="105"/>
      <c r="AK3" s="33"/>
      <c r="AL3" s="105"/>
      <c r="AM3" s="34"/>
      <c r="AN3" s="34"/>
      <c r="AO3" s="115"/>
      <c r="AP3" s="34"/>
      <c r="AQ3" s="34"/>
      <c r="AR3" s="35"/>
      <c r="AS3" s="35"/>
      <c r="AT3" s="35"/>
    </row>
    <row r="4" s="12" customFormat="1" ht="18" customHeight="1" spans="1:48">
      <c r="A4" s="36">
        <v>1</v>
      </c>
      <c r="B4" s="37" t="s">
        <v>184</v>
      </c>
      <c r="C4" s="37" t="s">
        <v>61</v>
      </c>
      <c r="D4" s="37" t="s">
        <v>120</v>
      </c>
      <c r="E4" s="37" t="s">
        <v>62</v>
      </c>
      <c r="F4" s="38" t="s">
        <v>185</v>
      </c>
      <c r="G4" s="39">
        <v>13944441728</v>
      </c>
      <c r="H4" s="40"/>
      <c r="I4" s="40"/>
      <c r="J4" s="69"/>
      <c r="K4" s="40"/>
      <c r="L4" s="70">
        <f>VLOOKUP(C4,[2]Sheet1!$B$2:$C$16,2,0)</f>
        <v>8000</v>
      </c>
      <c r="M4" s="71">
        <f>VLOOKUP(C4,[2]Sheet1!$B$2:$D$16,3,0)</f>
        <v>319.46</v>
      </c>
      <c r="N4" s="71">
        <f>VLOOKUP(C4,[2]Sheet1!$B$2:$F$16,5,0)</f>
        <v>79.86</v>
      </c>
      <c r="O4" s="71">
        <f>VLOOKUP(C4,[2]Sheet1!$B$1:$E$16,4,0)</f>
        <v>11.98</v>
      </c>
      <c r="P4" s="71">
        <f>VLOOKUP(C4,[2]Sheet1!$B$2:$H$16,7,0)</f>
        <v>177.4</v>
      </c>
      <c r="Q4" s="89">
        <f t="shared" ref="Q4:Q7" si="0">ROUND(SUM(M4:P4),2)</f>
        <v>588.7</v>
      </c>
      <c r="R4" s="70">
        <v>0</v>
      </c>
      <c r="S4" s="90">
        <f>L4+IFERROR(VLOOKUP($E:$E,'（居民）工资表-4月'!$E:$S,15,0),0)</f>
        <v>32000</v>
      </c>
      <c r="T4" s="91">
        <f>5000+IFERROR(VLOOKUP($E:$E,'（居民）工资表-4月'!$E:$T,16,0),0)</f>
        <v>20000</v>
      </c>
      <c r="U4" s="91">
        <f>Q4+IFERROR(VLOOKUP($E:$E,'（居民）工资表-4月'!$E:$U,17,0),0)</f>
        <v>2387.13</v>
      </c>
      <c r="V4" s="70"/>
      <c r="W4" s="70"/>
      <c r="X4" s="70"/>
      <c r="Y4" s="70"/>
      <c r="Z4" s="70"/>
      <c r="AA4" s="70"/>
      <c r="AB4" s="90">
        <f t="shared" ref="AB4:AB7" si="1">ROUND(SUM(V4:AA4),2)</f>
        <v>0</v>
      </c>
      <c r="AC4" s="90">
        <f>R4+IFERROR(VLOOKUP($E:$E,'（居民）工资表-4月'!$E:$AC,25,0),0)</f>
        <v>0</v>
      </c>
      <c r="AD4" s="95">
        <f t="shared" ref="AD4:AD7" si="2">ROUND(S4-T4-U4-AB4-AC4,2)</f>
        <v>9612.87</v>
      </c>
      <c r="AE4" s="96">
        <f>ROUND(MAX((AD4)*{0.03;0.1;0.2;0.25;0.3;0.35;0.45}-{0;2520;16920;31920;52920;85920;181920},0),2)</f>
        <v>288.39</v>
      </c>
      <c r="AF4" s="97">
        <f>IFERROR(VLOOKUP(E:E,'（居民）工资表-4月'!E:AF,28,0)+VLOOKUP(E:E,'（居民）工资表-4月'!E:AG,29,0),0)</f>
        <v>216.05</v>
      </c>
      <c r="AG4" s="97">
        <f t="shared" ref="AG4:AG6" si="3">IF((AE4-AF4)&lt;0,0,AE4-AF4)</f>
        <v>72.34</v>
      </c>
      <c r="AH4" s="107">
        <f t="shared" ref="AH4:AH6" si="4">ROUND(IF((L4-Q4-AG4)&lt;0,0,(L4-Q4-AG4)),2)</f>
        <v>7338.96</v>
      </c>
      <c r="AI4" s="108"/>
      <c r="AJ4" s="107">
        <f t="shared" ref="AJ4:AJ7" si="5">AH4+AI4</f>
        <v>7338.96</v>
      </c>
      <c r="AK4" s="109"/>
      <c r="AL4" s="107">
        <f t="shared" ref="AL4:AL7" si="6">AJ4+AG4+AK4</f>
        <v>7411.3</v>
      </c>
      <c r="AM4" s="109"/>
      <c r="AN4" s="109"/>
      <c r="AO4" s="109"/>
      <c r="AP4" s="109"/>
      <c r="AQ4" s="109"/>
      <c r="AR4" s="116" t="str">
        <f t="shared" ref="AR4:AR7" si="7">IF(LEN(E4)=18,IF(RIGHT(E4,1)="X",IF(CHOOSE(MOD(SUM(LEFT(RIGHT(E4,18))*7+LEFT(RIGHT(E4,17))*9+LEFT(RIGHT(E4,16))*10+LEFT(RIGHT(E4,15))*5+LEFT(RIGHT(E4,14))*8+LEFT(RIGHT(E4,13))*4+LEFT(RIGHT(E4,12))*2+LEFT(RIGHT(E4,11))*1+LEFT(RIGHT(E4,10))*6+LEFT(RIGHT(E4,9))*3+LEFT(RIGHT(E4,8))*7+LEFT(RIGHT(E4,7))*9+LEFT(RIGHT(E4,6))*10+LEFT(RIGHT(E4,5))*5+LEFT(RIGHT(E4,4))*8+LEFT(RIGHT(E4,3))*4+LEFT(RIGHT(E4,2))*2),11)+1,1,0,"X",9,8,7,6,5,4,3,2)=LEFT(RIGHT(E4,1)),"正确","错误"),IF(CHOOSE(MOD(SUM(LEFT(RIGHT(E4,18))*7+LEFT(RIGHT(E4,17))*9+LEFT(RIGHT(E4,16))*10+LEFT(RIGHT(E4,15))*5+LEFT(RIGHT(E4,14))*8+LEFT(RIGHT(E4,13))*4+LEFT(RIGHT(E4,12))*2+LEFT(RIGHT(E4,11))*1+LEFT(RIGHT(E4,10))*6+LEFT(RIGHT(E4,9))*3+LEFT(RIGHT(E4,8))*7+LEFT(RIGHT(E4,7))*9+LEFT(RIGHT(E4,6))*10+LEFT(RIGHT(E4,5))*5+LEFT(RIGHT(E4,4))*8+LEFT(RIGHT(E4,3))*4+LEFT(RIGHT(E4,2))*2),11)+1,1,0,"X",9,8,7,6,5,4,3,2)=LEFT(RIGHT(E4,1))*1,"正确","错误")),IF(LEN(E4)=15,"老号，请注意！",IF(LEN(E4)=0,"未填写身份证号码","位数不对！")))</f>
        <v>正确</v>
      </c>
      <c r="AS4" s="116" t="str">
        <f>IF(SUMPRODUCT(N(E$1:E$7=E4))&gt;1,"重复","不")</f>
        <v>不</v>
      </c>
      <c r="AT4" s="116" t="str">
        <f>IF(SUMPRODUCT(N(AO$1:AO$7=AO4))&gt;1,"重复","不")</f>
        <v>重复</v>
      </c>
      <c r="AU4" s="12" t="s">
        <v>186</v>
      </c>
      <c r="AV4" s="12" t="s">
        <v>51</v>
      </c>
    </row>
    <row r="5" s="12" customFormat="1" ht="18" customHeight="1" spans="1:48">
      <c r="A5" s="36">
        <v>2</v>
      </c>
      <c r="B5" s="37" t="s">
        <v>184</v>
      </c>
      <c r="C5" s="37" t="s">
        <v>121</v>
      </c>
      <c r="D5" s="37" t="s">
        <v>120</v>
      </c>
      <c r="E5" s="352" t="s">
        <v>122</v>
      </c>
      <c r="F5" s="38" t="s">
        <v>187</v>
      </c>
      <c r="G5" s="39">
        <v>15360550807</v>
      </c>
      <c r="H5" s="40"/>
      <c r="I5" s="40"/>
      <c r="J5" s="69"/>
      <c r="K5" s="40"/>
      <c r="L5" s="70">
        <f>VLOOKUP(C5,[2]Sheet1!$B$2:$C$16,2,0)</f>
        <v>5700</v>
      </c>
      <c r="M5" s="71">
        <f>VLOOKUP(C5,[2]Sheet1!$B$2:$D$16,3,0)</f>
        <v>422.72</v>
      </c>
      <c r="N5" s="71">
        <f>VLOOKUP(C5,[2]Sheet1!$B$2:$F$16,5,0)</f>
        <v>119.92</v>
      </c>
      <c r="O5" s="71">
        <f>VLOOKUP(C5,[2]Sheet1!$B$1:$E$16,4,0)</f>
        <v>4.6</v>
      </c>
      <c r="P5" s="71">
        <f>VLOOKUP(C5,[2]Sheet1!$B$2:$H$16,7,0)</f>
        <v>115</v>
      </c>
      <c r="Q5" s="89">
        <f t="shared" si="0"/>
        <v>662.24</v>
      </c>
      <c r="R5" s="70">
        <v>0</v>
      </c>
      <c r="S5" s="90">
        <f>L5+IFERROR(VLOOKUP($E:$E,'（居民）工资表-4月'!$E:$S,15,0),0)</f>
        <v>23260</v>
      </c>
      <c r="T5" s="91">
        <f>5000+IFERROR(VLOOKUP($E:$E,'（居民）工资表-4月'!$E:$T,16,0),0)</f>
        <v>20000</v>
      </c>
      <c r="U5" s="91">
        <f>Q5+IFERROR(VLOOKUP($E:$E,'（居民）工资表-4月'!$E:$U,17,0),0)</f>
        <v>2800.4</v>
      </c>
      <c r="V5" s="70"/>
      <c r="W5" s="70"/>
      <c r="X5" s="70"/>
      <c r="Y5" s="70"/>
      <c r="Z5" s="70"/>
      <c r="AA5" s="70"/>
      <c r="AB5" s="90">
        <f t="shared" si="1"/>
        <v>0</v>
      </c>
      <c r="AC5" s="90">
        <f>R5+IFERROR(VLOOKUP($E:$E,'（居民）工资表-4月'!$E:$AC,25,0),0)</f>
        <v>0</v>
      </c>
      <c r="AD5" s="95">
        <f t="shared" si="2"/>
        <v>459.6</v>
      </c>
      <c r="AE5" s="96">
        <f>ROUND(MAX((AD5)*{0.03;0.1;0.2;0.25;0.3;0.35;0.45}-{0;2520;16920;31920;52920;85920;181920},0),2)</f>
        <v>13.79</v>
      </c>
      <c r="AF5" s="97">
        <f>IFERROR(VLOOKUP(E:E,'（居民）工资表-4月'!E:AF,28,0)+VLOOKUP(E:E,'（居民）工资表-4月'!E:AG,29,0),0)</f>
        <v>12.66</v>
      </c>
      <c r="AG5" s="97">
        <f t="shared" si="3"/>
        <v>1.13</v>
      </c>
      <c r="AH5" s="107">
        <f t="shared" si="4"/>
        <v>5036.63</v>
      </c>
      <c r="AI5" s="108"/>
      <c r="AJ5" s="107">
        <f t="shared" si="5"/>
        <v>5036.63</v>
      </c>
      <c r="AK5" s="109"/>
      <c r="AL5" s="107">
        <f t="shared" si="6"/>
        <v>5037.76</v>
      </c>
      <c r="AM5" s="109"/>
      <c r="AN5" s="109"/>
      <c r="AO5" s="109"/>
      <c r="AP5" s="109"/>
      <c r="AQ5" s="109"/>
      <c r="AR5" s="116" t="str">
        <f t="shared" si="7"/>
        <v>正确</v>
      </c>
      <c r="AS5" s="116" t="str">
        <f>IF(SUMPRODUCT(N(E$1:E$7=E5))&gt;1,"重复","不")</f>
        <v>不</v>
      </c>
      <c r="AT5" s="116" t="str">
        <f>IF(SUMPRODUCT(N(AO$1:AO$7=AO5))&gt;1,"重复","不")</f>
        <v>重复</v>
      </c>
      <c r="AU5" s="12" t="s">
        <v>50</v>
      </c>
      <c r="AV5" s="12" t="s">
        <v>51</v>
      </c>
    </row>
    <row r="6" s="12" customFormat="1" ht="18" customHeight="1" spans="1:48">
      <c r="A6" s="36">
        <v>3</v>
      </c>
      <c r="B6" s="37" t="s">
        <v>184</v>
      </c>
      <c r="C6" s="37" t="s">
        <v>123</v>
      </c>
      <c r="D6" s="37" t="s">
        <v>120</v>
      </c>
      <c r="E6" s="352" t="s">
        <v>124</v>
      </c>
      <c r="F6" s="38" t="s">
        <v>185</v>
      </c>
      <c r="G6" s="39" t="s">
        <v>125</v>
      </c>
      <c r="H6" s="40"/>
      <c r="I6" s="40"/>
      <c r="J6" s="69"/>
      <c r="K6" s="40"/>
      <c r="L6" s="70">
        <f>VLOOKUP(C6,[2]Sheet1!$B$2:$C$16,2,0)</f>
        <v>30060</v>
      </c>
      <c r="M6" s="71">
        <f>VLOOKUP(C6,[2]Sheet1!$B$2:$D$16,3,0)</f>
        <v>584.8</v>
      </c>
      <c r="N6" s="71">
        <f>VLOOKUP(C6,[2]Sheet1!$B$2:$F$16,5,0)</f>
        <v>146.2</v>
      </c>
      <c r="O6" s="71">
        <f>VLOOKUP(C6,[2]Sheet1!$B$1:$E$16,4,0)</f>
        <v>36.55</v>
      </c>
      <c r="P6" s="71">
        <f>VLOOKUP(C6,[2]Sheet1!$B$2:$H$16,7,0)</f>
        <v>181</v>
      </c>
      <c r="Q6" s="89">
        <f t="shared" si="0"/>
        <v>948.55</v>
      </c>
      <c r="R6" s="70">
        <v>0</v>
      </c>
      <c r="S6" s="90">
        <f>L6+IFERROR(VLOOKUP($E:$E,'（居民）工资表-4月'!$E:$S,15,0),0)</f>
        <v>120240</v>
      </c>
      <c r="T6" s="91">
        <f>5000+IFERROR(VLOOKUP($E:$E,'（居民）工资表-4月'!$E:$T,16,0),0)</f>
        <v>20000</v>
      </c>
      <c r="U6" s="91">
        <f>Q6+IFERROR(VLOOKUP($E:$E,'（居民）工资表-4月'!$E:$U,17,0),0)</f>
        <v>3808.97</v>
      </c>
      <c r="V6" s="70"/>
      <c r="W6" s="70"/>
      <c r="X6" s="70"/>
      <c r="Y6" s="70"/>
      <c r="Z6" s="70"/>
      <c r="AA6" s="70"/>
      <c r="AB6" s="90">
        <f t="shared" si="1"/>
        <v>0</v>
      </c>
      <c r="AC6" s="90">
        <f>R6+IFERROR(VLOOKUP($E:$E,'（居民）工资表-4月'!$E:$AC,25,0),0)</f>
        <v>0</v>
      </c>
      <c r="AD6" s="95">
        <f t="shared" si="2"/>
        <v>96431.03</v>
      </c>
      <c r="AE6" s="96">
        <f>ROUND(MAX((AD6)*{0.03;0.1;0.2;0.25;0.3;0.35;0.45}-{0;2520;16920;31920;52920;85920;181920},0),2)</f>
        <v>7123.1</v>
      </c>
      <c r="AF6" s="97">
        <f>IFERROR(VLOOKUP(E:E,'（居民）工资表-4月'!E:AF,28,0)+VLOOKUP(E:E,'（居民）工资表-4月'!E:AG,29,0),0)</f>
        <v>4711.96</v>
      </c>
      <c r="AG6" s="97">
        <f t="shared" si="3"/>
        <v>2411.14</v>
      </c>
      <c r="AH6" s="107">
        <f t="shared" si="4"/>
        <v>26700.31</v>
      </c>
      <c r="AI6" s="108"/>
      <c r="AJ6" s="107">
        <f t="shared" si="5"/>
        <v>26700.31</v>
      </c>
      <c r="AK6" s="109"/>
      <c r="AL6" s="107">
        <f t="shared" si="6"/>
        <v>29111.45</v>
      </c>
      <c r="AM6" s="109"/>
      <c r="AN6" s="109"/>
      <c r="AO6" s="109"/>
      <c r="AP6" s="109"/>
      <c r="AQ6" s="109"/>
      <c r="AR6" s="116" t="str">
        <f t="shared" si="7"/>
        <v>正确</v>
      </c>
      <c r="AS6" s="116" t="str">
        <f>IF(SUMPRODUCT(N(E$1:E$7=E6))&gt;1,"重复","不")</f>
        <v>不</v>
      </c>
      <c r="AT6" s="116" t="str">
        <f>IF(SUMPRODUCT(N(AO$1:AO$7=AO6))&gt;1,"重复","不")</f>
        <v>重复</v>
      </c>
      <c r="AU6" s="12" t="s">
        <v>188</v>
      </c>
      <c r="AV6" s="12" t="s">
        <v>189</v>
      </c>
    </row>
    <row r="7" s="12" customFormat="1" ht="18" customHeight="1" spans="1:48">
      <c r="A7" s="36">
        <v>4</v>
      </c>
      <c r="B7" s="37" t="s">
        <v>184</v>
      </c>
      <c r="C7" s="37" t="s">
        <v>126</v>
      </c>
      <c r="D7" s="37" t="s">
        <v>120</v>
      </c>
      <c r="E7" s="352" t="s">
        <v>127</v>
      </c>
      <c r="F7" s="38" t="s">
        <v>185</v>
      </c>
      <c r="G7" s="39" t="s">
        <v>128</v>
      </c>
      <c r="H7" s="40"/>
      <c r="I7" s="40"/>
      <c r="J7" s="69"/>
      <c r="K7" s="40"/>
      <c r="L7" s="70">
        <f>VLOOKUP(C7,[2]Sheet1!$B$2:$C$16,2,0)</f>
        <v>9000</v>
      </c>
      <c r="M7" s="71">
        <f>VLOOKUP(C7,[2]Sheet1!$B$2:$D$16,3,0)</f>
        <v>321.52</v>
      </c>
      <c r="N7" s="71">
        <f>VLOOKUP(C7,[2]Sheet1!$B$2:$F$16,5,0)</f>
        <v>89.09</v>
      </c>
      <c r="O7" s="71">
        <f>VLOOKUP(C7,[2]Sheet1!$B$1:$E$16,4,0)</f>
        <v>20.1</v>
      </c>
      <c r="P7" s="71">
        <f>VLOOKUP(C7,[2]Sheet1!$B$2:$H$16,7,0)</f>
        <v>97</v>
      </c>
      <c r="Q7" s="89">
        <f t="shared" si="0"/>
        <v>527.71</v>
      </c>
      <c r="R7" s="70">
        <v>0</v>
      </c>
      <c r="S7" s="90">
        <f>L7+IFERROR(VLOOKUP($E:$E,'（居民）工资表-4月'!$E:$S,15,0),0)</f>
        <v>34000</v>
      </c>
      <c r="T7" s="91">
        <f>5000+IFERROR(VLOOKUP($E:$E,'（居民）工资表-4月'!$E:$T,16,0),0)</f>
        <v>20000</v>
      </c>
      <c r="U7" s="91">
        <f>Q7+IFERROR(VLOOKUP($E:$E,'（居民）工资表-4月'!$E:$U,17,0),0)</f>
        <v>2133.13</v>
      </c>
      <c r="V7" s="70"/>
      <c r="W7" s="70"/>
      <c r="X7" s="70"/>
      <c r="Y7" s="70"/>
      <c r="Z7" s="70"/>
      <c r="AA7" s="70"/>
      <c r="AB7" s="90">
        <f t="shared" si="1"/>
        <v>0</v>
      </c>
      <c r="AC7" s="90">
        <f>R7+IFERROR(VLOOKUP($E:$E,'（居民）工资表-4月'!$E:$AC,25,0),0)</f>
        <v>0</v>
      </c>
      <c r="AD7" s="95">
        <f t="shared" si="2"/>
        <v>11866.87</v>
      </c>
      <c r="AE7" s="96">
        <f>ROUND(MAX((AD7)*{0.03;0.1;0.2;0.25;0.3;0.35;0.45}-{0;2520;16920;31920;52920;85920;181920},0),2)</f>
        <v>356.01</v>
      </c>
      <c r="AF7" s="97">
        <f>IFERROR(VLOOKUP(E:E,'（居民）工资表-4月'!E:AF,28,0)+VLOOKUP(E:E,'（居民）工资表-4月'!E:AG,29,0),0)</f>
        <v>251.84</v>
      </c>
      <c r="AG7" s="97">
        <f t="shared" ref="AG7:AG19" si="8">IF((AE7-AF7)&lt;0,0,AE7-AF7)</f>
        <v>104.17</v>
      </c>
      <c r="AH7" s="107">
        <f t="shared" ref="AH7:AH19" si="9">ROUND(IF((L7-Q7-AG7)&lt;0,0,(L7-Q7-AG7)),2)</f>
        <v>8368.12</v>
      </c>
      <c r="AI7" s="108"/>
      <c r="AJ7" s="107">
        <f t="shared" si="5"/>
        <v>8368.12</v>
      </c>
      <c r="AK7" s="109"/>
      <c r="AL7" s="107">
        <f t="shared" si="6"/>
        <v>8472.29</v>
      </c>
      <c r="AM7" s="109"/>
      <c r="AN7" s="109"/>
      <c r="AO7" s="109"/>
      <c r="AP7" s="109"/>
      <c r="AQ7" s="109"/>
      <c r="AR7" s="116" t="str">
        <f t="shared" si="7"/>
        <v>正确</v>
      </c>
      <c r="AS7" s="116" t="str">
        <f>IF(SUMPRODUCT(N(E$1:E$7=E7))&gt;1,"重复","不")</f>
        <v>不</v>
      </c>
      <c r="AT7" s="116" t="str">
        <f>IF(SUMPRODUCT(N(AO$1:AO$7=AO7))&gt;1,"重复","不")</f>
        <v>重复</v>
      </c>
      <c r="AU7" s="12" t="s">
        <v>190</v>
      </c>
      <c r="AV7" s="12" t="s">
        <v>51</v>
      </c>
    </row>
    <row r="8" s="12" customFormat="1" ht="18" customHeight="1" spans="1:48">
      <c r="A8" s="36">
        <v>5</v>
      </c>
      <c r="B8" s="37" t="s">
        <v>184</v>
      </c>
      <c r="C8" s="37" t="s">
        <v>129</v>
      </c>
      <c r="D8" s="37" t="s">
        <v>120</v>
      </c>
      <c r="E8" s="352" t="s">
        <v>130</v>
      </c>
      <c r="F8" s="38" t="s">
        <v>185</v>
      </c>
      <c r="G8" s="39">
        <v>19356875630</v>
      </c>
      <c r="H8" s="40"/>
      <c r="I8" s="40"/>
      <c r="J8" s="69"/>
      <c r="K8" s="40"/>
      <c r="L8" s="70">
        <f>VLOOKUP(C8,[2]Sheet1!$B$2:$C$16,2,0)</f>
        <v>10500</v>
      </c>
      <c r="M8" s="71">
        <f>VLOOKUP(C8,[2]Sheet1!$B$2:$D$16,3,0)</f>
        <v>321.52</v>
      </c>
      <c r="N8" s="71">
        <f>VLOOKUP(C8,[2]Sheet1!$B$2:$F$16,5,0)</f>
        <v>86.38</v>
      </c>
      <c r="O8" s="71">
        <f>VLOOKUP(C8,[2]Sheet1!$B$1:$E$16,4,0)</f>
        <v>20.1</v>
      </c>
      <c r="P8" s="71">
        <f>VLOOKUP(C8,[2]Sheet1!$B$2:$H$16,7,0)</f>
        <v>344</v>
      </c>
      <c r="Q8" s="89">
        <f t="shared" ref="Q8:Q19" si="10">ROUND(SUM(M8:P8),2)</f>
        <v>772</v>
      </c>
      <c r="R8" s="70">
        <v>0</v>
      </c>
      <c r="S8" s="90">
        <f>L8+IFERROR(VLOOKUP($E:$E,'（居民）工资表-4月'!$E:$S,15,0),0)</f>
        <v>42000</v>
      </c>
      <c r="T8" s="91">
        <f>5000+IFERROR(VLOOKUP($E:$E,'（居民）工资表-4月'!$E:$T,16,0),0)</f>
        <v>20000</v>
      </c>
      <c r="U8" s="91">
        <f>Q8+IFERROR(VLOOKUP($E:$E,'（居民）工资表-4月'!$E:$U,17,0),0)</f>
        <v>3109.84</v>
      </c>
      <c r="V8" s="70"/>
      <c r="W8" s="70"/>
      <c r="X8" s="70"/>
      <c r="Y8" s="70"/>
      <c r="Z8" s="70"/>
      <c r="AA8" s="70"/>
      <c r="AB8" s="90">
        <f t="shared" ref="AB8:AB19" si="11">ROUND(SUM(V8:AA8),2)</f>
        <v>0</v>
      </c>
      <c r="AC8" s="90">
        <f>R8+IFERROR(VLOOKUP($E:$E,'（居民）工资表-4月'!$E:$AC,25,0),0)</f>
        <v>0</v>
      </c>
      <c r="AD8" s="95">
        <f t="shared" ref="AD8:AD19" si="12">ROUND(S8-T8-U8-AB8-AC8,2)</f>
        <v>18890.16</v>
      </c>
      <c r="AE8" s="96">
        <f>ROUND(MAX((AD8)*{0.03;0.1;0.2;0.25;0.3;0.35;0.45}-{0;2520;16920;31920;52920;85920;181920},0),2)</f>
        <v>566.7</v>
      </c>
      <c r="AF8" s="97">
        <f>IFERROR(VLOOKUP(E:E,'（居民）工资表-4月'!E:AF,28,0)+VLOOKUP(E:E,'（居民）工资表-4月'!E:AG,29,0),0)</f>
        <v>424.86</v>
      </c>
      <c r="AG8" s="97">
        <f t="shared" si="8"/>
        <v>141.84</v>
      </c>
      <c r="AH8" s="107">
        <f t="shared" si="9"/>
        <v>9586.16</v>
      </c>
      <c r="AI8" s="108"/>
      <c r="AJ8" s="107">
        <f t="shared" ref="AJ8:AJ19" si="13">AH8+AI8</f>
        <v>9586.16</v>
      </c>
      <c r="AK8" s="109"/>
      <c r="AL8" s="107">
        <f t="shared" ref="AL8:AL19" si="14">AJ8+AG8+AK8</f>
        <v>9728</v>
      </c>
      <c r="AM8" s="109"/>
      <c r="AN8" s="109"/>
      <c r="AO8" s="109"/>
      <c r="AP8" s="109"/>
      <c r="AQ8" s="109"/>
      <c r="AR8" s="116" t="str">
        <f t="shared" ref="AR8:AR19" si="15">IF(LEN(E8)=18,IF(RIGHT(E8,1)="X",IF(CHOOSE(MOD(SUM(LEFT(RIGHT(E8,18))*7+LEFT(RIGHT(E8,17))*9+LEFT(RIGHT(E8,16))*10+LEFT(RIGHT(E8,15))*5+LEFT(RIGHT(E8,14))*8+LEFT(RIGHT(E8,13))*4+LEFT(RIGHT(E8,12))*2+LEFT(RIGHT(E8,11))*1+LEFT(RIGHT(E8,10))*6+LEFT(RIGHT(E8,9))*3+LEFT(RIGHT(E8,8))*7+LEFT(RIGHT(E8,7))*9+LEFT(RIGHT(E8,6))*10+LEFT(RIGHT(E8,5))*5+LEFT(RIGHT(E8,4))*8+LEFT(RIGHT(E8,3))*4+LEFT(RIGHT(E8,2))*2),11)+1,1,0,"X",9,8,7,6,5,4,3,2)=LEFT(RIGHT(E8,1)),"正确","错误"),IF(CHOOSE(MOD(SUM(LEFT(RIGHT(E8,18))*7+LEFT(RIGHT(E8,17))*9+LEFT(RIGHT(E8,16))*10+LEFT(RIGHT(E8,15))*5+LEFT(RIGHT(E8,14))*8+LEFT(RIGHT(E8,13))*4+LEFT(RIGHT(E8,12))*2+LEFT(RIGHT(E8,11))*1+LEFT(RIGHT(E8,10))*6+LEFT(RIGHT(E8,9))*3+LEFT(RIGHT(E8,8))*7+LEFT(RIGHT(E8,7))*9+LEFT(RIGHT(E8,6))*10+LEFT(RIGHT(E8,5))*5+LEFT(RIGHT(E8,4))*8+LEFT(RIGHT(E8,3))*4+LEFT(RIGHT(E8,2))*2),11)+1,1,0,"X",9,8,7,6,5,4,3,2)=LEFT(RIGHT(E8,1))*1,"正确","错误")),IF(LEN(E8)=15,"老号，请注意！",IF(LEN(E8)=0,"未填写身份证号码","位数不对！")))</f>
        <v>正确</v>
      </c>
      <c r="AS8" s="116" t="str">
        <f t="shared" ref="AS8:AS16" si="16">IF(SUMPRODUCT(N(E$1:E$7=E8))&gt;1,"重复","不")</f>
        <v>不</v>
      </c>
      <c r="AT8" s="116" t="str">
        <f t="shared" ref="AT8:AT16" si="17">IF(SUMPRODUCT(N(AO$1:AO$7=AO8))&gt;1,"重复","不")</f>
        <v>重复</v>
      </c>
      <c r="AU8" s="12" t="s">
        <v>190</v>
      </c>
      <c r="AV8" s="12" t="s">
        <v>51</v>
      </c>
    </row>
    <row r="9" s="12" customFormat="1" ht="18" customHeight="1" spans="1:48">
      <c r="A9" s="36">
        <v>6</v>
      </c>
      <c r="B9" s="37" t="s">
        <v>184</v>
      </c>
      <c r="C9" s="37" t="s">
        <v>131</v>
      </c>
      <c r="D9" s="37" t="s">
        <v>120</v>
      </c>
      <c r="E9" s="352" t="s">
        <v>132</v>
      </c>
      <c r="F9" s="38" t="s">
        <v>185</v>
      </c>
      <c r="G9" s="39">
        <v>13973652684</v>
      </c>
      <c r="H9" s="40"/>
      <c r="I9" s="40"/>
      <c r="J9" s="69"/>
      <c r="K9" s="40"/>
      <c r="L9" s="70">
        <f>VLOOKUP(C9,[2]Sheet1!$B$2:$C$16,2,0)</f>
        <v>6500</v>
      </c>
      <c r="M9" s="71">
        <f>VLOOKUP(C9,[2]Sheet1!$B$2:$D$16,3,0)</f>
        <v>324.24</v>
      </c>
      <c r="N9" s="71">
        <f>VLOOKUP(C9,[2]Sheet1!$B$2:$F$16,5,0)</f>
        <v>90.4</v>
      </c>
      <c r="O9" s="71">
        <f>VLOOKUP(C9,[2]Sheet1!$B$1:$E$16,4,0)</f>
        <v>12.16</v>
      </c>
      <c r="P9" s="71">
        <f>VLOOKUP(C9,[2]Sheet1!$B$2:$H$16,7,0)</f>
        <v>100</v>
      </c>
      <c r="Q9" s="89">
        <f t="shared" si="10"/>
        <v>526.8</v>
      </c>
      <c r="R9" s="70">
        <v>0</v>
      </c>
      <c r="S9" s="90">
        <f>L9+IFERROR(VLOOKUP($E:$E,'（居民）工资表-4月'!$E:$S,15,0),0)</f>
        <v>26000</v>
      </c>
      <c r="T9" s="91">
        <f>5000+IFERROR(VLOOKUP($E:$E,'（居民）工资表-4月'!$E:$T,16,0),0)</f>
        <v>20000</v>
      </c>
      <c r="U9" s="91">
        <f>Q9+IFERROR(VLOOKUP($E:$E,'（居民）工资表-4月'!$E:$U,17,0),0)</f>
        <v>2110.18</v>
      </c>
      <c r="V9" s="70"/>
      <c r="W9" s="70"/>
      <c r="X9" s="70"/>
      <c r="Y9" s="70"/>
      <c r="Z9" s="70"/>
      <c r="AA9" s="70"/>
      <c r="AB9" s="90">
        <f t="shared" si="11"/>
        <v>0</v>
      </c>
      <c r="AC9" s="90">
        <f>R9+IFERROR(VLOOKUP($E:$E,'（居民）工资表-4月'!$E:$AC,25,0),0)</f>
        <v>0</v>
      </c>
      <c r="AD9" s="95">
        <f t="shared" si="12"/>
        <v>3889.82</v>
      </c>
      <c r="AE9" s="96">
        <f>ROUND(MAX((AD9)*{0.03;0.1;0.2;0.25;0.3;0.35;0.45}-{0;2520;16920;31920;52920;85920;181920},0),2)</f>
        <v>116.69</v>
      </c>
      <c r="AF9" s="97">
        <f>IFERROR(VLOOKUP(E:E,'（居民）工资表-4月'!E:AF,28,0)+VLOOKUP(E:E,'（居民）工资表-4月'!E:AG,29,0),0)</f>
        <v>87.5</v>
      </c>
      <c r="AG9" s="97">
        <f t="shared" si="8"/>
        <v>29.19</v>
      </c>
      <c r="AH9" s="107">
        <f t="shared" si="9"/>
        <v>5944.01</v>
      </c>
      <c r="AI9" s="108"/>
      <c r="AJ9" s="107">
        <f t="shared" si="13"/>
        <v>5944.01</v>
      </c>
      <c r="AK9" s="109"/>
      <c r="AL9" s="107">
        <f t="shared" si="14"/>
        <v>5973.2</v>
      </c>
      <c r="AM9" s="109"/>
      <c r="AN9" s="109"/>
      <c r="AO9" s="109"/>
      <c r="AP9" s="109"/>
      <c r="AQ9" s="109"/>
      <c r="AR9" s="116" t="str">
        <f t="shared" si="15"/>
        <v>正确</v>
      </c>
      <c r="AS9" s="116" t="str">
        <f t="shared" si="16"/>
        <v>不</v>
      </c>
      <c r="AT9" s="116" t="str">
        <f t="shared" si="17"/>
        <v>重复</v>
      </c>
      <c r="AU9" s="12" t="s">
        <v>191</v>
      </c>
      <c r="AV9" s="12" t="s">
        <v>51</v>
      </c>
    </row>
    <row r="10" s="12" customFormat="1" ht="18" customHeight="1" spans="1:48">
      <c r="A10" s="36">
        <v>7</v>
      </c>
      <c r="B10" s="37" t="s">
        <v>184</v>
      </c>
      <c r="C10" s="37" t="s">
        <v>192</v>
      </c>
      <c r="D10" s="37" t="s">
        <v>120</v>
      </c>
      <c r="E10" s="352" t="s">
        <v>193</v>
      </c>
      <c r="F10" s="38" t="s">
        <v>187</v>
      </c>
      <c r="G10" s="39" t="s">
        <v>194</v>
      </c>
      <c r="H10" s="40"/>
      <c r="I10" s="40"/>
      <c r="J10" s="69"/>
      <c r="K10" s="40"/>
      <c r="L10" s="70">
        <f>VLOOKUP(C10,[2]Sheet1!$B$2:$C$16,2,0)</f>
        <v>4525.84</v>
      </c>
      <c r="M10" s="71">
        <f>VLOOKUP(C10,[2]Sheet1!$B$2:$D$16,3,0)</f>
        <v>380.08</v>
      </c>
      <c r="N10" s="71">
        <f>VLOOKUP(C10,[2]Sheet1!$B$2:$F$16,5,0)</f>
        <v>117.02</v>
      </c>
      <c r="O10" s="71">
        <f>VLOOKUP(C10,[2]Sheet1!$B$1:$E$16,4,0)</f>
        <v>23.76</v>
      </c>
      <c r="P10" s="71">
        <f>VLOOKUP(C10,[2]Sheet1!$B$2:$H$16,7,0)</f>
        <v>109</v>
      </c>
      <c r="Q10" s="89">
        <f t="shared" si="10"/>
        <v>629.86</v>
      </c>
      <c r="R10" s="70">
        <v>0</v>
      </c>
      <c r="S10" s="90">
        <f>L10+IFERROR(VLOOKUP($E:$E,'（居民）工资表-4月'!$E:$S,15,0),0)</f>
        <v>18000.42</v>
      </c>
      <c r="T10" s="91">
        <f>5000+IFERROR(VLOOKUP($E:$E,'（居民）工资表-4月'!$E:$T,16,0),0)</f>
        <v>20000</v>
      </c>
      <c r="U10" s="91">
        <f>Q10+IFERROR(VLOOKUP($E:$E,'（居民）工资表-4月'!$E:$U,17,0),0)</f>
        <v>2553.95</v>
      </c>
      <c r="V10" s="70"/>
      <c r="W10" s="70"/>
      <c r="X10" s="70"/>
      <c r="Y10" s="70"/>
      <c r="Z10" s="70"/>
      <c r="AA10" s="70"/>
      <c r="AB10" s="90">
        <f t="shared" si="11"/>
        <v>0</v>
      </c>
      <c r="AC10" s="90">
        <f>R10+IFERROR(VLOOKUP($E:$E,'（居民）工资表-4月'!$E:$AC,25,0),0)</f>
        <v>0</v>
      </c>
      <c r="AD10" s="95">
        <f t="shared" si="12"/>
        <v>-4553.53</v>
      </c>
      <c r="AE10" s="96">
        <f>ROUND(MAX((AD10)*{0.03;0.1;0.2;0.25;0.3;0.35;0.45}-{0;2520;16920;31920;52920;85920;181920},0),2)</f>
        <v>0</v>
      </c>
      <c r="AF10" s="97">
        <f>IFERROR(VLOOKUP(E:E,'（居民）工资表-4月'!E:AF,28,0)+VLOOKUP(E:E,'（居民）工资表-4月'!E:AG,29,0),0)</f>
        <v>0</v>
      </c>
      <c r="AG10" s="97">
        <f t="shared" si="8"/>
        <v>0</v>
      </c>
      <c r="AH10" s="107">
        <f t="shared" si="9"/>
        <v>3895.98</v>
      </c>
      <c r="AI10" s="108"/>
      <c r="AJ10" s="107">
        <f t="shared" si="13"/>
        <v>3895.98</v>
      </c>
      <c r="AK10" s="109"/>
      <c r="AL10" s="107">
        <f t="shared" si="14"/>
        <v>3895.98</v>
      </c>
      <c r="AM10" s="109"/>
      <c r="AN10" s="109"/>
      <c r="AO10" s="109"/>
      <c r="AP10" s="109"/>
      <c r="AQ10" s="109"/>
      <c r="AR10" s="116" t="str">
        <f t="shared" si="15"/>
        <v>正确</v>
      </c>
      <c r="AS10" s="116" t="str">
        <f t="shared" si="16"/>
        <v>不</v>
      </c>
      <c r="AT10" s="116" t="str">
        <f t="shared" si="17"/>
        <v>重复</v>
      </c>
      <c r="AU10" s="12" t="s">
        <v>195</v>
      </c>
      <c r="AV10" s="12" t="s">
        <v>196</v>
      </c>
    </row>
    <row r="11" s="12" customFormat="1" ht="18" customHeight="1" spans="1:48">
      <c r="A11" s="36">
        <v>8</v>
      </c>
      <c r="B11" s="37" t="s">
        <v>184</v>
      </c>
      <c r="C11" s="37" t="s">
        <v>133</v>
      </c>
      <c r="D11" s="37" t="s">
        <v>120</v>
      </c>
      <c r="E11" s="352" t="s">
        <v>134</v>
      </c>
      <c r="F11" s="38" t="s">
        <v>185</v>
      </c>
      <c r="G11" s="39">
        <v>18356553626</v>
      </c>
      <c r="H11" s="40"/>
      <c r="I11" s="40"/>
      <c r="J11" s="69"/>
      <c r="K11" s="40"/>
      <c r="L11" s="70">
        <f>VLOOKUP(C11,[2]Sheet1!$B$2:$C$16,2,0)</f>
        <v>8500</v>
      </c>
      <c r="M11" s="71">
        <f>VLOOKUP(C11,[2]Sheet1!$B$2:$D$16,3,0)</f>
        <v>321.52</v>
      </c>
      <c r="N11" s="71">
        <f>VLOOKUP(C11,[2]Sheet1!$B$2:$F$16,5,0)</f>
        <v>120.38</v>
      </c>
      <c r="O11" s="71">
        <f>VLOOKUP(C11,[2]Sheet1!$B$1:$E$16,4,0)</f>
        <v>20.1</v>
      </c>
      <c r="P11" s="71">
        <f>VLOOKUP(C11,[2]Sheet1!$B$2:$H$16,7,0)</f>
        <v>97</v>
      </c>
      <c r="Q11" s="89">
        <f t="shared" si="10"/>
        <v>559</v>
      </c>
      <c r="R11" s="70">
        <v>0</v>
      </c>
      <c r="S11" s="90">
        <f>L11+IFERROR(VLOOKUP($E:$E,'（居民）工资表-4月'!$E:$S,15,0),0)</f>
        <v>34500</v>
      </c>
      <c r="T11" s="91">
        <f>5000+IFERROR(VLOOKUP($E:$E,'（居民）工资表-4月'!$E:$T,16,0),0)</f>
        <v>20000</v>
      </c>
      <c r="U11" s="91">
        <f>Q11+IFERROR(VLOOKUP($E:$E,'（居民）工资表-4月'!$E:$U,17,0),0)</f>
        <v>2257.84</v>
      </c>
      <c r="V11" s="70"/>
      <c r="W11" s="70"/>
      <c r="X11" s="70"/>
      <c r="Y11" s="70"/>
      <c r="Z11" s="70"/>
      <c r="AA11" s="70"/>
      <c r="AB11" s="90">
        <f t="shared" si="11"/>
        <v>0</v>
      </c>
      <c r="AC11" s="90">
        <f>R11+IFERROR(VLOOKUP($E:$E,'（居民）工资表-4月'!$E:$AC,25,0),0)</f>
        <v>0</v>
      </c>
      <c r="AD11" s="95">
        <f t="shared" si="12"/>
        <v>12242.16</v>
      </c>
      <c r="AE11" s="96">
        <f>ROUND(MAX((AD11)*{0.03;0.1;0.2;0.25;0.3;0.35;0.45}-{0;2520;16920;31920;52920;85920;181920},0),2)</f>
        <v>367.26</v>
      </c>
      <c r="AF11" s="97">
        <f>IFERROR(VLOOKUP(E:E,'（居民）工资表-4月'!E:AF,28,0)+VLOOKUP(E:E,'（居民）工资表-4月'!E:AG,29,0),0)</f>
        <v>279.03</v>
      </c>
      <c r="AG11" s="97">
        <f t="shared" si="8"/>
        <v>88.23</v>
      </c>
      <c r="AH11" s="107">
        <f t="shared" si="9"/>
        <v>7852.77</v>
      </c>
      <c r="AI11" s="108"/>
      <c r="AJ11" s="107">
        <f t="shared" si="13"/>
        <v>7852.77</v>
      </c>
      <c r="AK11" s="109"/>
      <c r="AL11" s="107">
        <f t="shared" si="14"/>
        <v>7941</v>
      </c>
      <c r="AM11" s="109"/>
      <c r="AN11" s="109"/>
      <c r="AO11" s="109"/>
      <c r="AP11" s="109"/>
      <c r="AQ11" s="109"/>
      <c r="AR11" s="116" t="str">
        <f t="shared" si="15"/>
        <v>正确</v>
      </c>
      <c r="AS11" s="116" t="str">
        <f t="shared" si="16"/>
        <v>不</v>
      </c>
      <c r="AT11" s="116" t="str">
        <f t="shared" si="17"/>
        <v>重复</v>
      </c>
      <c r="AU11" s="12" t="s">
        <v>197</v>
      </c>
      <c r="AV11" s="12" t="s">
        <v>198</v>
      </c>
    </row>
    <row r="12" s="12" customFormat="1" ht="18" customHeight="1" spans="1:48">
      <c r="A12" s="36">
        <v>9</v>
      </c>
      <c r="B12" s="37" t="s">
        <v>184</v>
      </c>
      <c r="C12" s="37" t="s">
        <v>135</v>
      </c>
      <c r="D12" s="37" t="s">
        <v>120</v>
      </c>
      <c r="E12" s="352" t="s">
        <v>136</v>
      </c>
      <c r="F12" s="38" t="s">
        <v>185</v>
      </c>
      <c r="G12" s="39">
        <v>18326897140</v>
      </c>
      <c r="H12" s="40"/>
      <c r="I12" s="40"/>
      <c r="J12" s="69"/>
      <c r="K12" s="40"/>
      <c r="L12" s="70">
        <f>VLOOKUP(C12,[2]Sheet1!$B$2:$C$16,2,0)</f>
        <v>7000</v>
      </c>
      <c r="M12" s="71">
        <f>VLOOKUP(C12,[2]Sheet1!$B$2:$D$16,3,0)</f>
        <v>321.52</v>
      </c>
      <c r="N12" s="71">
        <f>VLOOKUP(C12,[2]Sheet1!$B$2:$F$16,5,0)</f>
        <v>86.38</v>
      </c>
      <c r="O12" s="71">
        <f>VLOOKUP(C12,[2]Sheet1!$B$1:$E$16,4,0)</f>
        <v>20.1</v>
      </c>
      <c r="P12" s="71">
        <f>VLOOKUP(C12,[2]Sheet1!$B$2:$H$16,7,0)</f>
        <v>344</v>
      </c>
      <c r="Q12" s="89">
        <f t="shared" si="10"/>
        <v>772</v>
      </c>
      <c r="R12" s="70">
        <v>0</v>
      </c>
      <c r="S12" s="90">
        <f>L12+IFERROR(VLOOKUP($E:$E,'（居民）工资表-4月'!$E:$S,15,0),0)</f>
        <v>28500</v>
      </c>
      <c r="T12" s="91">
        <f>5000+IFERROR(VLOOKUP($E:$E,'（居民）工资表-4月'!$E:$T,16,0),0)</f>
        <v>20000</v>
      </c>
      <c r="U12" s="91">
        <f>Q12+IFERROR(VLOOKUP($E:$E,'（居民）工资表-4月'!$E:$U,17,0),0)</f>
        <v>3109.84</v>
      </c>
      <c r="V12" s="70"/>
      <c r="W12" s="70"/>
      <c r="X12" s="70"/>
      <c r="Y12" s="70"/>
      <c r="Z12" s="70"/>
      <c r="AA12" s="70"/>
      <c r="AB12" s="90">
        <f t="shared" si="11"/>
        <v>0</v>
      </c>
      <c r="AC12" s="90">
        <f>R12+IFERROR(VLOOKUP($E:$E,'（居民）工资表-4月'!$E:$AC,25,0),0)</f>
        <v>0</v>
      </c>
      <c r="AD12" s="95">
        <f t="shared" si="12"/>
        <v>5390.16</v>
      </c>
      <c r="AE12" s="96">
        <f>ROUND(MAX((AD12)*{0.03;0.1;0.2;0.25;0.3;0.35;0.45}-{0;2520;16920;31920;52920;85920;181920},0),2)</f>
        <v>161.7</v>
      </c>
      <c r="AF12" s="97">
        <f>IFERROR(VLOOKUP(E:E,'（居民）工资表-4月'!E:AF,28,0)+VLOOKUP(E:E,'（居民）工资表-4月'!E:AG,29,0),0)</f>
        <v>124.86</v>
      </c>
      <c r="AG12" s="97">
        <f t="shared" si="8"/>
        <v>36.84</v>
      </c>
      <c r="AH12" s="107">
        <f t="shared" si="9"/>
        <v>6191.16</v>
      </c>
      <c r="AI12" s="108"/>
      <c r="AJ12" s="107">
        <f t="shared" si="13"/>
        <v>6191.16</v>
      </c>
      <c r="AK12" s="109"/>
      <c r="AL12" s="107">
        <f t="shared" si="14"/>
        <v>6228</v>
      </c>
      <c r="AM12" s="109"/>
      <c r="AN12" s="109"/>
      <c r="AO12" s="109"/>
      <c r="AP12" s="109"/>
      <c r="AQ12" s="109"/>
      <c r="AR12" s="116" t="str">
        <f t="shared" si="15"/>
        <v>正确</v>
      </c>
      <c r="AS12" s="116" t="str">
        <f t="shared" si="16"/>
        <v>不</v>
      </c>
      <c r="AT12" s="116" t="str">
        <f t="shared" si="17"/>
        <v>重复</v>
      </c>
      <c r="AU12" s="12" t="s">
        <v>190</v>
      </c>
      <c r="AV12" s="12" t="s">
        <v>51</v>
      </c>
    </row>
    <row r="13" s="12" customFormat="1" ht="18" customHeight="1" spans="1:48">
      <c r="A13" s="36">
        <v>10</v>
      </c>
      <c r="B13" s="37" t="s">
        <v>184</v>
      </c>
      <c r="C13" s="37" t="s">
        <v>137</v>
      </c>
      <c r="D13" s="37" t="s">
        <v>120</v>
      </c>
      <c r="E13" s="352" t="s">
        <v>138</v>
      </c>
      <c r="F13" s="38" t="s">
        <v>185</v>
      </c>
      <c r="G13" s="39">
        <v>17201857014</v>
      </c>
      <c r="H13" s="40"/>
      <c r="I13" s="40"/>
      <c r="J13" s="69"/>
      <c r="K13" s="40"/>
      <c r="L13" s="70">
        <f>VLOOKUP(C13,[2]Sheet1!$B$2:$C$16,2,0)</f>
        <v>7000</v>
      </c>
      <c r="M13" s="71">
        <f>VLOOKUP(C13,[2]Sheet1!$B$2:$D$16,3,0)</f>
        <v>321.52</v>
      </c>
      <c r="N13" s="71">
        <f>VLOOKUP(C13,[2]Sheet1!$B$2:$F$16,5,0)</f>
        <v>86.38</v>
      </c>
      <c r="O13" s="71">
        <f>VLOOKUP(C13,[2]Sheet1!$B$1:$E$16,4,0)</f>
        <v>20.1</v>
      </c>
      <c r="P13" s="71">
        <f>VLOOKUP(C13,[2]Sheet1!$B$2:$H$16,7,0)</f>
        <v>344</v>
      </c>
      <c r="Q13" s="89">
        <f t="shared" si="10"/>
        <v>772</v>
      </c>
      <c r="R13" s="70">
        <v>0</v>
      </c>
      <c r="S13" s="90">
        <f>L13+IFERROR(VLOOKUP($E:$E,'（居民）工资表-4月'!$E:$S,15,0),0)</f>
        <v>29000</v>
      </c>
      <c r="T13" s="91">
        <f>5000+IFERROR(VLOOKUP($E:$E,'（居民）工资表-4月'!$E:$T,16,0),0)</f>
        <v>20000</v>
      </c>
      <c r="U13" s="91">
        <f>Q13+IFERROR(VLOOKUP($E:$E,'（居民）工资表-4月'!$E:$U,17,0),0)</f>
        <v>3109.84</v>
      </c>
      <c r="V13" s="70"/>
      <c r="W13" s="70"/>
      <c r="X13" s="70"/>
      <c r="Y13" s="70"/>
      <c r="Z13" s="70"/>
      <c r="AA13" s="70"/>
      <c r="AB13" s="90">
        <f t="shared" si="11"/>
        <v>0</v>
      </c>
      <c r="AC13" s="90">
        <f>R13+IFERROR(VLOOKUP($E:$E,'（居民）工资表-4月'!$E:$AC,25,0),0)</f>
        <v>0</v>
      </c>
      <c r="AD13" s="95">
        <f t="shared" si="12"/>
        <v>5890.16</v>
      </c>
      <c r="AE13" s="96">
        <f>ROUND(MAX((AD13)*{0.03;0.1;0.2;0.25;0.3;0.35;0.45}-{0;2520;16920;31920;52920;85920;181920},0),2)</f>
        <v>176.7</v>
      </c>
      <c r="AF13" s="97">
        <f>IFERROR(VLOOKUP(E:E,'（居民）工资表-4月'!E:AF,28,0)+VLOOKUP(E:E,'（居民）工资表-4月'!E:AG,29,0),0)</f>
        <v>139.86</v>
      </c>
      <c r="AG13" s="97">
        <f t="shared" si="8"/>
        <v>36.84</v>
      </c>
      <c r="AH13" s="107">
        <f t="shared" si="9"/>
        <v>6191.16</v>
      </c>
      <c r="AI13" s="108"/>
      <c r="AJ13" s="107">
        <f t="shared" si="13"/>
        <v>6191.16</v>
      </c>
      <c r="AK13" s="109"/>
      <c r="AL13" s="107">
        <f t="shared" si="14"/>
        <v>6228</v>
      </c>
      <c r="AM13" s="109"/>
      <c r="AN13" s="109"/>
      <c r="AO13" s="109"/>
      <c r="AP13" s="109"/>
      <c r="AQ13" s="109"/>
      <c r="AR13" s="116" t="str">
        <f t="shared" si="15"/>
        <v>正确</v>
      </c>
      <c r="AS13" s="116" t="str">
        <f t="shared" si="16"/>
        <v>不</v>
      </c>
      <c r="AT13" s="116" t="str">
        <f t="shared" si="17"/>
        <v>重复</v>
      </c>
      <c r="AU13" s="12" t="s">
        <v>190</v>
      </c>
      <c r="AV13" s="12" t="s">
        <v>51</v>
      </c>
    </row>
    <row r="14" s="12" customFormat="1" ht="18" customHeight="1" spans="1:48">
      <c r="A14" s="36">
        <v>11</v>
      </c>
      <c r="B14" s="37" t="s">
        <v>184</v>
      </c>
      <c r="C14" s="37" t="s">
        <v>199</v>
      </c>
      <c r="D14" s="37" t="s">
        <v>120</v>
      </c>
      <c r="E14" s="352" t="s">
        <v>200</v>
      </c>
      <c r="F14" s="38" t="s">
        <v>187</v>
      </c>
      <c r="G14" s="39" t="s">
        <v>201</v>
      </c>
      <c r="H14" s="40"/>
      <c r="I14" s="40"/>
      <c r="J14" s="69"/>
      <c r="K14" s="40"/>
      <c r="L14" s="70">
        <f>VLOOKUP(C14,[2]Sheet1!$B$2:$C$16,2,0)</f>
        <v>7000</v>
      </c>
      <c r="M14" s="71">
        <f>VLOOKUP(C14,[2]Sheet1!$B$2:$D$16,3,0)</f>
        <v>321.52</v>
      </c>
      <c r="N14" s="71">
        <f>VLOOKUP(C14,[2]Sheet1!$B$2:$F$16,5,0)</f>
        <v>120.38</v>
      </c>
      <c r="O14" s="71">
        <f>VLOOKUP(C14,[2]Sheet1!$B$1:$E$16,4,0)</f>
        <v>20.1</v>
      </c>
      <c r="P14" s="71">
        <f>VLOOKUP(C14,[2]Sheet1!$B$2:$H$16,7,0)</f>
        <v>97</v>
      </c>
      <c r="Q14" s="89">
        <f t="shared" si="10"/>
        <v>559</v>
      </c>
      <c r="R14" s="70">
        <v>0</v>
      </c>
      <c r="S14" s="90">
        <f>L14+IFERROR(VLOOKUP($E:$E,'（居民）工资表-4月'!$E:$S,15,0),0)</f>
        <v>21000</v>
      </c>
      <c r="T14" s="91">
        <f>5000+IFERROR(VLOOKUP($E:$E,'（居民）工资表-4月'!$E:$T,16,0),0)</f>
        <v>15000</v>
      </c>
      <c r="U14" s="91">
        <f>Q14+IFERROR(VLOOKUP($E:$E,'（居民）工资表-4月'!$E:$U,17,0),0)</f>
        <v>1677</v>
      </c>
      <c r="V14" s="70"/>
      <c r="W14" s="70"/>
      <c r="X14" s="70"/>
      <c r="Y14" s="70"/>
      <c r="Z14" s="70"/>
      <c r="AA14" s="70"/>
      <c r="AB14" s="90">
        <f t="shared" si="11"/>
        <v>0</v>
      </c>
      <c r="AC14" s="90">
        <f>R14+IFERROR(VLOOKUP($E:$E,'（居民）工资表-4月'!$E:$AC,25,0),0)</f>
        <v>0</v>
      </c>
      <c r="AD14" s="95">
        <f t="shared" si="12"/>
        <v>4323</v>
      </c>
      <c r="AE14" s="96">
        <f>ROUND(MAX((AD14)*{0.03;0.1;0.2;0.25;0.3;0.35;0.45}-{0;2520;16920;31920;52920;85920;181920},0),2)</f>
        <v>129.69</v>
      </c>
      <c r="AF14" s="97">
        <f>IFERROR(VLOOKUP(E:E,'（居民）工资表-4月'!E:AF,28,0)+VLOOKUP(E:E,'（居民）工资表-4月'!E:AG,29,0),0)</f>
        <v>86.46</v>
      </c>
      <c r="AG14" s="97">
        <f t="shared" si="8"/>
        <v>43.23</v>
      </c>
      <c r="AH14" s="107">
        <f t="shared" si="9"/>
        <v>6397.77</v>
      </c>
      <c r="AI14" s="108"/>
      <c r="AJ14" s="107">
        <f t="shared" si="13"/>
        <v>6397.77</v>
      </c>
      <c r="AK14" s="109"/>
      <c r="AL14" s="107">
        <f t="shared" si="14"/>
        <v>6441</v>
      </c>
      <c r="AM14" s="109"/>
      <c r="AN14" s="109"/>
      <c r="AO14" s="109"/>
      <c r="AP14" s="109"/>
      <c r="AQ14" s="109"/>
      <c r="AR14" s="116" t="str">
        <f t="shared" si="15"/>
        <v>正确</v>
      </c>
      <c r="AS14" s="116" t="str">
        <f t="shared" si="16"/>
        <v>不</v>
      </c>
      <c r="AT14" s="116" t="str">
        <f t="shared" si="17"/>
        <v>重复</v>
      </c>
      <c r="AU14" s="12" t="s">
        <v>190</v>
      </c>
      <c r="AV14" s="12" t="s">
        <v>51</v>
      </c>
    </row>
    <row r="15" s="12" customFormat="1" ht="18" customHeight="1" spans="1:48">
      <c r="A15" s="36">
        <v>12</v>
      </c>
      <c r="B15" s="37" t="s">
        <v>184</v>
      </c>
      <c r="C15" s="37" t="s">
        <v>202</v>
      </c>
      <c r="D15" s="37" t="s">
        <v>120</v>
      </c>
      <c r="E15" s="352" t="s">
        <v>203</v>
      </c>
      <c r="F15" s="38" t="s">
        <v>187</v>
      </c>
      <c r="G15" s="39">
        <v>15855788591</v>
      </c>
      <c r="H15" s="40"/>
      <c r="I15" s="40"/>
      <c r="J15" s="69"/>
      <c r="K15" s="40"/>
      <c r="L15" s="70">
        <f>VLOOKUP(C15,[2]Sheet1!$B$2:$C$16,2,0)</f>
        <v>6060</v>
      </c>
      <c r="M15" s="71">
        <f>VLOOKUP(C15,[2]Sheet1!$B$2:$D$16,3,0)</f>
        <v>321.52</v>
      </c>
      <c r="N15" s="71">
        <f>VLOOKUP(C15,[2]Sheet1!$B$2:$F$16,5,0)</f>
        <v>89.09</v>
      </c>
      <c r="O15" s="71">
        <f>VLOOKUP(C15,[2]Sheet1!$B$1:$E$16,4,0)</f>
        <v>20.1</v>
      </c>
      <c r="P15" s="71">
        <f>VLOOKUP(C15,[2]Sheet1!$B$2:$H$16,7,0)</f>
        <v>97</v>
      </c>
      <c r="Q15" s="89">
        <f t="shared" si="10"/>
        <v>527.71</v>
      </c>
      <c r="R15" s="70">
        <v>0</v>
      </c>
      <c r="S15" s="90">
        <f>L15+IFERROR(VLOOKUP($E:$E,'（居民）工资表-4月'!$E:$S,15,0),0)</f>
        <v>18420</v>
      </c>
      <c r="T15" s="91">
        <f>5000+IFERROR(VLOOKUP($E:$E,'（居民）工资表-4月'!$E:$T,16,0),0)</f>
        <v>15000</v>
      </c>
      <c r="U15" s="91">
        <f>Q15+IFERROR(VLOOKUP($E:$E,'（居民）工资表-4月'!$E:$U,17,0),0)</f>
        <v>1583.13</v>
      </c>
      <c r="V15" s="70"/>
      <c r="W15" s="70"/>
      <c r="X15" s="70"/>
      <c r="Y15" s="70"/>
      <c r="Z15" s="70"/>
      <c r="AA15" s="70"/>
      <c r="AB15" s="90">
        <f t="shared" si="11"/>
        <v>0</v>
      </c>
      <c r="AC15" s="90">
        <f>R15+IFERROR(VLOOKUP($E:$E,'（居民）工资表-4月'!$E:$AC,25,0),0)</f>
        <v>0</v>
      </c>
      <c r="AD15" s="95">
        <f t="shared" si="12"/>
        <v>1836.87</v>
      </c>
      <c r="AE15" s="96">
        <f>ROUND(MAX((AD15)*{0.03;0.1;0.2;0.25;0.3;0.35;0.45}-{0;2520;16920;31920;52920;85920;181920},0),2)</f>
        <v>55.11</v>
      </c>
      <c r="AF15" s="97">
        <f>IFERROR(VLOOKUP(E:E,'（居民）工资表-4月'!E:AF,28,0)+VLOOKUP(E:E,'（居民）工资表-4月'!E:AG,29,0),0)</f>
        <v>39.14</v>
      </c>
      <c r="AG15" s="97">
        <f t="shared" si="8"/>
        <v>15.97</v>
      </c>
      <c r="AH15" s="107">
        <f t="shared" si="9"/>
        <v>5516.32</v>
      </c>
      <c r="AI15" s="108"/>
      <c r="AJ15" s="107">
        <f t="shared" si="13"/>
        <v>5516.32</v>
      </c>
      <c r="AK15" s="109"/>
      <c r="AL15" s="107">
        <f t="shared" si="14"/>
        <v>5532.29</v>
      </c>
      <c r="AM15" s="109"/>
      <c r="AN15" s="109"/>
      <c r="AO15" s="109"/>
      <c r="AP15" s="109"/>
      <c r="AQ15" s="109"/>
      <c r="AR15" s="116" t="str">
        <f t="shared" si="15"/>
        <v>正确</v>
      </c>
      <c r="AS15" s="116" t="str">
        <f t="shared" si="16"/>
        <v>不</v>
      </c>
      <c r="AT15" s="116" t="str">
        <f t="shared" si="17"/>
        <v>重复</v>
      </c>
      <c r="AU15" s="12" t="s">
        <v>190</v>
      </c>
      <c r="AV15" s="12" t="s">
        <v>51</v>
      </c>
    </row>
    <row r="16" s="12" customFormat="1" ht="18" customHeight="1" spans="1:48">
      <c r="A16" s="36">
        <v>13</v>
      </c>
      <c r="B16" s="37" t="s">
        <v>184</v>
      </c>
      <c r="C16" s="37" t="s">
        <v>139</v>
      </c>
      <c r="D16" s="37" t="s">
        <v>120</v>
      </c>
      <c r="E16" s="352" t="s">
        <v>140</v>
      </c>
      <c r="F16" s="38" t="s">
        <v>187</v>
      </c>
      <c r="G16" s="39"/>
      <c r="H16" s="40"/>
      <c r="I16" s="40"/>
      <c r="J16" s="69"/>
      <c r="K16" s="40"/>
      <c r="L16" s="70">
        <f>VLOOKUP(C16,[2]Sheet1!$B$2:$C$16,2,0)</f>
        <v>6000</v>
      </c>
      <c r="M16" s="71">
        <f>VLOOKUP(C16,[2]Sheet1!$B$2:$D$16,3,0)</f>
        <v>321.52</v>
      </c>
      <c r="N16" s="71">
        <f>VLOOKUP(C16,[2]Sheet1!$B$2:$F$16,5,0)</f>
        <v>80.38</v>
      </c>
      <c r="O16" s="71">
        <f>VLOOKUP(C16,[2]Sheet1!$B$1:$E$16,4,0)</f>
        <v>20.1</v>
      </c>
      <c r="P16" s="71">
        <f>VLOOKUP(C16,[2]Sheet1!$B$2:$H$16,7,0)</f>
        <v>103</v>
      </c>
      <c r="Q16" s="89">
        <f t="shared" si="10"/>
        <v>525</v>
      </c>
      <c r="R16" s="70">
        <v>0</v>
      </c>
      <c r="S16" s="90">
        <f>L16+IFERROR(VLOOKUP($E:$E,'（居民）工资表-4月'!$E:$S,15,0),0)</f>
        <v>24000</v>
      </c>
      <c r="T16" s="91">
        <f>5000+IFERROR(VLOOKUP($E:$E,'（居民）工资表-4月'!$E:$T,16,0),0)</f>
        <v>20000</v>
      </c>
      <c r="U16" s="91">
        <f>Q16+IFERROR(VLOOKUP($E:$E,'（居民）工资表-4月'!$E:$U,17,0),0)</f>
        <v>2121.84</v>
      </c>
      <c r="V16" s="70"/>
      <c r="W16" s="70"/>
      <c r="X16" s="70"/>
      <c r="Y16" s="70"/>
      <c r="Z16" s="70"/>
      <c r="AA16" s="70"/>
      <c r="AB16" s="90">
        <f t="shared" si="11"/>
        <v>0</v>
      </c>
      <c r="AC16" s="90">
        <f>R16+IFERROR(VLOOKUP($E:$E,'（居民）工资表-4月'!$E:$AC,25,0),0)</f>
        <v>0</v>
      </c>
      <c r="AD16" s="95">
        <f t="shared" si="12"/>
        <v>1878.16</v>
      </c>
      <c r="AE16" s="96">
        <f>ROUND(MAX((AD16)*{0.03;0.1;0.2;0.25;0.3;0.35;0.45}-{0;2520;16920;31920;52920;85920;181920},0),2)</f>
        <v>56.34</v>
      </c>
      <c r="AF16" s="97">
        <f>IFERROR(VLOOKUP(E:E,'（居民）工资表-4月'!E:AF,28,0)+VLOOKUP(E:E,'（居民）工资表-4月'!E:AG,29,0),0)</f>
        <v>42.09</v>
      </c>
      <c r="AG16" s="97">
        <f t="shared" si="8"/>
        <v>14.25</v>
      </c>
      <c r="AH16" s="107">
        <f t="shared" si="9"/>
        <v>5460.75</v>
      </c>
      <c r="AI16" s="108"/>
      <c r="AJ16" s="107">
        <f t="shared" si="13"/>
        <v>5460.75</v>
      </c>
      <c r="AK16" s="109"/>
      <c r="AL16" s="107">
        <f t="shared" si="14"/>
        <v>5475</v>
      </c>
      <c r="AM16" s="109"/>
      <c r="AN16" s="109"/>
      <c r="AO16" s="109"/>
      <c r="AP16" s="109"/>
      <c r="AQ16" s="109"/>
      <c r="AR16" s="116" t="str">
        <f t="shared" si="15"/>
        <v>正确</v>
      </c>
      <c r="AS16" s="116" t="str">
        <f t="shared" si="16"/>
        <v>不</v>
      </c>
      <c r="AT16" s="116" t="str">
        <f t="shared" si="17"/>
        <v>重复</v>
      </c>
      <c r="AU16" s="12" t="s">
        <v>190</v>
      </c>
      <c r="AV16" s="12" t="s">
        <v>51</v>
      </c>
    </row>
    <row r="17" s="12" customFormat="1" ht="18" customHeight="1" spans="1:48">
      <c r="A17" s="36">
        <v>14</v>
      </c>
      <c r="B17" s="37" t="s">
        <v>184</v>
      </c>
      <c r="C17" s="37" t="s">
        <v>141</v>
      </c>
      <c r="D17" s="37" t="s">
        <v>120</v>
      </c>
      <c r="E17" s="352" t="s">
        <v>142</v>
      </c>
      <c r="F17" s="38" t="s">
        <v>185</v>
      </c>
      <c r="G17" s="39">
        <v>15056587375</v>
      </c>
      <c r="H17" s="40"/>
      <c r="I17" s="40"/>
      <c r="J17" s="69"/>
      <c r="K17" s="40"/>
      <c r="L17" s="70">
        <f>VLOOKUP(C17,[2]Sheet1!$B$2:$C$16,2,0)</f>
        <v>10000</v>
      </c>
      <c r="M17" s="71">
        <f>VLOOKUP(C17,[2]Sheet1!$B$2:$D$16,3,0)</f>
        <v>321.52</v>
      </c>
      <c r="N17" s="71">
        <f>VLOOKUP(C17,[2]Sheet1!$B$2:$F$16,5,0)</f>
        <v>89.09</v>
      </c>
      <c r="O17" s="71">
        <f>VLOOKUP(C17,[2]Sheet1!$B$1:$E$16,4,0)</f>
        <v>20.1</v>
      </c>
      <c r="P17" s="71">
        <f>VLOOKUP(C17,[2]Sheet1!$B$2:$H$16,7,0)</f>
        <v>97</v>
      </c>
      <c r="Q17" s="89">
        <f t="shared" si="10"/>
        <v>527.71</v>
      </c>
      <c r="R17" s="70">
        <v>0</v>
      </c>
      <c r="S17" s="90">
        <f>L17+IFERROR(VLOOKUP($E:$E,'（居民）工资表-4月'!$E:$S,15,0),0)</f>
        <v>39904.76</v>
      </c>
      <c r="T17" s="91">
        <f>5000+IFERROR(VLOOKUP($E:$E,'（居民）工资表-4月'!$E:$T,16,0),0)</f>
        <v>20000</v>
      </c>
      <c r="U17" s="91">
        <f>Q17+IFERROR(VLOOKUP($E:$E,'（居民）工资表-4月'!$E:$U,17,0),0)</f>
        <v>2133.13</v>
      </c>
      <c r="V17" s="70"/>
      <c r="W17" s="70"/>
      <c r="X17" s="70"/>
      <c r="Y17" s="70"/>
      <c r="Z17" s="70"/>
      <c r="AA17" s="70"/>
      <c r="AB17" s="90">
        <f t="shared" si="11"/>
        <v>0</v>
      </c>
      <c r="AC17" s="90">
        <f>R17+IFERROR(VLOOKUP($E:$E,'（居民）工资表-4月'!$E:$AC,25,0),0)</f>
        <v>0</v>
      </c>
      <c r="AD17" s="95">
        <f t="shared" si="12"/>
        <v>17771.63</v>
      </c>
      <c r="AE17" s="96">
        <f>ROUND(MAX((AD17)*{0.03;0.1;0.2;0.25;0.3;0.35;0.45}-{0;2520;16920;31920;52920;85920;181920},0),2)</f>
        <v>533.15</v>
      </c>
      <c r="AF17" s="97">
        <f>IFERROR(VLOOKUP(E:E,'（居民）工资表-4月'!E:AF,28,0)+VLOOKUP(E:E,'（居民）工资表-4月'!E:AG,29,0),0)</f>
        <v>398.98</v>
      </c>
      <c r="AG17" s="97">
        <f t="shared" si="8"/>
        <v>134.17</v>
      </c>
      <c r="AH17" s="107">
        <f t="shared" si="9"/>
        <v>9338.12</v>
      </c>
      <c r="AI17" s="108"/>
      <c r="AJ17" s="107">
        <f t="shared" si="13"/>
        <v>9338.12</v>
      </c>
      <c r="AK17" s="109"/>
      <c r="AL17" s="107">
        <f t="shared" si="14"/>
        <v>9472.29</v>
      </c>
      <c r="AM17" s="109"/>
      <c r="AN17" s="109"/>
      <c r="AO17" s="109"/>
      <c r="AP17" s="109"/>
      <c r="AQ17" s="109"/>
      <c r="AR17" s="116" t="str">
        <f t="shared" si="15"/>
        <v>正确</v>
      </c>
      <c r="AS17" s="116" t="str">
        <f>IF(SUMPRODUCT(N(E$1:E$7=E17))&gt;1,"重复","不")</f>
        <v>不</v>
      </c>
      <c r="AT17" s="116" t="str">
        <f>IF(SUMPRODUCT(N(AO$1:AO$7=AO17))&gt;1,"重复","不")</f>
        <v>重复</v>
      </c>
      <c r="AU17" s="12" t="s">
        <v>191</v>
      </c>
      <c r="AV17" s="12" t="s">
        <v>51</v>
      </c>
    </row>
    <row r="18" s="12" customFormat="1" ht="18" customHeight="1" spans="1:48">
      <c r="A18" s="36">
        <v>15</v>
      </c>
      <c r="B18" s="37" t="s">
        <v>184</v>
      </c>
      <c r="C18" s="37" t="s">
        <v>204</v>
      </c>
      <c r="D18" s="37" t="s">
        <v>120</v>
      </c>
      <c r="E18" s="37" t="s">
        <v>205</v>
      </c>
      <c r="F18" s="38" t="s">
        <v>185</v>
      </c>
      <c r="G18" s="39">
        <v>13711361074</v>
      </c>
      <c r="H18" s="40"/>
      <c r="I18" s="40"/>
      <c r="J18" s="69"/>
      <c r="K18" s="40"/>
      <c r="L18" s="70">
        <f>VLOOKUP(C18,[2]Sheet1!$B$2:$C$16,2,0)</f>
        <v>6080</v>
      </c>
      <c r="M18" s="71">
        <f>VLOOKUP(C18,[2]Sheet1!$B$2:$D$16,3,0)</f>
        <v>337.92</v>
      </c>
      <c r="N18" s="71">
        <f>VLOOKUP(C18,[2]Sheet1!$B$2:$F$16,5,0)</f>
        <v>91.48</v>
      </c>
      <c r="O18" s="71">
        <f>VLOOKUP(C18,[2]Sheet1!$B$1:$E$16,4,0)</f>
        <v>12.67</v>
      </c>
      <c r="P18" s="71">
        <f>VLOOKUP(C18,[2]Sheet1!$B$2:$H$16,7,0)</f>
        <v>110.5</v>
      </c>
      <c r="Q18" s="89">
        <f t="shared" si="10"/>
        <v>552.57</v>
      </c>
      <c r="R18" s="70">
        <v>0</v>
      </c>
      <c r="S18" s="90">
        <f>L18+IFERROR(VLOOKUP($E:$E,'（居民）工资表-4月'!$E:$S,15,0),0)</f>
        <v>8106.67</v>
      </c>
      <c r="T18" s="91">
        <f>5000+IFERROR(VLOOKUP($E:$E,'（居民）工资表-4月'!$E:$T,16,0),0)</f>
        <v>10000</v>
      </c>
      <c r="U18" s="91">
        <f>Q18+IFERROR(VLOOKUP($E:$E,'（居民）工资表-4月'!$E:$U,17,0),0)</f>
        <v>1657.71</v>
      </c>
      <c r="V18" s="70"/>
      <c r="W18" s="70"/>
      <c r="X18" s="70"/>
      <c r="Y18" s="70"/>
      <c r="Z18" s="70"/>
      <c r="AA18" s="70"/>
      <c r="AB18" s="90">
        <f t="shared" si="11"/>
        <v>0</v>
      </c>
      <c r="AC18" s="90">
        <f>R18+IFERROR(VLOOKUP($E:$E,'（居民）工资表-4月'!$E:$AC,25,0),0)</f>
        <v>0</v>
      </c>
      <c r="AD18" s="95">
        <f t="shared" si="12"/>
        <v>-3551.04</v>
      </c>
      <c r="AE18" s="96">
        <f>ROUND(MAX((AD18)*{0.03;0.1;0.2;0.25;0.3;0.35;0.45}-{0;2520;16920;31920;52920;85920;181920},0),2)</f>
        <v>0</v>
      </c>
      <c r="AF18" s="97">
        <f>IFERROR(VLOOKUP(E:E,'（居民）工资表-4月'!E:AF,28,0)+VLOOKUP(E:E,'（居民）工资表-4月'!E:AG,29,0),0)</f>
        <v>0</v>
      </c>
      <c r="AG18" s="97">
        <f t="shared" si="8"/>
        <v>0</v>
      </c>
      <c r="AH18" s="107">
        <f t="shared" si="9"/>
        <v>5527.43</v>
      </c>
      <c r="AI18" s="108"/>
      <c r="AJ18" s="107">
        <f t="shared" si="13"/>
        <v>5527.43</v>
      </c>
      <c r="AK18" s="109"/>
      <c r="AL18" s="107">
        <f t="shared" si="14"/>
        <v>5527.43</v>
      </c>
      <c r="AM18" s="109"/>
      <c r="AN18" s="109"/>
      <c r="AO18" s="109"/>
      <c r="AP18" s="109"/>
      <c r="AQ18" s="109"/>
      <c r="AR18" s="116" t="str">
        <f t="shared" si="15"/>
        <v>正确</v>
      </c>
      <c r="AS18" s="116" t="str">
        <f>IF(SUMPRODUCT(N(E$1:E$7=E18))&gt;1,"重复","不")</f>
        <v>不</v>
      </c>
      <c r="AT18" s="116" t="str">
        <f>IF(SUMPRODUCT(N(AO$1:AO$7=AO18))&gt;1,"重复","不")</f>
        <v>重复</v>
      </c>
      <c r="AU18" s="12" t="s">
        <v>190</v>
      </c>
      <c r="AV18" s="12" t="s">
        <v>51</v>
      </c>
    </row>
    <row r="19" s="12" customFormat="1" ht="18" customHeight="1" spans="1:46">
      <c r="A19" s="36"/>
      <c r="B19" s="37"/>
      <c r="C19" s="37"/>
      <c r="D19" s="37"/>
      <c r="E19" s="37"/>
      <c r="F19" s="38"/>
      <c r="G19" s="39"/>
      <c r="H19" s="40"/>
      <c r="I19" s="40"/>
      <c r="J19" s="69"/>
      <c r="K19" s="40"/>
      <c r="L19" s="70"/>
      <c r="M19" s="71"/>
      <c r="N19" s="71"/>
      <c r="O19" s="71"/>
      <c r="P19" s="71"/>
      <c r="Q19" s="89"/>
      <c r="R19" s="70"/>
      <c r="S19" s="90"/>
      <c r="T19" s="91"/>
      <c r="U19" s="91"/>
      <c r="V19" s="70"/>
      <c r="W19" s="70"/>
      <c r="X19" s="70"/>
      <c r="Y19" s="70"/>
      <c r="Z19" s="70"/>
      <c r="AA19" s="70"/>
      <c r="AB19" s="90"/>
      <c r="AC19" s="90"/>
      <c r="AD19" s="95"/>
      <c r="AE19" s="96"/>
      <c r="AF19" s="97"/>
      <c r="AG19" s="97"/>
      <c r="AH19" s="107"/>
      <c r="AI19" s="108"/>
      <c r="AJ19" s="107"/>
      <c r="AK19" s="109"/>
      <c r="AL19" s="107"/>
      <c r="AM19" s="109"/>
      <c r="AN19" s="109"/>
      <c r="AO19" s="109"/>
      <c r="AP19" s="109"/>
      <c r="AQ19" s="109"/>
      <c r="AR19" s="116"/>
      <c r="AS19" s="116"/>
      <c r="AT19" s="116"/>
    </row>
    <row r="20" s="13" customFormat="1" ht="18" customHeight="1" spans="1:46">
      <c r="A20" s="41"/>
      <c r="B20" s="42" t="s">
        <v>143</v>
      </c>
      <c r="C20" s="42"/>
      <c r="D20" s="43"/>
      <c r="E20" s="44"/>
      <c r="F20" s="45"/>
      <c r="G20" s="46"/>
      <c r="H20" s="45"/>
      <c r="I20" s="72"/>
      <c r="J20" s="73"/>
      <c r="K20" s="72"/>
      <c r="L20" s="74">
        <f t="shared" ref="L20:Q20" si="18">SUM(L4:L18)</f>
        <v>131925.84</v>
      </c>
      <c r="M20" s="74">
        <f t="shared" si="18"/>
        <v>5262.9</v>
      </c>
      <c r="N20" s="74">
        <f t="shared" si="18"/>
        <v>1492.43</v>
      </c>
      <c r="O20" s="74">
        <f t="shared" si="18"/>
        <v>282.62</v>
      </c>
      <c r="P20" s="74">
        <f t="shared" si="18"/>
        <v>2412.9</v>
      </c>
      <c r="Q20" s="74">
        <f t="shared" si="18"/>
        <v>9450.85</v>
      </c>
      <c r="R20" s="74">
        <f t="shared" ref="R20:AL20" si="19">SUM(R4:R18)</f>
        <v>0</v>
      </c>
      <c r="S20" s="74">
        <f t="shared" si="19"/>
        <v>498931.85</v>
      </c>
      <c r="T20" s="74">
        <f t="shared" si="19"/>
        <v>280000</v>
      </c>
      <c r="U20" s="74">
        <f t="shared" si="19"/>
        <v>36553.93</v>
      </c>
      <c r="V20" s="74">
        <f t="shared" si="19"/>
        <v>0</v>
      </c>
      <c r="W20" s="74">
        <f t="shared" si="19"/>
        <v>0</v>
      </c>
      <c r="X20" s="74">
        <f t="shared" si="19"/>
        <v>0</v>
      </c>
      <c r="Y20" s="74">
        <f t="shared" si="19"/>
        <v>0</v>
      </c>
      <c r="Z20" s="74">
        <f t="shared" si="19"/>
        <v>0</v>
      </c>
      <c r="AA20" s="74">
        <f t="shared" si="19"/>
        <v>0</v>
      </c>
      <c r="AB20" s="74">
        <f t="shared" si="19"/>
        <v>0</v>
      </c>
      <c r="AC20" s="74">
        <f t="shared" si="19"/>
        <v>0</v>
      </c>
      <c r="AD20" s="74">
        <f t="shared" si="19"/>
        <v>182377.92</v>
      </c>
      <c r="AE20" s="74">
        <f t="shared" si="19"/>
        <v>9944.63</v>
      </c>
      <c r="AF20" s="74">
        <f t="shared" si="19"/>
        <v>6815.29</v>
      </c>
      <c r="AG20" s="74">
        <f t="shared" si="19"/>
        <v>3129.34</v>
      </c>
      <c r="AH20" s="74">
        <f t="shared" si="19"/>
        <v>119345.65</v>
      </c>
      <c r="AI20" s="74">
        <f t="shared" si="19"/>
        <v>0</v>
      </c>
      <c r="AJ20" s="74">
        <f t="shared" si="19"/>
        <v>119345.65</v>
      </c>
      <c r="AK20" s="74">
        <f t="shared" si="19"/>
        <v>0</v>
      </c>
      <c r="AL20" s="74">
        <f t="shared" si="19"/>
        <v>122474.99</v>
      </c>
      <c r="AM20" s="110"/>
      <c r="AN20" s="110"/>
      <c r="AO20" s="110"/>
      <c r="AP20" s="110"/>
      <c r="AQ20" s="110"/>
      <c r="AR20" s="45"/>
      <c r="AS20" s="45"/>
      <c r="AT20" s="118"/>
    </row>
    <row r="23" spans="30:30">
      <c r="AD23" s="101"/>
    </row>
    <row r="24" ht="18.75" customHeight="1" spans="2:33">
      <c r="B24" s="47" t="s">
        <v>144</v>
      </c>
      <c r="C24" s="47" t="s">
        <v>145</v>
      </c>
      <c r="D24" s="47" t="s">
        <v>22</v>
      </c>
      <c r="E24" s="47" t="s">
        <v>23</v>
      </c>
      <c r="AD24" s="10"/>
      <c r="AG24" s="19"/>
    </row>
    <row r="25" ht="18.75" customHeight="1" spans="2:5">
      <c r="B25" s="48">
        <f>AJ20</f>
        <v>119345.65</v>
      </c>
      <c r="C25" s="48">
        <f>AG20</f>
        <v>3129.34</v>
      </c>
      <c r="D25" s="48">
        <f>AK20</f>
        <v>0</v>
      </c>
      <c r="E25" s="48">
        <f>B25+C25</f>
        <v>122474.99</v>
      </c>
    </row>
    <row r="26" spans="2:5">
      <c r="B26" s="49"/>
      <c r="C26" s="49"/>
      <c r="D26" s="49"/>
      <c r="E26" s="49"/>
    </row>
    <row r="27" s="14" customFormat="1" spans="1:35">
      <c r="A27" s="51" t="s">
        <v>206</v>
      </c>
      <c r="B27" s="52" t="s">
        <v>207</v>
      </c>
      <c r="C27" s="50"/>
      <c r="D27" s="50"/>
      <c r="E27" s="50"/>
      <c r="G27" s="53"/>
      <c r="J27" s="75"/>
      <c r="M27" s="76"/>
      <c r="AI27" s="112"/>
    </row>
    <row r="28" s="14" customFormat="1" spans="1:35">
      <c r="A28" s="54"/>
      <c r="B28" s="55" t="s">
        <v>208</v>
      </c>
      <c r="C28" s="50"/>
      <c r="D28" s="50"/>
      <c r="E28" s="50"/>
      <c r="G28" s="53"/>
      <c r="J28" s="75"/>
      <c r="M28" s="76"/>
      <c r="AI28" s="112"/>
    </row>
    <row r="29" s="14" customFormat="1" spans="1:35">
      <c r="A29" s="52"/>
      <c r="B29" s="55" t="s">
        <v>209</v>
      </c>
      <c r="C29" s="56"/>
      <c r="D29" s="56"/>
      <c r="E29" s="56"/>
      <c r="F29" s="56"/>
      <c r="G29" s="56"/>
      <c r="H29" s="56"/>
      <c r="I29" s="56"/>
      <c r="J29" s="77"/>
      <c r="K29" s="56"/>
      <c r="L29" s="56"/>
      <c r="M29" s="78"/>
      <c r="N29" s="56"/>
      <c r="O29" s="56"/>
      <c r="P29" s="56"/>
      <c r="AI29" s="112"/>
    </row>
    <row r="30" s="14" customFormat="1" customHeight="1" spans="1:35">
      <c r="A30" s="55"/>
      <c r="B30" s="55" t="s">
        <v>210</v>
      </c>
      <c r="C30" s="57"/>
      <c r="D30" s="57"/>
      <c r="E30" s="57"/>
      <c r="F30" s="57"/>
      <c r="G30" s="57"/>
      <c r="H30" s="57"/>
      <c r="I30" s="79"/>
      <c r="J30" s="80"/>
      <c r="K30" s="79"/>
      <c r="L30" s="79"/>
      <c r="M30" s="81"/>
      <c r="N30" s="79"/>
      <c r="O30" s="79"/>
      <c r="P30" s="79"/>
      <c r="AI30" s="112"/>
    </row>
    <row r="31" s="14" customFormat="1" customHeight="1" spans="1:35">
      <c r="A31" s="55"/>
      <c r="B31" s="55" t="s">
        <v>211</v>
      </c>
      <c r="C31" s="57"/>
      <c r="D31" s="57"/>
      <c r="E31" s="57"/>
      <c r="F31" s="57"/>
      <c r="G31" s="57"/>
      <c r="H31" s="57"/>
      <c r="I31" s="57"/>
      <c r="J31" s="82"/>
      <c r="K31" s="57"/>
      <c r="L31" s="79"/>
      <c r="M31" s="81"/>
      <c r="N31" s="79"/>
      <c r="O31" s="79"/>
      <c r="P31" s="79"/>
      <c r="AI31" s="112"/>
    </row>
    <row r="32" s="14" customFormat="1" customHeight="1" spans="1:35">
      <c r="A32" s="55"/>
      <c r="B32" s="55" t="s">
        <v>212</v>
      </c>
      <c r="C32" s="57"/>
      <c r="D32" s="57"/>
      <c r="E32" s="57"/>
      <c r="F32" s="57"/>
      <c r="G32" s="57"/>
      <c r="H32" s="57"/>
      <c r="I32" s="79"/>
      <c r="J32" s="80"/>
      <c r="K32" s="79"/>
      <c r="L32" s="79"/>
      <c r="M32" s="81"/>
      <c r="N32" s="79"/>
      <c r="O32" s="79"/>
      <c r="P32" s="79"/>
      <c r="AI32" s="112"/>
    </row>
    <row r="34" ht="11.25" customHeight="1" spans="2:2">
      <c r="B34" s="58" t="s">
        <v>213</v>
      </c>
    </row>
    <row r="35" spans="2:2">
      <c r="B35" s="59" t="s">
        <v>214</v>
      </c>
    </row>
    <row r="36" spans="2:2">
      <c r="B36" s="59" t="s">
        <v>215</v>
      </c>
    </row>
  </sheetData>
  <autoFilter xmlns:etc="http://www.wps.cn/officeDocument/2017/etCustomData" ref="A3:AT20" etc:filterBottomFollowUsedRange="0">
    <extLst/>
  </autoFilter>
  <mergeCells count="39">
    <mergeCell ref="M1:P1"/>
    <mergeCell ref="M2:P2"/>
    <mergeCell ref="V2:AA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Q2:Q3"/>
    <mergeCell ref="R2:R3"/>
    <mergeCell ref="S2:S3"/>
    <mergeCell ref="T2:T3"/>
    <mergeCell ref="U2:U3"/>
    <mergeCell ref="AB2:AB3"/>
    <mergeCell ref="AC2:AC3"/>
    <mergeCell ref="AD2:AD3"/>
    <mergeCell ref="AE2:AE3"/>
    <mergeCell ref="AF2:AF3"/>
    <mergeCell ref="AG2:AG3"/>
    <mergeCell ref="AH2:AH3"/>
    <mergeCell ref="AI2:AI3"/>
    <mergeCell ref="AJ2:AJ3"/>
    <mergeCell ref="AK2:AK3"/>
    <mergeCell ref="AL2:AL3"/>
    <mergeCell ref="AM2:AM3"/>
    <mergeCell ref="AN2:AN3"/>
    <mergeCell ref="AO2:AO3"/>
    <mergeCell ref="AP2:AP3"/>
    <mergeCell ref="AQ2:AQ3"/>
    <mergeCell ref="AR2:AR3"/>
    <mergeCell ref="AS2:AS3"/>
    <mergeCell ref="AT2:AT3"/>
  </mergeCells>
  <conditionalFormatting sqref="B32">
    <cfRule type="duplicateValues" dxfId="4" priority="6" stopIfTrue="1"/>
  </conditionalFormatting>
  <conditionalFormatting sqref="B27:B31">
    <cfRule type="duplicateValues" dxfId="4" priority="7" stopIfTrue="1"/>
  </conditionalFormatting>
  <conditionalFormatting sqref="B35:B36">
    <cfRule type="duplicateValues" dxfId="4" priority="5" stopIfTrue="1"/>
  </conditionalFormatting>
  <conditionalFormatting sqref="C24:C26">
    <cfRule type="duplicateValues" dxfId="4" priority="8" stopIfTrue="1"/>
    <cfRule type="expression" dxfId="5" priority="9" stopIfTrue="1">
      <formula>AND(COUNTIF($B$20:$B$65456,C24)+COUNTIF($B$1:$B$3,C24)&gt;1,NOT(ISBLANK(C24)))</formula>
    </cfRule>
    <cfRule type="expression" dxfId="5" priority="10" stopIfTrue="1">
      <formula>AND(COUNTIF($B$31:$B$65407,C24)+COUNTIF($B$1:$B$30,C24)&gt;1,NOT(ISBLANK(C24)))</formula>
    </cfRule>
    <cfRule type="expression" dxfId="5" priority="11" stopIfTrue="1">
      <formula>AND(COUNTIF($B$20:$B$65445,C24)+COUNTIF($B$1:$B$3,C24)&gt;1,NOT(ISBLANK(C24)))</formula>
    </cfRule>
  </conditionalFormatting>
  <pageMargins left="0.235416666666667" right="0.235416666666667" top="0.747916666666667" bottom="0.747916666666667" header="0.313888888888889" footer="0.313888888888889"/>
  <pageSetup paperSize="9" scale="56" fitToWidth="2" orientation="landscape"/>
  <headerFooter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>
    <tabColor rgb="FF00B050"/>
    <pageSetUpPr fitToPage="1"/>
  </sheetPr>
  <dimension ref="A1:AT36"/>
  <sheetViews>
    <sheetView workbookViewId="0">
      <pane xSplit="6" ySplit="3" topLeftCell="G4" activePane="bottomRight" state="frozen"/>
      <selection/>
      <selection pane="topRight"/>
      <selection pane="bottomLeft"/>
      <selection pane="bottomRight" activeCell="B4" sqref="B4:P18"/>
    </sheetView>
  </sheetViews>
  <sheetFormatPr defaultColWidth="9" defaultRowHeight="13.5"/>
  <cols>
    <col min="1" max="1" width="4.45" style="15" customWidth="1"/>
    <col min="2" max="2" width="12.6333333333333" style="15" customWidth="1"/>
    <col min="3" max="3" width="10.45" style="15" customWidth="1"/>
    <col min="4" max="4" width="8.725" style="15" customWidth="1"/>
    <col min="5" max="5" width="19.45" style="16" customWidth="1"/>
    <col min="6" max="6" width="9" style="15"/>
    <col min="7" max="7" width="11.9083333333333" style="17" customWidth="1"/>
    <col min="8" max="8" width="4.63333333333333" style="15" hidden="1" customWidth="1"/>
    <col min="9" max="9" width="5.26666666666667" style="15" hidden="1" customWidth="1"/>
    <col min="10" max="10" width="11.725" style="18" customWidth="1"/>
    <col min="11" max="11" width="5.26666666666667" style="15" customWidth="1"/>
    <col min="12" max="12" width="11.725" style="15" customWidth="1"/>
    <col min="13" max="13" width="12.45" style="15" customWidth="1" outlineLevel="1"/>
    <col min="14" max="15" width="9" style="15" customWidth="1" outlineLevel="1"/>
    <col min="16" max="16" width="11.0916666666667" style="15" customWidth="1" outlineLevel="1"/>
    <col min="17" max="17" width="9.725" style="15" customWidth="1"/>
    <col min="18" max="18" width="9.45" style="15" customWidth="1"/>
    <col min="19" max="19" width="13.3666666666667" style="15" customWidth="1"/>
    <col min="20" max="21" width="12.2666666666667" style="15" customWidth="1"/>
    <col min="22" max="27" width="9" style="15" customWidth="1" outlineLevel="1"/>
    <col min="28" max="28" width="11.2666666666667" style="15" customWidth="1"/>
    <col min="29" max="29" width="8.45" style="15" customWidth="1"/>
    <col min="30" max="30" width="15.2666666666667" style="15" customWidth="1"/>
    <col min="31" max="31" width="14" style="15" customWidth="1"/>
    <col min="32" max="32" width="10.725" style="15" customWidth="1"/>
    <col min="33" max="33" width="12.2666666666667" style="15" customWidth="1"/>
    <col min="34" max="34" width="11.45" style="15" customWidth="1"/>
    <col min="35" max="35" width="7.90833333333333" style="19" customWidth="1"/>
    <col min="36" max="36" width="11.45" style="15" customWidth="1"/>
    <col min="37" max="37" width="9" style="15"/>
    <col min="38" max="38" width="11.45" style="15" customWidth="1"/>
    <col min="39" max="40" width="9" style="15" hidden="1" customWidth="1"/>
    <col min="41" max="41" width="19" style="15" hidden="1" customWidth="1"/>
    <col min="42" max="42" width="12.2666666666667" style="15" hidden="1" customWidth="1"/>
    <col min="43" max="43" width="9" style="15" hidden="1" customWidth="1"/>
    <col min="44" max="44" width="7" style="15" hidden="1" customWidth="1"/>
    <col min="45" max="45" width="6.725" style="15" hidden="1" customWidth="1"/>
    <col min="46" max="46" width="6.09166666666667" style="15" hidden="1" customWidth="1"/>
    <col min="47" max="16384" width="9" style="15"/>
  </cols>
  <sheetData>
    <row r="1" s="10" customFormat="1" ht="29.25" customHeight="1" spans="1:45">
      <c r="A1" s="20" t="s">
        <v>146</v>
      </c>
      <c r="B1" s="21"/>
      <c r="C1" s="22"/>
      <c r="D1" s="23"/>
      <c r="E1" s="24"/>
      <c r="F1" s="24"/>
      <c r="G1" s="25"/>
      <c r="J1" s="60"/>
      <c r="L1" s="61"/>
      <c r="M1" s="62" t="s">
        <v>147</v>
      </c>
      <c r="N1" s="62"/>
      <c r="O1" s="62"/>
      <c r="P1" s="62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  <c r="AC1" s="83"/>
      <c r="AD1" s="61"/>
      <c r="AE1" s="61"/>
      <c r="AF1" s="61"/>
      <c r="AG1" s="61"/>
      <c r="AH1" s="61"/>
      <c r="AI1" s="102"/>
      <c r="AJ1" s="61"/>
      <c r="AK1" s="61"/>
      <c r="AL1" s="61"/>
      <c r="AM1" s="24"/>
      <c r="AN1" s="24"/>
      <c r="AO1" s="113"/>
      <c r="AP1" s="24"/>
      <c r="AQ1" s="24"/>
      <c r="AR1" s="24"/>
      <c r="AS1" s="24"/>
    </row>
    <row r="2" s="11" customFormat="1" ht="20.15" customHeight="1" spans="1:46">
      <c r="A2" s="26" t="s">
        <v>0</v>
      </c>
      <c r="B2" s="27" t="s">
        <v>148</v>
      </c>
      <c r="C2" s="28" t="s">
        <v>149</v>
      </c>
      <c r="D2" s="28" t="s">
        <v>150</v>
      </c>
      <c r="E2" s="29" t="s">
        <v>151</v>
      </c>
      <c r="F2" s="30" t="s">
        <v>152</v>
      </c>
      <c r="G2" s="29" t="s">
        <v>153</v>
      </c>
      <c r="H2" s="29" t="s">
        <v>154</v>
      </c>
      <c r="I2" s="29" t="s">
        <v>155</v>
      </c>
      <c r="J2" s="63" t="s">
        <v>156</v>
      </c>
      <c r="K2" s="29" t="s">
        <v>157</v>
      </c>
      <c r="L2" s="29" t="s">
        <v>158</v>
      </c>
      <c r="M2" s="64" t="s">
        <v>159</v>
      </c>
      <c r="N2" s="65"/>
      <c r="O2" s="65"/>
      <c r="P2" s="66"/>
      <c r="Q2" s="30" t="s">
        <v>160</v>
      </c>
      <c r="R2" s="29" t="s">
        <v>161</v>
      </c>
      <c r="S2" s="30" t="s">
        <v>162</v>
      </c>
      <c r="T2" s="84" t="s">
        <v>163</v>
      </c>
      <c r="U2" s="30" t="s">
        <v>164</v>
      </c>
      <c r="V2" s="85" t="s">
        <v>165</v>
      </c>
      <c r="W2" s="86"/>
      <c r="X2" s="86"/>
      <c r="Y2" s="86"/>
      <c r="Z2" s="86"/>
      <c r="AA2" s="94"/>
      <c r="AB2" s="30" t="s">
        <v>166</v>
      </c>
      <c r="AC2" s="30" t="s">
        <v>167</v>
      </c>
      <c r="AD2" s="84" t="s">
        <v>168</v>
      </c>
      <c r="AE2" s="84" t="s">
        <v>169</v>
      </c>
      <c r="AF2" s="84" t="s">
        <v>170</v>
      </c>
      <c r="AG2" s="84" t="s">
        <v>171</v>
      </c>
      <c r="AH2" s="103" t="s">
        <v>172</v>
      </c>
      <c r="AI2" s="104" t="s">
        <v>173</v>
      </c>
      <c r="AJ2" s="103" t="s">
        <v>144</v>
      </c>
      <c r="AK2" s="28" t="s">
        <v>22</v>
      </c>
      <c r="AL2" s="103" t="s">
        <v>174</v>
      </c>
      <c r="AM2" s="29" t="s">
        <v>216</v>
      </c>
      <c r="AN2" s="29" t="s">
        <v>217</v>
      </c>
      <c r="AO2" s="114" t="s">
        <v>218</v>
      </c>
      <c r="AP2" s="29" t="s">
        <v>219</v>
      </c>
      <c r="AQ2" s="29" t="s">
        <v>220</v>
      </c>
      <c r="AR2" s="30" t="s">
        <v>221</v>
      </c>
      <c r="AS2" s="30" t="s">
        <v>222</v>
      </c>
      <c r="AT2" s="30" t="s">
        <v>223</v>
      </c>
    </row>
    <row r="3" s="11" customFormat="1" ht="27" customHeight="1" spans="1:46">
      <c r="A3" s="31"/>
      <c r="B3" s="32"/>
      <c r="C3" s="33"/>
      <c r="D3" s="33"/>
      <c r="E3" s="34"/>
      <c r="F3" s="35"/>
      <c r="G3" s="34"/>
      <c r="H3" s="34"/>
      <c r="I3" s="34"/>
      <c r="J3" s="67"/>
      <c r="K3" s="34"/>
      <c r="L3" s="34"/>
      <c r="M3" s="68" t="s">
        <v>175</v>
      </c>
      <c r="N3" s="68" t="s">
        <v>176</v>
      </c>
      <c r="O3" s="68" t="s">
        <v>177</v>
      </c>
      <c r="P3" s="68" t="s">
        <v>37</v>
      </c>
      <c r="Q3" s="35"/>
      <c r="R3" s="34"/>
      <c r="S3" s="35"/>
      <c r="T3" s="87"/>
      <c r="U3" s="35"/>
      <c r="V3" s="88" t="s">
        <v>178</v>
      </c>
      <c r="W3" s="88" t="s">
        <v>179</v>
      </c>
      <c r="X3" s="88" t="s">
        <v>180</v>
      </c>
      <c r="Y3" s="88" t="s">
        <v>181</v>
      </c>
      <c r="Z3" s="88" t="s">
        <v>182</v>
      </c>
      <c r="AA3" s="88" t="s">
        <v>183</v>
      </c>
      <c r="AB3" s="35"/>
      <c r="AC3" s="35"/>
      <c r="AD3" s="87"/>
      <c r="AE3" s="87"/>
      <c r="AF3" s="87"/>
      <c r="AG3" s="87"/>
      <c r="AH3" s="105"/>
      <c r="AI3" s="106"/>
      <c r="AJ3" s="105"/>
      <c r="AK3" s="33"/>
      <c r="AL3" s="105"/>
      <c r="AM3" s="34"/>
      <c r="AN3" s="34"/>
      <c r="AO3" s="115"/>
      <c r="AP3" s="34"/>
      <c r="AQ3" s="34"/>
      <c r="AR3" s="35"/>
      <c r="AS3" s="35"/>
      <c r="AT3" s="35"/>
    </row>
    <row r="4" s="12" customFormat="1" ht="18" customHeight="1" spans="1:46">
      <c r="A4" s="36">
        <v>1</v>
      </c>
      <c r="B4" s="37" t="s">
        <v>184</v>
      </c>
      <c r="C4" s="37" t="s">
        <v>61</v>
      </c>
      <c r="D4" s="37" t="s">
        <v>120</v>
      </c>
      <c r="E4" s="37" t="s">
        <v>62</v>
      </c>
      <c r="F4" s="38" t="s">
        <v>185</v>
      </c>
      <c r="G4" s="39">
        <v>13944441728</v>
      </c>
      <c r="H4" s="40"/>
      <c r="I4" s="40"/>
      <c r="J4" s="69"/>
      <c r="K4" s="40"/>
      <c r="L4" s="70">
        <v>8000</v>
      </c>
      <c r="M4" s="71">
        <f>VLOOKUP(C4,[2]Sheet1!$B$2:$D$16,3,0)</f>
        <v>319.46</v>
      </c>
      <c r="N4" s="71">
        <f>VLOOKUP(C4,[2]Sheet1!$B$2:$F$16,5,0)</f>
        <v>79.86</v>
      </c>
      <c r="O4" s="71">
        <f>VLOOKUP(C4,[2]Sheet1!$B$1:$E$16,4,0)</f>
        <v>11.98</v>
      </c>
      <c r="P4" s="71">
        <f>VLOOKUP(C4,[2]Sheet1!$B$2:$H$16,7,0)</f>
        <v>177.4</v>
      </c>
      <c r="Q4" s="89">
        <f>ROUND(SUM(M4:P4),2)</f>
        <v>588.7</v>
      </c>
      <c r="R4" s="70">
        <v>0</v>
      </c>
      <c r="S4" s="90">
        <f>L4+IFERROR(VLOOKUP($E:$E,'（居民）工资表-5月'!$E:$S,15,0),0)</f>
        <v>40000</v>
      </c>
      <c r="T4" s="91">
        <f>5000+IFERROR(VLOOKUP($E:$E,'（居民）工资表-5月'!$E:$T,16,0),0)</f>
        <v>25000</v>
      </c>
      <c r="U4" s="91">
        <f>Q4+IFERROR(VLOOKUP($E:$E,'（居民）工资表-5月'!$E:$U,17,0),0)</f>
        <v>2975.83</v>
      </c>
      <c r="V4" s="70"/>
      <c r="W4" s="70"/>
      <c r="X4" s="70"/>
      <c r="Y4" s="70"/>
      <c r="Z4" s="70"/>
      <c r="AA4" s="70"/>
      <c r="AB4" s="90">
        <f>ROUND(SUM(V4:AA4),2)</f>
        <v>0</v>
      </c>
      <c r="AC4" s="90">
        <f>R4+IFERROR(VLOOKUP($E:$E,'（居民）工资表-5月'!$E:$AC,25,0),0)</f>
        <v>0</v>
      </c>
      <c r="AD4" s="95">
        <f>ROUND(S4-T4-U4-AB4-AC4,2)</f>
        <v>12024.17</v>
      </c>
      <c r="AE4" s="96">
        <f>ROUND(MAX((AD4)*{0.03;0.1;0.2;0.25;0.3;0.35;0.45}-{0;2520;16920;31920;52920;85920;181920},0),2)</f>
        <v>360.73</v>
      </c>
      <c r="AF4" s="97">
        <f>IFERROR(VLOOKUP(E:E,'（居民）工资表-5月'!E:AF,28,0)+VLOOKUP(E:E,'（居民）工资表-5月'!E:AG,29,0),0)</f>
        <v>288.39</v>
      </c>
      <c r="AG4" s="97">
        <f>IF((AE4-AF4)&lt;0,0,AE4-AF4)</f>
        <v>72.34</v>
      </c>
      <c r="AH4" s="107">
        <f>ROUND(IF((L4-Q4-AG4)&lt;0,0,(L4-Q4-AG4)),2)</f>
        <v>7338.96</v>
      </c>
      <c r="AI4" s="108"/>
      <c r="AJ4" s="107">
        <f>AH4+AI4</f>
        <v>7338.96</v>
      </c>
      <c r="AK4" s="109"/>
      <c r="AL4" s="107">
        <f>AJ4+AG4+AK4</f>
        <v>7411.3</v>
      </c>
      <c r="AM4" s="109"/>
      <c r="AN4" s="109"/>
      <c r="AO4" s="109"/>
      <c r="AP4" s="109"/>
      <c r="AQ4" s="109"/>
      <c r="AR4" s="116" t="str">
        <f>IF(LEN(E4)=18,IF(RIGHT(E4,1)="X",IF(CHOOSE(MOD(SUM(LEFT(RIGHT(E4,18))*7+LEFT(RIGHT(E4,17))*9+LEFT(RIGHT(E4,16))*10+LEFT(RIGHT(E4,15))*5+LEFT(RIGHT(E4,14))*8+LEFT(RIGHT(E4,13))*4+LEFT(RIGHT(E4,12))*2+LEFT(RIGHT(E4,11))*1+LEFT(RIGHT(E4,10))*6+LEFT(RIGHT(E4,9))*3+LEFT(RIGHT(E4,8))*7+LEFT(RIGHT(E4,7))*9+LEFT(RIGHT(E4,6))*10+LEFT(RIGHT(E4,5))*5+LEFT(RIGHT(E4,4))*8+LEFT(RIGHT(E4,3))*4+LEFT(RIGHT(E4,2))*2),11)+1,1,0,"X",9,8,7,6,5,4,3,2)=LEFT(RIGHT(E4,1)),"正确","错误"),IF(CHOOSE(MOD(SUM(LEFT(RIGHT(E4,18))*7+LEFT(RIGHT(E4,17))*9+LEFT(RIGHT(E4,16))*10+LEFT(RIGHT(E4,15))*5+LEFT(RIGHT(E4,14))*8+LEFT(RIGHT(E4,13))*4+LEFT(RIGHT(E4,12))*2+LEFT(RIGHT(E4,11))*1+LEFT(RIGHT(E4,10))*6+LEFT(RIGHT(E4,9))*3+LEFT(RIGHT(E4,8))*7+LEFT(RIGHT(E4,7))*9+LEFT(RIGHT(E4,6))*10+LEFT(RIGHT(E4,5))*5+LEFT(RIGHT(E4,4))*8+LEFT(RIGHT(E4,3))*4+LEFT(RIGHT(E4,2))*2),11)+1,1,0,"X",9,8,7,6,5,4,3,2)=LEFT(RIGHT(E4,1))*1,"正确","错误")),IF(LEN(E4)=15,"老号，请注意！",IF(LEN(E4)=0,"未填写身份证号码","位数不对！")))</f>
        <v>正确</v>
      </c>
      <c r="AS4" s="116" t="str">
        <f>IF(SUMPRODUCT(N(E$1:E$19=E4))&gt;1,"重复","不")</f>
        <v>不</v>
      </c>
      <c r="AT4" s="116" t="str">
        <f>IF(SUMPRODUCT(N(AO$1:AO$19=AO4))&gt;1,"重复","不")</f>
        <v>重复</v>
      </c>
    </row>
    <row r="5" s="12" customFormat="1" ht="18" customHeight="1" spans="1:46">
      <c r="A5" s="36">
        <v>2</v>
      </c>
      <c r="B5" s="37" t="s">
        <v>184</v>
      </c>
      <c r="C5" s="37" t="s">
        <v>121</v>
      </c>
      <c r="D5" s="37" t="s">
        <v>120</v>
      </c>
      <c r="E5" s="352" t="s">
        <v>122</v>
      </c>
      <c r="F5" s="38" t="s">
        <v>187</v>
      </c>
      <c r="G5" s="39">
        <v>15360550807</v>
      </c>
      <c r="H5" s="40"/>
      <c r="I5" s="40"/>
      <c r="J5" s="69"/>
      <c r="K5" s="40"/>
      <c r="L5" s="70">
        <v>6100</v>
      </c>
      <c r="M5" s="71">
        <f>VLOOKUP(C5,[2]Sheet1!$B$2:$D$16,3,0)</f>
        <v>422.72</v>
      </c>
      <c r="N5" s="71">
        <f>VLOOKUP(C5,[2]Sheet1!$B$2:$F$16,5,0)</f>
        <v>119.92</v>
      </c>
      <c r="O5" s="71">
        <f>VLOOKUP(C5,[2]Sheet1!$B$1:$E$16,4,0)</f>
        <v>4.6</v>
      </c>
      <c r="P5" s="71">
        <f>VLOOKUP(C5,[2]Sheet1!$B$2:$H$16,7,0)</f>
        <v>115</v>
      </c>
      <c r="Q5" s="89">
        <f>ROUND(SUM(M5:P5),2)</f>
        <v>662.24</v>
      </c>
      <c r="R5" s="70">
        <v>0</v>
      </c>
      <c r="S5" s="90">
        <f>L5+IFERROR(VLOOKUP($E:$E,'（居民）工资表-5月'!$E:$S,15,0),0)</f>
        <v>29360</v>
      </c>
      <c r="T5" s="91">
        <f>5000+IFERROR(VLOOKUP($E:$E,'（居民）工资表-5月'!$E:$T,16,0),0)</f>
        <v>25000</v>
      </c>
      <c r="U5" s="91">
        <f>Q5+IFERROR(VLOOKUP($E:$E,'（居民）工资表-5月'!$E:$U,17,0),0)</f>
        <v>3462.64</v>
      </c>
      <c r="V5" s="70"/>
      <c r="W5" s="70"/>
      <c r="X5" s="70"/>
      <c r="Y5" s="70"/>
      <c r="Z5" s="70"/>
      <c r="AA5" s="70"/>
      <c r="AB5" s="90">
        <f>ROUND(SUM(V5:AA5),2)</f>
        <v>0</v>
      </c>
      <c r="AC5" s="90">
        <f>R5+IFERROR(VLOOKUP($E:$E,'（居民）工资表-5月'!$E:$AC,25,0),0)</f>
        <v>0</v>
      </c>
      <c r="AD5" s="95">
        <f>ROUND(S5-T5-U5-AB5-AC5,2)</f>
        <v>897.36</v>
      </c>
      <c r="AE5" s="96">
        <f>ROUND(MAX((AD5)*{0.03;0.1;0.2;0.25;0.3;0.35;0.45}-{0;2520;16920;31920;52920;85920;181920},0),2)</f>
        <v>26.92</v>
      </c>
      <c r="AF5" s="97">
        <f>IFERROR(VLOOKUP(E:E,'（居民）工资表-5月'!E:AF,28,0)+VLOOKUP(E:E,'（居民）工资表-5月'!E:AG,29,0),0)</f>
        <v>13.79</v>
      </c>
      <c r="AG5" s="97">
        <f>IF((AE5-AF5)&lt;0,0,AE5-AF5)</f>
        <v>13.13</v>
      </c>
      <c r="AH5" s="107">
        <f>ROUND(IF((L5-Q5-AG5)&lt;0,0,(L5-Q5-AG5)),2)</f>
        <v>5424.63</v>
      </c>
      <c r="AI5" s="108"/>
      <c r="AJ5" s="107">
        <f>AH5+AI5</f>
        <v>5424.63</v>
      </c>
      <c r="AK5" s="109"/>
      <c r="AL5" s="107">
        <f>AJ5+AG5+AK5</f>
        <v>5437.76</v>
      </c>
      <c r="AM5" s="109"/>
      <c r="AN5" s="109"/>
      <c r="AO5" s="109"/>
      <c r="AP5" s="109"/>
      <c r="AQ5" s="109"/>
      <c r="AR5" s="116" t="str">
        <f>IF(LEN(E5)=18,IF(RIGHT(E5,1)="X",IF(CHOOSE(MOD(SUM(LEFT(RIGHT(E5,18))*7+LEFT(RIGHT(E5,17))*9+LEFT(RIGHT(E5,16))*10+LEFT(RIGHT(E5,15))*5+LEFT(RIGHT(E5,14))*8+LEFT(RIGHT(E5,13))*4+LEFT(RIGHT(E5,12))*2+LEFT(RIGHT(E5,11))*1+LEFT(RIGHT(E5,10))*6+LEFT(RIGHT(E5,9))*3+LEFT(RIGHT(E5,8))*7+LEFT(RIGHT(E5,7))*9+LEFT(RIGHT(E5,6))*10+LEFT(RIGHT(E5,5))*5+LEFT(RIGHT(E5,4))*8+LEFT(RIGHT(E5,3))*4+LEFT(RIGHT(E5,2))*2),11)+1,1,0,"X",9,8,7,6,5,4,3,2)=LEFT(RIGHT(E5,1)),"正确","错误"),IF(CHOOSE(MOD(SUM(LEFT(RIGHT(E5,18))*7+LEFT(RIGHT(E5,17))*9+LEFT(RIGHT(E5,16))*10+LEFT(RIGHT(E5,15))*5+LEFT(RIGHT(E5,14))*8+LEFT(RIGHT(E5,13))*4+LEFT(RIGHT(E5,12))*2+LEFT(RIGHT(E5,11))*1+LEFT(RIGHT(E5,10))*6+LEFT(RIGHT(E5,9))*3+LEFT(RIGHT(E5,8))*7+LEFT(RIGHT(E5,7))*9+LEFT(RIGHT(E5,6))*10+LEFT(RIGHT(E5,5))*5+LEFT(RIGHT(E5,4))*8+LEFT(RIGHT(E5,3))*4+LEFT(RIGHT(E5,2))*2),11)+1,1,0,"X",9,8,7,6,5,4,3,2)=LEFT(RIGHT(E5,1))*1,"正确","错误")),IF(LEN(E5)=15,"老号，请注意！",IF(LEN(E5)=0,"未填写身份证号码","位数不对！")))</f>
        <v>正确</v>
      </c>
      <c r="AS5" s="116" t="str">
        <f>IF(SUMPRODUCT(N(E$1:E$19=E5))&gt;1,"重复","不")</f>
        <v>不</v>
      </c>
      <c r="AT5" s="116" t="str">
        <f>IF(SUMPRODUCT(N(AO$1:AO$19=AO5))&gt;1,"重复","不")</f>
        <v>重复</v>
      </c>
    </row>
    <row r="6" s="12" customFormat="1" ht="18" customHeight="1" spans="1:46">
      <c r="A6" s="36">
        <v>3</v>
      </c>
      <c r="B6" s="37" t="s">
        <v>184</v>
      </c>
      <c r="C6" s="37" t="s">
        <v>123</v>
      </c>
      <c r="D6" s="37" t="s">
        <v>120</v>
      </c>
      <c r="E6" s="352" t="s">
        <v>124</v>
      </c>
      <c r="F6" s="38" t="s">
        <v>185</v>
      </c>
      <c r="G6" s="39" t="s">
        <v>125</v>
      </c>
      <c r="H6" s="40"/>
      <c r="I6" s="40"/>
      <c r="J6" s="69"/>
      <c r="K6" s="40"/>
      <c r="L6" s="70">
        <v>30060</v>
      </c>
      <c r="M6" s="71">
        <f>VLOOKUP(C6,[2]Sheet1!$B$2:$D$16,3,0)</f>
        <v>584.8</v>
      </c>
      <c r="N6" s="71">
        <f>VLOOKUP(C6,[2]Sheet1!$B$2:$F$16,5,0)</f>
        <v>146.2</v>
      </c>
      <c r="O6" s="71">
        <f>VLOOKUP(C6,[2]Sheet1!$B$1:$E$16,4,0)</f>
        <v>36.55</v>
      </c>
      <c r="P6" s="71">
        <f>VLOOKUP(C6,[2]Sheet1!$B$2:$H$16,7,0)</f>
        <v>181</v>
      </c>
      <c r="Q6" s="89">
        <f>ROUND(SUM(M6:P6),2)</f>
        <v>948.55</v>
      </c>
      <c r="R6" s="70">
        <v>0</v>
      </c>
      <c r="S6" s="90">
        <f>L6+IFERROR(VLOOKUP($E:$E,'（居民）工资表-5月'!$E:$S,15,0),0)</f>
        <v>150300</v>
      </c>
      <c r="T6" s="91">
        <f>5000+IFERROR(VLOOKUP($E:$E,'（居民）工资表-5月'!$E:$T,16,0),0)</f>
        <v>25000</v>
      </c>
      <c r="U6" s="91">
        <f>Q6+IFERROR(VLOOKUP($E:$E,'（居民）工资表-5月'!$E:$U,17,0),0)</f>
        <v>4757.52</v>
      </c>
      <c r="V6" s="70"/>
      <c r="W6" s="70"/>
      <c r="X6" s="70"/>
      <c r="Y6" s="70"/>
      <c r="Z6" s="70"/>
      <c r="AA6" s="70"/>
      <c r="AB6" s="90">
        <f>ROUND(SUM(V6:AA6),2)</f>
        <v>0</v>
      </c>
      <c r="AC6" s="90">
        <f>R6+IFERROR(VLOOKUP($E:$E,'（居民）工资表-5月'!$E:$AC,25,0),0)</f>
        <v>0</v>
      </c>
      <c r="AD6" s="95">
        <f>ROUND(S6-T6-U6-AB6-AC6,2)</f>
        <v>120542.48</v>
      </c>
      <c r="AE6" s="96">
        <f>ROUND(MAX((AD6)*{0.03;0.1;0.2;0.25;0.3;0.35;0.45}-{0;2520;16920;31920;52920;85920;181920},0),2)</f>
        <v>9534.25</v>
      </c>
      <c r="AF6" s="97">
        <f>IFERROR(VLOOKUP(E:E,'（居民）工资表-5月'!E:AF,28,0)+VLOOKUP(E:E,'（居民）工资表-5月'!E:AG,29,0),0)</f>
        <v>7123.1</v>
      </c>
      <c r="AG6" s="97">
        <f>IF((AE6-AF6)&lt;0,0,AE6-AF6)</f>
        <v>2411.15</v>
      </c>
      <c r="AH6" s="107">
        <f>ROUND(IF((L6-Q6-AG6)&lt;0,0,(L6-Q6-AG6)),2)</f>
        <v>26700.3</v>
      </c>
      <c r="AI6" s="108"/>
      <c r="AJ6" s="107">
        <f>AH6+AI6</f>
        <v>26700.3</v>
      </c>
      <c r="AK6" s="109"/>
      <c r="AL6" s="107">
        <f>AJ6+AG6+AK6</f>
        <v>29111.45</v>
      </c>
      <c r="AM6" s="109"/>
      <c r="AN6" s="109"/>
      <c r="AO6" s="109"/>
      <c r="AP6" s="109"/>
      <c r="AQ6" s="109"/>
      <c r="AR6" s="116" t="str">
        <f>IF(LEN(E6)=18,IF(RIGHT(E6,1)="X",IF(CHOOSE(MOD(SUM(LEFT(RIGHT(E6,18))*7+LEFT(RIGHT(E6,17))*9+LEFT(RIGHT(E6,16))*10+LEFT(RIGHT(E6,15))*5+LEFT(RIGHT(E6,14))*8+LEFT(RIGHT(E6,13))*4+LEFT(RIGHT(E6,12))*2+LEFT(RIGHT(E6,11))*1+LEFT(RIGHT(E6,10))*6+LEFT(RIGHT(E6,9))*3+LEFT(RIGHT(E6,8))*7+LEFT(RIGHT(E6,7))*9+LEFT(RIGHT(E6,6))*10+LEFT(RIGHT(E6,5))*5+LEFT(RIGHT(E6,4))*8+LEFT(RIGHT(E6,3))*4+LEFT(RIGHT(E6,2))*2),11)+1,1,0,"X",9,8,7,6,5,4,3,2)=LEFT(RIGHT(E6,1)),"正确","错误"),IF(CHOOSE(MOD(SUM(LEFT(RIGHT(E6,18))*7+LEFT(RIGHT(E6,17))*9+LEFT(RIGHT(E6,16))*10+LEFT(RIGHT(E6,15))*5+LEFT(RIGHT(E6,14))*8+LEFT(RIGHT(E6,13))*4+LEFT(RIGHT(E6,12))*2+LEFT(RIGHT(E6,11))*1+LEFT(RIGHT(E6,10))*6+LEFT(RIGHT(E6,9))*3+LEFT(RIGHT(E6,8))*7+LEFT(RIGHT(E6,7))*9+LEFT(RIGHT(E6,6))*10+LEFT(RIGHT(E6,5))*5+LEFT(RIGHT(E6,4))*8+LEFT(RIGHT(E6,3))*4+LEFT(RIGHT(E6,2))*2),11)+1,1,0,"X",9,8,7,6,5,4,3,2)=LEFT(RIGHT(E6,1))*1,"正确","错误")),IF(LEN(E6)=15,"老号，请注意！",IF(LEN(E6)=0,"未填写身份证号码","位数不对！")))</f>
        <v>正确</v>
      </c>
      <c r="AS6" s="116" t="str">
        <f>IF(SUMPRODUCT(N(E$1:E$19=E6))&gt;1,"重复","不")</f>
        <v>不</v>
      </c>
      <c r="AT6" s="116" t="str">
        <f>IF(SUMPRODUCT(N(AO$1:AO$19=AO6))&gt;1,"重复","不")</f>
        <v>重复</v>
      </c>
    </row>
    <row r="7" s="12" customFormat="1" ht="18" customHeight="1" spans="1:46">
      <c r="A7" s="36">
        <v>4</v>
      </c>
      <c r="B7" s="37" t="s">
        <v>184</v>
      </c>
      <c r="C7" s="37" t="s">
        <v>126</v>
      </c>
      <c r="D7" s="37" t="s">
        <v>120</v>
      </c>
      <c r="E7" s="352" t="s">
        <v>127</v>
      </c>
      <c r="F7" s="38" t="s">
        <v>185</v>
      </c>
      <c r="G7" s="39" t="s">
        <v>128</v>
      </c>
      <c r="H7" s="40"/>
      <c r="I7" s="40"/>
      <c r="J7" s="69"/>
      <c r="K7" s="40"/>
      <c r="L7" s="70">
        <v>9000</v>
      </c>
      <c r="M7" s="71">
        <f>VLOOKUP(C7,[2]Sheet1!$B$2:$D$16,3,0)</f>
        <v>321.52</v>
      </c>
      <c r="N7" s="71">
        <f>VLOOKUP(C7,[2]Sheet1!$B$2:$F$16,5,0)</f>
        <v>89.09</v>
      </c>
      <c r="O7" s="71">
        <f>VLOOKUP(C7,[2]Sheet1!$B$1:$E$16,4,0)</f>
        <v>20.1</v>
      </c>
      <c r="P7" s="71">
        <f>VLOOKUP(C7,[2]Sheet1!$B$2:$H$16,7,0)</f>
        <v>97</v>
      </c>
      <c r="Q7" s="89">
        <f t="shared" ref="Q7:Q18" si="0">ROUND(SUM(M7:P7),2)</f>
        <v>527.71</v>
      </c>
      <c r="R7" s="70">
        <v>0</v>
      </c>
      <c r="S7" s="90">
        <f>L7+IFERROR(VLOOKUP($E:$E,'（居民）工资表-5月'!$E:$S,15,0),0)</f>
        <v>43000</v>
      </c>
      <c r="T7" s="91">
        <f>5000+IFERROR(VLOOKUP($E:$E,'（居民）工资表-5月'!$E:$T,16,0),0)</f>
        <v>25000</v>
      </c>
      <c r="U7" s="91">
        <f>Q7+IFERROR(VLOOKUP($E:$E,'（居民）工资表-5月'!$E:$U,17,0),0)</f>
        <v>2660.84</v>
      </c>
      <c r="V7" s="70"/>
      <c r="W7" s="70"/>
      <c r="X7" s="70"/>
      <c r="Y7" s="70"/>
      <c r="Z7" s="70"/>
      <c r="AA7" s="70"/>
      <c r="AB7" s="90">
        <f t="shared" ref="AB7:AB18" si="1">ROUND(SUM(V7:AA7),2)</f>
        <v>0</v>
      </c>
      <c r="AC7" s="90">
        <f>R7+IFERROR(VLOOKUP($E:$E,'（居民）工资表-5月'!$E:$AC,25,0),0)</f>
        <v>0</v>
      </c>
      <c r="AD7" s="95">
        <f t="shared" ref="AD7:AD18" si="2">ROUND(S7-T7-U7-AB7-AC7,2)</f>
        <v>15339.16</v>
      </c>
      <c r="AE7" s="96">
        <f>ROUND(MAX((AD7)*{0.03;0.1;0.2;0.25;0.3;0.35;0.45}-{0;2520;16920;31920;52920;85920;181920},0),2)</f>
        <v>460.17</v>
      </c>
      <c r="AF7" s="97">
        <f>IFERROR(VLOOKUP(E:E,'（居民）工资表-5月'!E:AF,28,0)+VLOOKUP(E:E,'（居民）工资表-5月'!E:AG,29,0),0)</f>
        <v>356.01</v>
      </c>
      <c r="AG7" s="97">
        <f t="shared" ref="AG7:AG18" si="3">IF((AE7-AF7)&lt;0,0,AE7-AF7)</f>
        <v>104.16</v>
      </c>
      <c r="AH7" s="107">
        <f t="shared" ref="AH7:AH18" si="4">ROUND(IF((L7-Q7-AG7)&lt;0,0,(L7-Q7-AG7)),2)</f>
        <v>8368.13</v>
      </c>
      <c r="AI7" s="108"/>
      <c r="AJ7" s="107">
        <f t="shared" ref="AJ7:AJ18" si="5">AH7+AI7</f>
        <v>8368.13</v>
      </c>
      <c r="AK7" s="109"/>
      <c r="AL7" s="107">
        <f t="shared" ref="AL7:AL18" si="6">AJ7+AG7+AK7</f>
        <v>8472.29</v>
      </c>
      <c r="AM7" s="109"/>
      <c r="AN7" s="109"/>
      <c r="AO7" s="109"/>
      <c r="AP7" s="109"/>
      <c r="AQ7" s="109"/>
      <c r="AR7" s="116" t="str">
        <f t="shared" ref="AR7:AR18" si="7">IF(LEN(E7)=18,IF(RIGHT(E7,1)="X",IF(CHOOSE(MOD(SUM(LEFT(RIGHT(E7,18))*7+LEFT(RIGHT(E7,17))*9+LEFT(RIGHT(E7,16))*10+LEFT(RIGHT(E7,15))*5+LEFT(RIGHT(E7,14))*8+LEFT(RIGHT(E7,13))*4+LEFT(RIGHT(E7,12))*2+LEFT(RIGHT(E7,11))*1+LEFT(RIGHT(E7,10))*6+LEFT(RIGHT(E7,9))*3+LEFT(RIGHT(E7,8))*7+LEFT(RIGHT(E7,7))*9+LEFT(RIGHT(E7,6))*10+LEFT(RIGHT(E7,5))*5+LEFT(RIGHT(E7,4))*8+LEFT(RIGHT(E7,3))*4+LEFT(RIGHT(E7,2))*2),11)+1,1,0,"X",9,8,7,6,5,4,3,2)=LEFT(RIGHT(E7,1)),"正确","错误"),IF(CHOOSE(MOD(SUM(LEFT(RIGHT(E7,18))*7+LEFT(RIGHT(E7,17))*9+LEFT(RIGHT(E7,16))*10+LEFT(RIGHT(E7,15))*5+LEFT(RIGHT(E7,14))*8+LEFT(RIGHT(E7,13))*4+LEFT(RIGHT(E7,12))*2+LEFT(RIGHT(E7,11))*1+LEFT(RIGHT(E7,10))*6+LEFT(RIGHT(E7,9))*3+LEFT(RIGHT(E7,8))*7+LEFT(RIGHT(E7,7))*9+LEFT(RIGHT(E7,6))*10+LEFT(RIGHT(E7,5))*5+LEFT(RIGHT(E7,4))*8+LEFT(RIGHT(E7,3))*4+LEFT(RIGHT(E7,2))*2),11)+1,1,0,"X",9,8,7,6,5,4,3,2)=LEFT(RIGHT(E7,1))*1,"正确","错误")),IF(LEN(E7)=15,"老号，请注意！",IF(LEN(E7)=0,"未填写身份证号码","位数不对！")))</f>
        <v>正确</v>
      </c>
      <c r="AS7" s="116" t="str">
        <f t="shared" ref="AS7:AS17" si="8">IF(SUMPRODUCT(N(E$1:E$19=E7))&gt;1,"重复","不")</f>
        <v>不</v>
      </c>
      <c r="AT7" s="116" t="str">
        <f t="shared" ref="AT7:AT17" si="9">IF(SUMPRODUCT(N(AO$1:AO$19=AO7))&gt;1,"重复","不")</f>
        <v>重复</v>
      </c>
    </row>
    <row r="8" s="12" customFormat="1" ht="18" customHeight="1" spans="1:46">
      <c r="A8" s="36">
        <v>5</v>
      </c>
      <c r="B8" s="37" t="s">
        <v>184</v>
      </c>
      <c r="C8" s="37" t="s">
        <v>129</v>
      </c>
      <c r="D8" s="37" t="s">
        <v>120</v>
      </c>
      <c r="E8" s="352" t="s">
        <v>130</v>
      </c>
      <c r="F8" s="38" t="s">
        <v>185</v>
      </c>
      <c r="G8" s="39">
        <v>19356875630</v>
      </c>
      <c r="H8" s="40"/>
      <c r="I8" s="40"/>
      <c r="J8" s="69"/>
      <c r="K8" s="40"/>
      <c r="L8" s="70">
        <v>10500</v>
      </c>
      <c r="M8" s="71">
        <f>VLOOKUP(C8,[2]Sheet1!$B$2:$D$16,3,0)</f>
        <v>321.52</v>
      </c>
      <c r="N8" s="71">
        <f>VLOOKUP(C8,[2]Sheet1!$B$2:$F$16,5,0)</f>
        <v>86.38</v>
      </c>
      <c r="O8" s="71">
        <f>VLOOKUP(C8,[2]Sheet1!$B$1:$E$16,4,0)</f>
        <v>20.1</v>
      </c>
      <c r="P8" s="71">
        <f>VLOOKUP(C8,[2]Sheet1!$B$2:$H$16,7,0)</f>
        <v>344</v>
      </c>
      <c r="Q8" s="89">
        <f t="shared" si="0"/>
        <v>772</v>
      </c>
      <c r="R8" s="70">
        <v>0</v>
      </c>
      <c r="S8" s="90">
        <f>L8+IFERROR(VLOOKUP($E:$E,'（居民）工资表-5月'!$E:$S,15,0),0)</f>
        <v>52500</v>
      </c>
      <c r="T8" s="91">
        <f>5000+IFERROR(VLOOKUP($E:$E,'（居民）工资表-5月'!$E:$T,16,0),0)</f>
        <v>25000</v>
      </c>
      <c r="U8" s="91">
        <f>Q8+IFERROR(VLOOKUP($E:$E,'（居民）工资表-5月'!$E:$U,17,0),0)</f>
        <v>3881.84</v>
      </c>
      <c r="V8" s="70"/>
      <c r="W8" s="70"/>
      <c r="X8" s="70"/>
      <c r="Y8" s="70"/>
      <c r="Z8" s="70"/>
      <c r="AA8" s="70"/>
      <c r="AB8" s="90">
        <f t="shared" si="1"/>
        <v>0</v>
      </c>
      <c r="AC8" s="90">
        <f>R8+IFERROR(VLOOKUP($E:$E,'（居民）工资表-5月'!$E:$AC,25,0),0)</f>
        <v>0</v>
      </c>
      <c r="AD8" s="95">
        <f t="shared" si="2"/>
        <v>23618.16</v>
      </c>
      <c r="AE8" s="96">
        <f>ROUND(MAX((AD8)*{0.03;0.1;0.2;0.25;0.3;0.35;0.45}-{0;2520;16920;31920;52920;85920;181920},0),2)</f>
        <v>708.54</v>
      </c>
      <c r="AF8" s="97">
        <f>IFERROR(VLOOKUP(E:E,'（居民）工资表-5月'!E:AF,28,0)+VLOOKUP(E:E,'（居民）工资表-5月'!E:AG,29,0),0)</f>
        <v>566.7</v>
      </c>
      <c r="AG8" s="97">
        <f t="shared" si="3"/>
        <v>141.84</v>
      </c>
      <c r="AH8" s="107">
        <f t="shared" si="4"/>
        <v>9586.16</v>
      </c>
      <c r="AI8" s="108"/>
      <c r="AJ8" s="107">
        <f t="shared" si="5"/>
        <v>9586.16</v>
      </c>
      <c r="AK8" s="109"/>
      <c r="AL8" s="107">
        <f t="shared" si="6"/>
        <v>9728</v>
      </c>
      <c r="AM8" s="109"/>
      <c r="AN8" s="109"/>
      <c r="AO8" s="109"/>
      <c r="AP8" s="109"/>
      <c r="AQ8" s="109"/>
      <c r="AR8" s="116" t="str">
        <f t="shared" si="7"/>
        <v>正确</v>
      </c>
      <c r="AS8" s="116" t="str">
        <f t="shared" si="8"/>
        <v>不</v>
      </c>
      <c r="AT8" s="116" t="str">
        <f t="shared" si="9"/>
        <v>重复</v>
      </c>
    </row>
    <row r="9" s="12" customFormat="1" ht="18" customHeight="1" spans="1:46">
      <c r="A9" s="36">
        <v>6</v>
      </c>
      <c r="B9" s="37" t="s">
        <v>184</v>
      </c>
      <c r="C9" s="37" t="s">
        <v>131</v>
      </c>
      <c r="D9" s="37" t="s">
        <v>120</v>
      </c>
      <c r="E9" s="352" t="s">
        <v>132</v>
      </c>
      <c r="F9" s="38" t="s">
        <v>185</v>
      </c>
      <c r="G9" s="39">
        <v>13973652684</v>
      </c>
      <c r="H9" s="40"/>
      <c r="I9" s="40"/>
      <c r="J9" s="69"/>
      <c r="K9" s="40"/>
      <c r="L9" s="70">
        <v>6500</v>
      </c>
      <c r="M9" s="71">
        <f>VLOOKUP(C9,[2]Sheet1!$B$2:$D$16,3,0)</f>
        <v>324.24</v>
      </c>
      <c r="N9" s="71">
        <f>VLOOKUP(C9,[2]Sheet1!$B$2:$F$16,5,0)</f>
        <v>90.4</v>
      </c>
      <c r="O9" s="71">
        <f>VLOOKUP(C9,[2]Sheet1!$B$1:$E$16,4,0)</f>
        <v>12.16</v>
      </c>
      <c r="P9" s="71">
        <f>VLOOKUP(C9,[2]Sheet1!$B$2:$H$16,7,0)</f>
        <v>100</v>
      </c>
      <c r="Q9" s="89">
        <f t="shared" si="0"/>
        <v>526.8</v>
      </c>
      <c r="R9" s="70">
        <v>0</v>
      </c>
      <c r="S9" s="90">
        <f>L9+IFERROR(VLOOKUP($E:$E,'（居民）工资表-5月'!$E:$S,15,0),0)</f>
        <v>32500</v>
      </c>
      <c r="T9" s="91">
        <f>5000+IFERROR(VLOOKUP($E:$E,'（居民）工资表-5月'!$E:$T,16,0),0)</f>
        <v>25000</v>
      </c>
      <c r="U9" s="91">
        <f>Q9+IFERROR(VLOOKUP($E:$E,'（居民）工资表-5月'!$E:$U,17,0),0)</f>
        <v>2636.98</v>
      </c>
      <c r="V9" s="70"/>
      <c r="W9" s="70"/>
      <c r="X9" s="70"/>
      <c r="Y9" s="70"/>
      <c r="Z9" s="70"/>
      <c r="AA9" s="70"/>
      <c r="AB9" s="90">
        <f t="shared" si="1"/>
        <v>0</v>
      </c>
      <c r="AC9" s="90">
        <f>R9+IFERROR(VLOOKUP($E:$E,'（居民）工资表-5月'!$E:$AC,25,0),0)</f>
        <v>0</v>
      </c>
      <c r="AD9" s="95">
        <f t="shared" si="2"/>
        <v>4863.02</v>
      </c>
      <c r="AE9" s="96">
        <f>ROUND(MAX((AD9)*{0.03;0.1;0.2;0.25;0.3;0.35;0.45}-{0;2520;16920;31920;52920;85920;181920},0),2)</f>
        <v>145.89</v>
      </c>
      <c r="AF9" s="97">
        <f>IFERROR(VLOOKUP(E:E,'（居民）工资表-5月'!E:AF,28,0)+VLOOKUP(E:E,'（居民）工资表-5月'!E:AG,29,0),0)</f>
        <v>116.69</v>
      </c>
      <c r="AG9" s="97">
        <f t="shared" si="3"/>
        <v>29.2</v>
      </c>
      <c r="AH9" s="107">
        <f t="shared" si="4"/>
        <v>5944</v>
      </c>
      <c r="AI9" s="108"/>
      <c r="AJ9" s="107">
        <f t="shared" si="5"/>
        <v>5944</v>
      </c>
      <c r="AK9" s="109"/>
      <c r="AL9" s="107">
        <f t="shared" si="6"/>
        <v>5973.2</v>
      </c>
      <c r="AM9" s="109"/>
      <c r="AN9" s="109"/>
      <c r="AO9" s="109"/>
      <c r="AP9" s="109"/>
      <c r="AQ9" s="109"/>
      <c r="AR9" s="116" t="str">
        <f t="shared" si="7"/>
        <v>正确</v>
      </c>
      <c r="AS9" s="116" t="str">
        <f t="shared" si="8"/>
        <v>不</v>
      </c>
      <c r="AT9" s="116" t="str">
        <f t="shared" si="9"/>
        <v>重复</v>
      </c>
    </row>
    <row r="10" s="12" customFormat="1" ht="18" customHeight="1" spans="1:46">
      <c r="A10" s="36">
        <v>7</v>
      </c>
      <c r="B10" s="37" t="s">
        <v>184</v>
      </c>
      <c r="C10" s="37" t="s">
        <v>192</v>
      </c>
      <c r="D10" s="37" t="s">
        <v>120</v>
      </c>
      <c r="E10" s="352" t="s">
        <v>193</v>
      </c>
      <c r="F10" s="38" t="s">
        <v>187</v>
      </c>
      <c r="G10" s="39" t="s">
        <v>194</v>
      </c>
      <c r="H10" s="40"/>
      <c r="I10" s="40"/>
      <c r="J10" s="69"/>
      <c r="K10" s="40"/>
      <c r="L10" s="70">
        <v>4525.84</v>
      </c>
      <c r="M10" s="71">
        <f>VLOOKUP(C10,[2]Sheet1!$B$2:$D$16,3,0)</f>
        <v>380.08</v>
      </c>
      <c r="N10" s="71">
        <f>VLOOKUP(C10,[2]Sheet1!$B$2:$F$16,5,0)</f>
        <v>117.02</v>
      </c>
      <c r="O10" s="71">
        <f>VLOOKUP(C10,[2]Sheet1!$B$1:$E$16,4,0)</f>
        <v>23.76</v>
      </c>
      <c r="P10" s="71">
        <f>VLOOKUP(C10,[2]Sheet1!$B$2:$H$16,7,0)</f>
        <v>109</v>
      </c>
      <c r="Q10" s="89">
        <f t="shared" si="0"/>
        <v>629.86</v>
      </c>
      <c r="R10" s="70">
        <v>0</v>
      </c>
      <c r="S10" s="90">
        <f>L10+IFERROR(VLOOKUP($E:$E,'（居民）工资表-5月'!$E:$S,15,0),0)</f>
        <v>22526.26</v>
      </c>
      <c r="T10" s="91">
        <f>5000+IFERROR(VLOOKUP($E:$E,'（居民）工资表-5月'!$E:$T,16,0),0)</f>
        <v>25000</v>
      </c>
      <c r="U10" s="91">
        <f>Q10+IFERROR(VLOOKUP($E:$E,'（居民）工资表-5月'!$E:$U,17,0),0)</f>
        <v>3183.81</v>
      </c>
      <c r="V10" s="70"/>
      <c r="W10" s="70"/>
      <c r="X10" s="70"/>
      <c r="Y10" s="70"/>
      <c r="Z10" s="70"/>
      <c r="AA10" s="70"/>
      <c r="AB10" s="90">
        <f t="shared" si="1"/>
        <v>0</v>
      </c>
      <c r="AC10" s="90">
        <f>R10+IFERROR(VLOOKUP($E:$E,'（居民）工资表-5月'!$E:$AC,25,0),0)</f>
        <v>0</v>
      </c>
      <c r="AD10" s="95">
        <f t="shared" si="2"/>
        <v>-5657.55</v>
      </c>
      <c r="AE10" s="96">
        <f>ROUND(MAX((AD10)*{0.03;0.1;0.2;0.25;0.3;0.35;0.45}-{0;2520;16920;31920;52920;85920;181920},0),2)</f>
        <v>0</v>
      </c>
      <c r="AF10" s="97">
        <f>IFERROR(VLOOKUP(E:E,'（居民）工资表-5月'!E:AF,28,0)+VLOOKUP(E:E,'（居民）工资表-5月'!E:AG,29,0),0)</f>
        <v>0</v>
      </c>
      <c r="AG10" s="97">
        <f t="shared" si="3"/>
        <v>0</v>
      </c>
      <c r="AH10" s="107">
        <f t="shared" si="4"/>
        <v>3895.98</v>
      </c>
      <c r="AI10" s="108"/>
      <c r="AJ10" s="107">
        <f t="shared" si="5"/>
        <v>3895.98</v>
      </c>
      <c r="AK10" s="109"/>
      <c r="AL10" s="107">
        <f t="shared" si="6"/>
        <v>3895.98</v>
      </c>
      <c r="AM10" s="109"/>
      <c r="AN10" s="109"/>
      <c r="AO10" s="109"/>
      <c r="AP10" s="109"/>
      <c r="AQ10" s="109"/>
      <c r="AR10" s="116" t="str">
        <f t="shared" si="7"/>
        <v>正确</v>
      </c>
      <c r="AS10" s="116" t="str">
        <f t="shared" si="8"/>
        <v>不</v>
      </c>
      <c r="AT10" s="116" t="str">
        <f t="shared" si="9"/>
        <v>重复</v>
      </c>
    </row>
    <row r="11" s="12" customFormat="1" ht="18" customHeight="1" spans="1:46">
      <c r="A11" s="36">
        <v>8</v>
      </c>
      <c r="B11" s="37" t="s">
        <v>184</v>
      </c>
      <c r="C11" s="37" t="s">
        <v>133</v>
      </c>
      <c r="D11" s="37" t="s">
        <v>120</v>
      </c>
      <c r="E11" s="352" t="s">
        <v>134</v>
      </c>
      <c r="F11" s="38" t="s">
        <v>185</v>
      </c>
      <c r="G11" s="39">
        <v>18356553626</v>
      </c>
      <c r="H11" s="40"/>
      <c r="I11" s="40"/>
      <c r="J11" s="69"/>
      <c r="K11" s="40"/>
      <c r="L11" s="70">
        <v>8500</v>
      </c>
      <c r="M11" s="71">
        <f>VLOOKUP(C11,[2]Sheet1!$B$2:$D$16,3,0)</f>
        <v>321.52</v>
      </c>
      <c r="N11" s="71">
        <f>VLOOKUP(C11,[2]Sheet1!$B$2:$F$16,5,0)</f>
        <v>120.38</v>
      </c>
      <c r="O11" s="71">
        <f>VLOOKUP(C11,[2]Sheet1!$B$1:$E$16,4,0)</f>
        <v>20.1</v>
      </c>
      <c r="P11" s="71">
        <f>VLOOKUP(C11,[2]Sheet1!$B$2:$H$16,7,0)</f>
        <v>97</v>
      </c>
      <c r="Q11" s="89">
        <f t="shared" si="0"/>
        <v>559</v>
      </c>
      <c r="R11" s="70">
        <v>0</v>
      </c>
      <c r="S11" s="90">
        <f>L11+IFERROR(VLOOKUP($E:$E,'（居民）工资表-5月'!$E:$S,15,0),0)</f>
        <v>43000</v>
      </c>
      <c r="T11" s="91">
        <f>5000+IFERROR(VLOOKUP($E:$E,'（居民）工资表-5月'!$E:$T,16,0),0)</f>
        <v>25000</v>
      </c>
      <c r="U11" s="91">
        <f>Q11+IFERROR(VLOOKUP($E:$E,'（居民）工资表-5月'!$E:$U,17,0),0)</f>
        <v>2816.84</v>
      </c>
      <c r="V11" s="70"/>
      <c r="W11" s="70"/>
      <c r="X11" s="70"/>
      <c r="Y11" s="70"/>
      <c r="Z11" s="70"/>
      <c r="AA11" s="70"/>
      <c r="AB11" s="90">
        <f t="shared" si="1"/>
        <v>0</v>
      </c>
      <c r="AC11" s="90">
        <f>R11+IFERROR(VLOOKUP($E:$E,'（居民）工资表-5月'!$E:$AC,25,0),0)</f>
        <v>0</v>
      </c>
      <c r="AD11" s="95">
        <f t="shared" si="2"/>
        <v>15183.16</v>
      </c>
      <c r="AE11" s="96">
        <f>ROUND(MAX((AD11)*{0.03;0.1;0.2;0.25;0.3;0.35;0.45}-{0;2520;16920;31920;52920;85920;181920},0),2)</f>
        <v>455.49</v>
      </c>
      <c r="AF11" s="97">
        <f>IFERROR(VLOOKUP(E:E,'（居民）工资表-5月'!E:AF,28,0)+VLOOKUP(E:E,'（居民）工资表-5月'!E:AG,29,0),0)</f>
        <v>367.26</v>
      </c>
      <c r="AG11" s="97">
        <f t="shared" si="3"/>
        <v>88.23</v>
      </c>
      <c r="AH11" s="107">
        <f t="shared" si="4"/>
        <v>7852.77</v>
      </c>
      <c r="AI11" s="108"/>
      <c r="AJ11" s="107">
        <f t="shared" si="5"/>
        <v>7852.77</v>
      </c>
      <c r="AK11" s="109"/>
      <c r="AL11" s="107">
        <f t="shared" si="6"/>
        <v>7941</v>
      </c>
      <c r="AM11" s="109"/>
      <c r="AN11" s="109"/>
      <c r="AO11" s="109"/>
      <c r="AP11" s="109"/>
      <c r="AQ11" s="109"/>
      <c r="AR11" s="116" t="str">
        <f t="shared" si="7"/>
        <v>正确</v>
      </c>
      <c r="AS11" s="116" t="str">
        <f t="shared" si="8"/>
        <v>不</v>
      </c>
      <c r="AT11" s="116" t="str">
        <f t="shared" si="9"/>
        <v>重复</v>
      </c>
    </row>
    <row r="12" s="12" customFormat="1" ht="18" customHeight="1" spans="1:46">
      <c r="A12" s="36">
        <v>9</v>
      </c>
      <c r="B12" s="37" t="s">
        <v>184</v>
      </c>
      <c r="C12" s="37" t="s">
        <v>135</v>
      </c>
      <c r="D12" s="37" t="s">
        <v>120</v>
      </c>
      <c r="E12" s="352" t="s">
        <v>136</v>
      </c>
      <c r="F12" s="38" t="s">
        <v>185</v>
      </c>
      <c r="G12" s="39">
        <v>18326897140</v>
      </c>
      <c r="H12" s="40"/>
      <c r="I12" s="40"/>
      <c r="J12" s="69"/>
      <c r="K12" s="40"/>
      <c r="L12" s="70">
        <v>7000</v>
      </c>
      <c r="M12" s="71">
        <f>VLOOKUP(C12,[2]Sheet1!$B$2:$D$16,3,0)</f>
        <v>321.52</v>
      </c>
      <c r="N12" s="71">
        <f>VLOOKUP(C12,[2]Sheet1!$B$2:$F$16,5,0)</f>
        <v>86.38</v>
      </c>
      <c r="O12" s="71">
        <f>VLOOKUP(C12,[2]Sheet1!$B$1:$E$16,4,0)</f>
        <v>20.1</v>
      </c>
      <c r="P12" s="71">
        <f>VLOOKUP(C12,[2]Sheet1!$B$2:$H$16,7,0)</f>
        <v>344</v>
      </c>
      <c r="Q12" s="89">
        <f t="shared" si="0"/>
        <v>772</v>
      </c>
      <c r="R12" s="70">
        <v>0</v>
      </c>
      <c r="S12" s="90">
        <f>L12+IFERROR(VLOOKUP($E:$E,'（居民）工资表-5月'!$E:$S,15,0),0)</f>
        <v>35500</v>
      </c>
      <c r="T12" s="91">
        <f>5000+IFERROR(VLOOKUP($E:$E,'（居民）工资表-5月'!$E:$T,16,0),0)</f>
        <v>25000</v>
      </c>
      <c r="U12" s="91">
        <f>Q12+IFERROR(VLOOKUP($E:$E,'（居民）工资表-5月'!$E:$U,17,0),0)</f>
        <v>3881.84</v>
      </c>
      <c r="V12" s="70"/>
      <c r="W12" s="70"/>
      <c r="X12" s="70"/>
      <c r="Y12" s="70"/>
      <c r="Z12" s="70"/>
      <c r="AA12" s="70"/>
      <c r="AB12" s="90">
        <f t="shared" si="1"/>
        <v>0</v>
      </c>
      <c r="AC12" s="90">
        <f>R12+IFERROR(VLOOKUP($E:$E,'（居民）工资表-5月'!$E:$AC,25,0),0)</f>
        <v>0</v>
      </c>
      <c r="AD12" s="95">
        <f t="shared" si="2"/>
        <v>6618.16</v>
      </c>
      <c r="AE12" s="96">
        <f>ROUND(MAX((AD12)*{0.03;0.1;0.2;0.25;0.3;0.35;0.45}-{0;2520;16920;31920;52920;85920;181920},0),2)</f>
        <v>198.54</v>
      </c>
      <c r="AF12" s="97">
        <f>IFERROR(VLOOKUP(E:E,'（居民）工资表-5月'!E:AF,28,0)+VLOOKUP(E:E,'（居民）工资表-5月'!E:AG,29,0),0)</f>
        <v>161.7</v>
      </c>
      <c r="AG12" s="97">
        <f t="shared" si="3"/>
        <v>36.84</v>
      </c>
      <c r="AH12" s="107">
        <f t="shared" si="4"/>
        <v>6191.16</v>
      </c>
      <c r="AI12" s="108"/>
      <c r="AJ12" s="107">
        <f t="shared" si="5"/>
        <v>6191.16</v>
      </c>
      <c r="AK12" s="109"/>
      <c r="AL12" s="107">
        <f t="shared" si="6"/>
        <v>6228</v>
      </c>
      <c r="AM12" s="109"/>
      <c r="AN12" s="109"/>
      <c r="AO12" s="109"/>
      <c r="AP12" s="109"/>
      <c r="AQ12" s="109"/>
      <c r="AR12" s="116" t="str">
        <f t="shared" si="7"/>
        <v>正确</v>
      </c>
      <c r="AS12" s="116" t="str">
        <f t="shared" si="8"/>
        <v>不</v>
      </c>
      <c r="AT12" s="116" t="str">
        <f t="shared" si="9"/>
        <v>重复</v>
      </c>
    </row>
    <row r="13" s="12" customFormat="1" ht="18" customHeight="1" spans="1:46">
      <c r="A13" s="36">
        <v>10</v>
      </c>
      <c r="B13" s="37" t="s">
        <v>184</v>
      </c>
      <c r="C13" s="37" t="s">
        <v>137</v>
      </c>
      <c r="D13" s="37" t="s">
        <v>120</v>
      </c>
      <c r="E13" s="352" t="s">
        <v>138</v>
      </c>
      <c r="F13" s="38" t="s">
        <v>185</v>
      </c>
      <c r="G13" s="39">
        <v>17201857014</v>
      </c>
      <c r="H13" s="40"/>
      <c r="I13" s="40"/>
      <c r="J13" s="69"/>
      <c r="K13" s="40"/>
      <c r="L13" s="70">
        <v>7000</v>
      </c>
      <c r="M13" s="71">
        <f>VLOOKUP(C13,[2]Sheet1!$B$2:$D$16,3,0)</f>
        <v>321.52</v>
      </c>
      <c r="N13" s="71">
        <f>VLOOKUP(C13,[2]Sheet1!$B$2:$F$16,5,0)</f>
        <v>86.38</v>
      </c>
      <c r="O13" s="71">
        <f>VLOOKUP(C13,[2]Sheet1!$B$1:$E$16,4,0)</f>
        <v>20.1</v>
      </c>
      <c r="P13" s="71">
        <f>VLOOKUP(C13,[2]Sheet1!$B$2:$H$16,7,0)</f>
        <v>344</v>
      </c>
      <c r="Q13" s="89">
        <f t="shared" si="0"/>
        <v>772</v>
      </c>
      <c r="R13" s="70">
        <v>0</v>
      </c>
      <c r="S13" s="90">
        <f>L13+IFERROR(VLOOKUP($E:$E,'（居民）工资表-5月'!$E:$S,15,0),0)</f>
        <v>36000</v>
      </c>
      <c r="T13" s="91">
        <f>5000+IFERROR(VLOOKUP($E:$E,'（居民）工资表-5月'!$E:$T,16,0),0)</f>
        <v>25000</v>
      </c>
      <c r="U13" s="91">
        <f>Q13+IFERROR(VLOOKUP($E:$E,'（居民）工资表-5月'!$E:$U,17,0),0)</f>
        <v>3881.84</v>
      </c>
      <c r="V13" s="70"/>
      <c r="W13" s="70"/>
      <c r="X13" s="70"/>
      <c r="Y13" s="70"/>
      <c r="Z13" s="70"/>
      <c r="AA13" s="70"/>
      <c r="AB13" s="90">
        <f t="shared" si="1"/>
        <v>0</v>
      </c>
      <c r="AC13" s="90">
        <f>R13+IFERROR(VLOOKUP($E:$E,'（居民）工资表-5月'!$E:$AC,25,0),0)</f>
        <v>0</v>
      </c>
      <c r="AD13" s="95">
        <f t="shared" si="2"/>
        <v>7118.16</v>
      </c>
      <c r="AE13" s="96">
        <f>ROUND(MAX((AD13)*{0.03;0.1;0.2;0.25;0.3;0.35;0.45}-{0;2520;16920;31920;52920;85920;181920},0),2)</f>
        <v>213.54</v>
      </c>
      <c r="AF13" s="97">
        <f>IFERROR(VLOOKUP(E:E,'（居民）工资表-5月'!E:AF,28,0)+VLOOKUP(E:E,'（居民）工资表-5月'!E:AG,29,0),0)</f>
        <v>176.7</v>
      </c>
      <c r="AG13" s="97">
        <f t="shared" si="3"/>
        <v>36.84</v>
      </c>
      <c r="AH13" s="107">
        <f t="shared" si="4"/>
        <v>6191.16</v>
      </c>
      <c r="AI13" s="108"/>
      <c r="AJ13" s="107">
        <f t="shared" si="5"/>
        <v>6191.16</v>
      </c>
      <c r="AK13" s="109"/>
      <c r="AL13" s="107">
        <f t="shared" si="6"/>
        <v>6228</v>
      </c>
      <c r="AM13" s="109"/>
      <c r="AN13" s="109"/>
      <c r="AO13" s="109"/>
      <c r="AP13" s="109"/>
      <c r="AQ13" s="109"/>
      <c r="AR13" s="116" t="str">
        <f t="shared" si="7"/>
        <v>正确</v>
      </c>
      <c r="AS13" s="116" t="str">
        <f t="shared" si="8"/>
        <v>不</v>
      </c>
      <c r="AT13" s="116" t="str">
        <f t="shared" si="9"/>
        <v>重复</v>
      </c>
    </row>
    <row r="14" s="12" customFormat="1" ht="18" customHeight="1" spans="1:46">
      <c r="A14" s="36">
        <v>11</v>
      </c>
      <c r="B14" s="37" t="s">
        <v>184</v>
      </c>
      <c r="C14" s="37" t="s">
        <v>199</v>
      </c>
      <c r="D14" s="37" t="s">
        <v>120</v>
      </c>
      <c r="E14" s="352" t="s">
        <v>200</v>
      </c>
      <c r="F14" s="38" t="s">
        <v>187</v>
      </c>
      <c r="G14" s="39" t="s">
        <v>201</v>
      </c>
      <c r="H14" s="40"/>
      <c r="I14" s="40"/>
      <c r="J14" s="69"/>
      <c r="K14" s="40"/>
      <c r="L14" s="70">
        <v>7000</v>
      </c>
      <c r="M14" s="71">
        <f>VLOOKUP(C14,[2]Sheet1!$B$2:$D$16,3,0)</f>
        <v>321.52</v>
      </c>
      <c r="N14" s="71">
        <f>VLOOKUP(C14,[2]Sheet1!$B$2:$F$16,5,0)</f>
        <v>120.38</v>
      </c>
      <c r="O14" s="71">
        <f>VLOOKUP(C14,[2]Sheet1!$B$1:$E$16,4,0)</f>
        <v>20.1</v>
      </c>
      <c r="P14" s="71">
        <f>VLOOKUP(C14,[2]Sheet1!$B$2:$H$16,7,0)</f>
        <v>97</v>
      </c>
      <c r="Q14" s="89">
        <f t="shared" si="0"/>
        <v>559</v>
      </c>
      <c r="R14" s="70">
        <v>0</v>
      </c>
      <c r="S14" s="90">
        <f>L14+IFERROR(VLOOKUP($E:$E,'（居民）工资表-5月'!$E:$S,15,0),0)</f>
        <v>28000</v>
      </c>
      <c r="T14" s="91">
        <f>5000+IFERROR(VLOOKUP($E:$E,'（居民）工资表-5月'!$E:$T,16,0),0)</f>
        <v>20000</v>
      </c>
      <c r="U14" s="91">
        <f>Q14+IFERROR(VLOOKUP($E:$E,'（居民）工资表-5月'!$E:$U,17,0),0)</f>
        <v>2236</v>
      </c>
      <c r="V14" s="70"/>
      <c r="W14" s="70"/>
      <c r="X14" s="70"/>
      <c r="Y14" s="70"/>
      <c r="Z14" s="70"/>
      <c r="AA14" s="70"/>
      <c r="AB14" s="90">
        <f t="shared" si="1"/>
        <v>0</v>
      </c>
      <c r="AC14" s="90">
        <f>R14+IFERROR(VLOOKUP($E:$E,'（居民）工资表-5月'!$E:$AC,25,0),0)</f>
        <v>0</v>
      </c>
      <c r="AD14" s="95">
        <f t="shared" si="2"/>
        <v>5764</v>
      </c>
      <c r="AE14" s="96">
        <f>ROUND(MAX((AD14)*{0.03;0.1;0.2;0.25;0.3;0.35;0.45}-{0;2520;16920;31920;52920;85920;181920},0),2)</f>
        <v>172.92</v>
      </c>
      <c r="AF14" s="97">
        <f>IFERROR(VLOOKUP(E:E,'（居民）工资表-5月'!E:AF,28,0)+VLOOKUP(E:E,'（居民）工资表-5月'!E:AG,29,0),0)</f>
        <v>129.69</v>
      </c>
      <c r="AG14" s="97">
        <f t="shared" si="3"/>
        <v>43.23</v>
      </c>
      <c r="AH14" s="107">
        <f t="shared" si="4"/>
        <v>6397.77</v>
      </c>
      <c r="AI14" s="108"/>
      <c r="AJ14" s="107">
        <f t="shared" si="5"/>
        <v>6397.77</v>
      </c>
      <c r="AK14" s="109"/>
      <c r="AL14" s="107">
        <f t="shared" si="6"/>
        <v>6441</v>
      </c>
      <c r="AM14" s="109"/>
      <c r="AN14" s="109"/>
      <c r="AO14" s="109"/>
      <c r="AP14" s="109"/>
      <c r="AQ14" s="109"/>
      <c r="AR14" s="116" t="str">
        <f t="shared" si="7"/>
        <v>正确</v>
      </c>
      <c r="AS14" s="116" t="str">
        <f t="shared" si="8"/>
        <v>不</v>
      </c>
      <c r="AT14" s="116" t="str">
        <f t="shared" si="9"/>
        <v>重复</v>
      </c>
    </row>
    <row r="15" s="12" customFormat="1" ht="18" customHeight="1" spans="1:46">
      <c r="A15" s="36">
        <v>12</v>
      </c>
      <c r="B15" s="37" t="s">
        <v>184</v>
      </c>
      <c r="C15" s="37" t="s">
        <v>202</v>
      </c>
      <c r="D15" s="37" t="s">
        <v>120</v>
      </c>
      <c r="E15" s="352" t="s">
        <v>203</v>
      </c>
      <c r="F15" s="38" t="s">
        <v>187</v>
      </c>
      <c r="G15" s="39">
        <v>15855788591</v>
      </c>
      <c r="H15" s="40"/>
      <c r="I15" s="40"/>
      <c r="J15" s="69"/>
      <c r="K15" s="40"/>
      <c r="L15" s="70">
        <v>6060</v>
      </c>
      <c r="M15" s="71">
        <f>VLOOKUP(C15,[2]Sheet1!$B$2:$D$16,3,0)</f>
        <v>321.52</v>
      </c>
      <c r="N15" s="71">
        <f>VLOOKUP(C15,[2]Sheet1!$B$2:$F$16,5,0)</f>
        <v>89.09</v>
      </c>
      <c r="O15" s="71">
        <f>VLOOKUP(C15,[2]Sheet1!$B$1:$E$16,4,0)</f>
        <v>20.1</v>
      </c>
      <c r="P15" s="71">
        <f>VLOOKUP(C15,[2]Sheet1!$B$2:$H$16,7,0)</f>
        <v>97</v>
      </c>
      <c r="Q15" s="89">
        <f t="shared" si="0"/>
        <v>527.71</v>
      </c>
      <c r="R15" s="70">
        <v>0</v>
      </c>
      <c r="S15" s="90">
        <f>L15+IFERROR(VLOOKUP($E:$E,'（居民）工资表-5月'!$E:$S,15,0),0)</f>
        <v>24480</v>
      </c>
      <c r="T15" s="91">
        <f>5000+IFERROR(VLOOKUP($E:$E,'（居民）工资表-5月'!$E:$T,16,0),0)</f>
        <v>20000</v>
      </c>
      <c r="U15" s="91">
        <f>Q15+IFERROR(VLOOKUP($E:$E,'（居民）工资表-5月'!$E:$U,17,0),0)</f>
        <v>2110.84</v>
      </c>
      <c r="V15" s="70"/>
      <c r="W15" s="70"/>
      <c r="X15" s="70"/>
      <c r="Y15" s="70"/>
      <c r="Z15" s="70"/>
      <c r="AA15" s="70"/>
      <c r="AB15" s="90">
        <f t="shared" si="1"/>
        <v>0</v>
      </c>
      <c r="AC15" s="90">
        <f>R15+IFERROR(VLOOKUP($E:$E,'（居民）工资表-5月'!$E:$AC,25,0),0)</f>
        <v>0</v>
      </c>
      <c r="AD15" s="95">
        <f t="shared" si="2"/>
        <v>2369.16</v>
      </c>
      <c r="AE15" s="96">
        <f>ROUND(MAX((AD15)*{0.03;0.1;0.2;0.25;0.3;0.35;0.45}-{0;2520;16920;31920;52920;85920;181920},0),2)</f>
        <v>71.07</v>
      </c>
      <c r="AF15" s="97">
        <f>IFERROR(VLOOKUP(E:E,'（居民）工资表-5月'!E:AF,28,0)+VLOOKUP(E:E,'（居民）工资表-5月'!E:AG,29,0),0)</f>
        <v>55.11</v>
      </c>
      <c r="AG15" s="97">
        <f t="shared" si="3"/>
        <v>15.96</v>
      </c>
      <c r="AH15" s="107">
        <f t="shared" si="4"/>
        <v>5516.33</v>
      </c>
      <c r="AI15" s="108"/>
      <c r="AJ15" s="107">
        <f t="shared" si="5"/>
        <v>5516.33</v>
      </c>
      <c r="AK15" s="109"/>
      <c r="AL15" s="107">
        <f t="shared" si="6"/>
        <v>5532.29</v>
      </c>
      <c r="AM15" s="109"/>
      <c r="AN15" s="109"/>
      <c r="AO15" s="109"/>
      <c r="AP15" s="109"/>
      <c r="AQ15" s="109"/>
      <c r="AR15" s="116" t="str">
        <f t="shared" si="7"/>
        <v>正确</v>
      </c>
      <c r="AS15" s="116" t="str">
        <f t="shared" si="8"/>
        <v>不</v>
      </c>
      <c r="AT15" s="116" t="str">
        <f t="shared" si="9"/>
        <v>重复</v>
      </c>
    </row>
    <row r="16" s="12" customFormat="1" ht="18" customHeight="1" spans="1:46">
      <c r="A16" s="36">
        <v>13</v>
      </c>
      <c r="B16" s="37" t="s">
        <v>184</v>
      </c>
      <c r="C16" s="37" t="s">
        <v>139</v>
      </c>
      <c r="D16" s="37" t="s">
        <v>120</v>
      </c>
      <c r="E16" s="352" t="s">
        <v>140</v>
      </c>
      <c r="F16" s="38" t="s">
        <v>187</v>
      </c>
      <c r="G16" s="39"/>
      <c r="H16" s="40"/>
      <c r="I16" s="40"/>
      <c r="J16" s="69"/>
      <c r="K16" s="40"/>
      <c r="L16" s="70">
        <v>6000</v>
      </c>
      <c r="M16" s="71">
        <f>VLOOKUP(C16,[2]Sheet1!$B$2:$D$16,3,0)</f>
        <v>321.52</v>
      </c>
      <c r="N16" s="71">
        <f>VLOOKUP(C16,[2]Sheet1!$B$2:$F$16,5,0)</f>
        <v>80.38</v>
      </c>
      <c r="O16" s="71">
        <f>VLOOKUP(C16,[2]Sheet1!$B$1:$E$16,4,0)</f>
        <v>20.1</v>
      </c>
      <c r="P16" s="71">
        <f>VLOOKUP(C16,[2]Sheet1!$B$2:$H$16,7,0)</f>
        <v>103</v>
      </c>
      <c r="Q16" s="89">
        <f t="shared" si="0"/>
        <v>525</v>
      </c>
      <c r="R16" s="70">
        <v>0</v>
      </c>
      <c r="S16" s="90">
        <f>L16+IFERROR(VLOOKUP($E:$E,'（居民）工资表-5月'!$E:$S,15,0),0)</f>
        <v>30000</v>
      </c>
      <c r="T16" s="91">
        <f>5000+IFERROR(VLOOKUP($E:$E,'（居民）工资表-5月'!$E:$T,16,0),0)</f>
        <v>25000</v>
      </c>
      <c r="U16" s="91">
        <f>Q16+IFERROR(VLOOKUP($E:$E,'（居民）工资表-5月'!$E:$U,17,0),0)</f>
        <v>2646.84</v>
      </c>
      <c r="V16" s="70"/>
      <c r="W16" s="70"/>
      <c r="X16" s="70"/>
      <c r="Y16" s="70"/>
      <c r="Z16" s="70"/>
      <c r="AA16" s="70"/>
      <c r="AB16" s="90">
        <f t="shared" si="1"/>
        <v>0</v>
      </c>
      <c r="AC16" s="90">
        <f>R16+IFERROR(VLOOKUP($E:$E,'（居民）工资表-5月'!$E:$AC,25,0),0)</f>
        <v>0</v>
      </c>
      <c r="AD16" s="95">
        <f t="shared" si="2"/>
        <v>2353.16</v>
      </c>
      <c r="AE16" s="96">
        <f>ROUND(MAX((AD16)*{0.03;0.1;0.2;0.25;0.3;0.35;0.45}-{0;2520;16920;31920;52920;85920;181920},0),2)</f>
        <v>70.59</v>
      </c>
      <c r="AF16" s="97">
        <f>IFERROR(VLOOKUP(E:E,'（居民）工资表-5月'!E:AF,28,0)+VLOOKUP(E:E,'（居民）工资表-5月'!E:AG,29,0),0)</f>
        <v>56.34</v>
      </c>
      <c r="AG16" s="97">
        <f t="shared" si="3"/>
        <v>14.25</v>
      </c>
      <c r="AH16" s="107">
        <f t="shared" si="4"/>
        <v>5460.75</v>
      </c>
      <c r="AI16" s="108"/>
      <c r="AJ16" s="107">
        <f t="shared" si="5"/>
        <v>5460.75</v>
      </c>
      <c r="AK16" s="109"/>
      <c r="AL16" s="107">
        <f t="shared" si="6"/>
        <v>5475</v>
      </c>
      <c r="AM16" s="109"/>
      <c r="AN16" s="109"/>
      <c r="AO16" s="109"/>
      <c r="AP16" s="109"/>
      <c r="AQ16" s="109"/>
      <c r="AR16" s="116" t="str">
        <f t="shared" si="7"/>
        <v>正确</v>
      </c>
      <c r="AS16" s="116" t="str">
        <f t="shared" si="8"/>
        <v>不</v>
      </c>
      <c r="AT16" s="116" t="str">
        <f t="shared" si="9"/>
        <v>重复</v>
      </c>
    </row>
    <row r="17" s="12" customFormat="1" ht="18" customHeight="1" spans="1:46">
      <c r="A17" s="36">
        <v>14</v>
      </c>
      <c r="B17" s="37" t="s">
        <v>184</v>
      </c>
      <c r="C17" s="37" t="s">
        <v>141</v>
      </c>
      <c r="D17" s="37" t="s">
        <v>120</v>
      </c>
      <c r="E17" s="352" t="s">
        <v>142</v>
      </c>
      <c r="F17" s="38" t="s">
        <v>185</v>
      </c>
      <c r="G17" s="39">
        <v>15056587375</v>
      </c>
      <c r="H17" s="40"/>
      <c r="I17" s="40"/>
      <c r="J17" s="69"/>
      <c r="K17" s="40"/>
      <c r="L17" s="70">
        <v>10000</v>
      </c>
      <c r="M17" s="71">
        <f>VLOOKUP(C17,[2]Sheet1!$B$2:$D$16,3,0)</f>
        <v>321.52</v>
      </c>
      <c r="N17" s="71">
        <f>VLOOKUP(C17,[2]Sheet1!$B$2:$F$16,5,0)</f>
        <v>89.09</v>
      </c>
      <c r="O17" s="71">
        <f>VLOOKUP(C17,[2]Sheet1!$B$1:$E$16,4,0)</f>
        <v>20.1</v>
      </c>
      <c r="P17" s="71">
        <f>VLOOKUP(C17,[2]Sheet1!$B$2:$H$16,7,0)</f>
        <v>97</v>
      </c>
      <c r="Q17" s="89">
        <f t="shared" si="0"/>
        <v>527.71</v>
      </c>
      <c r="R17" s="70">
        <v>0</v>
      </c>
      <c r="S17" s="90">
        <f>L17+IFERROR(VLOOKUP($E:$E,'（居民）工资表-5月'!$E:$S,15,0),0)</f>
        <v>49904.76</v>
      </c>
      <c r="T17" s="91">
        <f>5000+IFERROR(VLOOKUP($E:$E,'（居民）工资表-5月'!$E:$T,16,0),0)</f>
        <v>25000</v>
      </c>
      <c r="U17" s="91">
        <f>Q17+IFERROR(VLOOKUP($E:$E,'（居民）工资表-5月'!$E:$U,17,0),0)</f>
        <v>2660.84</v>
      </c>
      <c r="V17" s="70"/>
      <c r="W17" s="70"/>
      <c r="X17" s="70"/>
      <c r="Y17" s="70"/>
      <c r="Z17" s="70"/>
      <c r="AA17" s="70"/>
      <c r="AB17" s="90">
        <f t="shared" si="1"/>
        <v>0</v>
      </c>
      <c r="AC17" s="90">
        <f>R17+IFERROR(VLOOKUP($E:$E,'（居民）工资表-5月'!$E:$AC,25,0),0)</f>
        <v>0</v>
      </c>
      <c r="AD17" s="95">
        <f t="shared" si="2"/>
        <v>22243.92</v>
      </c>
      <c r="AE17" s="96">
        <f>ROUND(MAX((AD17)*{0.03;0.1;0.2;0.25;0.3;0.35;0.45}-{0;2520;16920;31920;52920;85920;181920},0),2)</f>
        <v>667.32</v>
      </c>
      <c r="AF17" s="97">
        <f>IFERROR(VLOOKUP(E:E,'（居民）工资表-5月'!E:AF,28,0)+VLOOKUP(E:E,'（居民）工资表-5月'!E:AG,29,0),0)</f>
        <v>533.15</v>
      </c>
      <c r="AG17" s="97">
        <f t="shared" si="3"/>
        <v>134.17</v>
      </c>
      <c r="AH17" s="107">
        <f t="shared" si="4"/>
        <v>9338.12</v>
      </c>
      <c r="AI17" s="108"/>
      <c r="AJ17" s="107">
        <f t="shared" si="5"/>
        <v>9338.12</v>
      </c>
      <c r="AK17" s="109"/>
      <c r="AL17" s="107">
        <f t="shared" si="6"/>
        <v>9472.29</v>
      </c>
      <c r="AM17" s="109"/>
      <c r="AN17" s="109"/>
      <c r="AO17" s="109"/>
      <c r="AP17" s="109"/>
      <c r="AQ17" s="109"/>
      <c r="AR17" s="116" t="str">
        <f t="shared" si="7"/>
        <v>正确</v>
      </c>
      <c r="AS17" s="116" t="str">
        <f t="shared" si="8"/>
        <v>不</v>
      </c>
      <c r="AT17" s="116" t="str">
        <f t="shared" si="9"/>
        <v>重复</v>
      </c>
    </row>
    <row r="18" s="12" customFormat="1" ht="18" customHeight="1" spans="1:46">
      <c r="A18" s="36">
        <v>15</v>
      </c>
      <c r="B18" s="37" t="s">
        <v>184</v>
      </c>
      <c r="C18" s="37" t="s">
        <v>204</v>
      </c>
      <c r="D18" s="37" t="s">
        <v>120</v>
      </c>
      <c r="E18" s="37" t="s">
        <v>205</v>
      </c>
      <c r="F18" s="38" t="s">
        <v>185</v>
      </c>
      <c r="G18" s="39">
        <v>13711361074</v>
      </c>
      <c r="H18" s="40"/>
      <c r="I18" s="40"/>
      <c r="J18" s="69"/>
      <c r="K18" s="40"/>
      <c r="L18" s="70">
        <v>6080</v>
      </c>
      <c r="M18" s="71">
        <f>VLOOKUP(C18,[2]Sheet1!$B$2:$D$16,3,0)</f>
        <v>337.92</v>
      </c>
      <c r="N18" s="71">
        <f>VLOOKUP(C18,[2]Sheet1!$B$2:$F$16,5,0)</f>
        <v>91.48</v>
      </c>
      <c r="O18" s="71">
        <f>VLOOKUP(C18,[2]Sheet1!$B$1:$E$16,4,0)</f>
        <v>12.67</v>
      </c>
      <c r="P18" s="71">
        <f>VLOOKUP(C18,[2]Sheet1!$B$2:$H$16,7,0)</f>
        <v>110.5</v>
      </c>
      <c r="Q18" s="89">
        <f t="shared" si="0"/>
        <v>552.57</v>
      </c>
      <c r="R18" s="70">
        <v>0</v>
      </c>
      <c r="S18" s="90">
        <f>L18+IFERROR(VLOOKUP($E:$E,'（居民）工资表-5月'!$E:$S,15,0),0)</f>
        <v>14186.67</v>
      </c>
      <c r="T18" s="91">
        <f>5000+IFERROR(VLOOKUP($E:$E,'（居民）工资表-5月'!$E:$T,16,0),0)</f>
        <v>15000</v>
      </c>
      <c r="U18" s="91">
        <f>Q18+IFERROR(VLOOKUP($E:$E,'（居民）工资表-5月'!$E:$U,17,0),0)</f>
        <v>2210.28</v>
      </c>
      <c r="V18" s="70"/>
      <c r="W18" s="70"/>
      <c r="X18" s="70"/>
      <c r="Y18" s="70"/>
      <c r="Z18" s="70"/>
      <c r="AA18" s="70"/>
      <c r="AB18" s="90">
        <f t="shared" si="1"/>
        <v>0</v>
      </c>
      <c r="AC18" s="90">
        <f>R18+IFERROR(VLOOKUP($E:$E,'（居民）工资表-5月'!$E:$AC,25,0),0)</f>
        <v>0</v>
      </c>
      <c r="AD18" s="95">
        <f t="shared" si="2"/>
        <v>-3023.61</v>
      </c>
      <c r="AE18" s="96">
        <f>ROUND(MAX((AD18)*{0.03;0.1;0.2;0.25;0.3;0.35;0.45}-{0;2520;16920;31920;52920;85920;181920},0),2)</f>
        <v>0</v>
      </c>
      <c r="AF18" s="97">
        <f>IFERROR(VLOOKUP(E:E,'（居民）工资表-5月'!E:AF,28,0)+VLOOKUP(E:E,'（居民）工资表-5月'!E:AG,29,0),0)</f>
        <v>0</v>
      </c>
      <c r="AG18" s="97">
        <f t="shared" si="3"/>
        <v>0</v>
      </c>
      <c r="AH18" s="107">
        <f t="shared" si="4"/>
        <v>5527.43</v>
      </c>
      <c r="AI18" s="108"/>
      <c r="AJ18" s="107">
        <f t="shared" si="5"/>
        <v>5527.43</v>
      </c>
      <c r="AK18" s="109"/>
      <c r="AL18" s="107">
        <f t="shared" si="6"/>
        <v>5527.43</v>
      </c>
      <c r="AM18" s="109"/>
      <c r="AN18" s="109"/>
      <c r="AO18" s="109"/>
      <c r="AP18" s="109"/>
      <c r="AQ18" s="109"/>
      <c r="AR18" s="116" t="str">
        <f t="shared" si="7"/>
        <v>正确</v>
      </c>
      <c r="AS18" s="116" t="str">
        <f>IF(SUMPRODUCT(N(E$1:E$19=E18))&gt;1,"重复","不")</f>
        <v>不</v>
      </c>
      <c r="AT18" s="116" t="str">
        <f>IF(SUMPRODUCT(N(AO$1:AO$19=AO18))&gt;1,"重复","不")</f>
        <v>重复</v>
      </c>
    </row>
    <row r="19" s="12" customFormat="1" ht="18" customHeight="1" spans="1:46">
      <c r="A19" s="36"/>
      <c r="B19" s="37"/>
      <c r="C19" s="37"/>
      <c r="D19" s="37"/>
      <c r="E19" s="37"/>
      <c r="F19" s="38"/>
      <c r="G19" s="39"/>
      <c r="H19" s="40"/>
      <c r="I19" s="40"/>
      <c r="J19" s="69"/>
      <c r="K19" s="40"/>
      <c r="L19" s="70"/>
      <c r="M19" s="71"/>
      <c r="N19" s="71"/>
      <c r="O19" s="71"/>
      <c r="P19" s="71"/>
      <c r="Q19" s="89"/>
      <c r="R19" s="70"/>
      <c r="S19" s="90"/>
      <c r="T19" s="91"/>
      <c r="U19" s="91"/>
      <c r="V19" s="70"/>
      <c r="W19" s="70"/>
      <c r="X19" s="70"/>
      <c r="Y19" s="70"/>
      <c r="Z19" s="70"/>
      <c r="AA19" s="70"/>
      <c r="AB19" s="90"/>
      <c r="AC19" s="90"/>
      <c r="AD19" s="95"/>
      <c r="AE19" s="96"/>
      <c r="AF19" s="97"/>
      <c r="AG19" s="97"/>
      <c r="AH19" s="107"/>
      <c r="AI19" s="108"/>
      <c r="AJ19" s="107"/>
      <c r="AK19" s="109"/>
      <c r="AL19" s="107"/>
      <c r="AM19" s="109"/>
      <c r="AN19" s="109"/>
      <c r="AO19" s="109"/>
      <c r="AP19" s="109"/>
      <c r="AQ19" s="109"/>
      <c r="AR19" s="116"/>
      <c r="AS19" s="116"/>
      <c r="AT19" s="116"/>
    </row>
    <row r="20" s="13" customFormat="1" ht="18" customHeight="1" spans="1:46">
      <c r="A20" s="41"/>
      <c r="B20" s="42" t="s">
        <v>143</v>
      </c>
      <c r="C20" s="42"/>
      <c r="D20" s="43"/>
      <c r="E20" s="44"/>
      <c r="F20" s="45"/>
      <c r="G20" s="46"/>
      <c r="H20" s="45"/>
      <c r="I20" s="72"/>
      <c r="J20" s="73"/>
      <c r="K20" s="72"/>
      <c r="L20" s="74">
        <f t="shared" ref="L20:AL20" si="10">SUM(L4:L19)</f>
        <v>132325.84</v>
      </c>
      <c r="M20" s="74">
        <f t="shared" si="10"/>
        <v>5262.9</v>
      </c>
      <c r="N20" s="74">
        <f t="shared" si="10"/>
        <v>1492.43</v>
      </c>
      <c r="O20" s="74">
        <f t="shared" si="10"/>
        <v>282.62</v>
      </c>
      <c r="P20" s="74">
        <f t="shared" si="10"/>
        <v>2412.9</v>
      </c>
      <c r="Q20" s="74">
        <f t="shared" si="10"/>
        <v>9450.85</v>
      </c>
      <c r="R20" s="74">
        <f t="shared" si="10"/>
        <v>0</v>
      </c>
      <c r="S20" s="74">
        <f t="shared" si="10"/>
        <v>631257.69</v>
      </c>
      <c r="T20" s="74">
        <f t="shared" si="10"/>
        <v>355000</v>
      </c>
      <c r="U20" s="74">
        <f t="shared" si="10"/>
        <v>46004.78</v>
      </c>
      <c r="V20" s="74">
        <f t="shared" si="10"/>
        <v>0</v>
      </c>
      <c r="W20" s="74">
        <f t="shared" si="10"/>
        <v>0</v>
      </c>
      <c r="X20" s="74">
        <f t="shared" si="10"/>
        <v>0</v>
      </c>
      <c r="Y20" s="74">
        <f t="shared" si="10"/>
        <v>0</v>
      </c>
      <c r="Z20" s="74">
        <f t="shared" si="10"/>
        <v>0</v>
      </c>
      <c r="AA20" s="74">
        <f t="shared" si="10"/>
        <v>0</v>
      </c>
      <c r="AB20" s="74">
        <f t="shared" si="10"/>
        <v>0</v>
      </c>
      <c r="AC20" s="74">
        <f t="shared" si="10"/>
        <v>0</v>
      </c>
      <c r="AD20" s="74">
        <f t="shared" si="10"/>
        <v>230252.91</v>
      </c>
      <c r="AE20" s="74">
        <f t="shared" si="10"/>
        <v>13085.97</v>
      </c>
      <c r="AF20" s="74">
        <f t="shared" si="10"/>
        <v>9944.63</v>
      </c>
      <c r="AG20" s="74">
        <f t="shared" si="10"/>
        <v>3141.34</v>
      </c>
      <c r="AH20" s="74">
        <f t="shared" si="10"/>
        <v>119733.65</v>
      </c>
      <c r="AI20" s="126">
        <f t="shared" si="10"/>
        <v>0</v>
      </c>
      <c r="AJ20" s="74">
        <f t="shared" si="10"/>
        <v>119733.65</v>
      </c>
      <c r="AK20" s="74">
        <f t="shared" si="10"/>
        <v>0</v>
      </c>
      <c r="AL20" s="74">
        <f t="shared" si="10"/>
        <v>122874.99</v>
      </c>
      <c r="AM20" s="110"/>
      <c r="AN20" s="110"/>
      <c r="AO20" s="110"/>
      <c r="AP20" s="110"/>
      <c r="AQ20" s="110"/>
      <c r="AR20" s="45"/>
      <c r="AS20" s="45"/>
      <c r="AT20" s="118"/>
    </row>
    <row r="23" spans="30:30">
      <c r="AD23" s="101"/>
    </row>
    <row r="24" ht="18.75" customHeight="1" spans="2:36">
      <c r="B24" s="47" t="s">
        <v>144</v>
      </c>
      <c r="C24" s="47" t="s">
        <v>145</v>
      </c>
      <c r="D24" s="47" t="s">
        <v>22</v>
      </c>
      <c r="E24" s="47" t="s">
        <v>23</v>
      </c>
      <c r="AD24" s="10"/>
      <c r="AJ24" s="15">
        <v>80</v>
      </c>
    </row>
    <row r="25" ht="18.75" customHeight="1" spans="2:5">
      <c r="B25" s="48">
        <f>AJ20</f>
        <v>119733.65</v>
      </c>
      <c r="C25" s="48">
        <f>AG20</f>
        <v>3141.34</v>
      </c>
      <c r="D25" s="48">
        <f>AK20</f>
        <v>0</v>
      </c>
      <c r="E25" s="48">
        <f>B25+C25+D25</f>
        <v>122874.99</v>
      </c>
    </row>
    <row r="26" spans="2:5">
      <c r="B26" s="49"/>
      <c r="C26" s="49"/>
      <c r="D26" s="49"/>
      <c r="E26" s="49"/>
    </row>
    <row r="27" s="14" customFormat="1" spans="1:35">
      <c r="A27" s="51" t="s">
        <v>206</v>
      </c>
      <c r="B27" s="52" t="s">
        <v>207</v>
      </c>
      <c r="C27" s="50"/>
      <c r="D27" s="50"/>
      <c r="E27" s="50"/>
      <c r="G27" s="53"/>
      <c r="J27" s="75"/>
      <c r="M27" s="76"/>
      <c r="AI27" s="112"/>
    </row>
    <row r="28" s="14" customFormat="1" spans="1:35">
      <c r="A28" s="54"/>
      <c r="B28" s="55" t="s">
        <v>208</v>
      </c>
      <c r="C28" s="50"/>
      <c r="D28" s="50"/>
      <c r="E28" s="50"/>
      <c r="G28" s="53"/>
      <c r="J28" s="75"/>
      <c r="M28" s="76"/>
      <c r="AI28" s="112"/>
    </row>
    <row r="29" s="14" customFormat="1" spans="1:35">
      <c r="A29" s="52"/>
      <c r="B29" s="55" t="s">
        <v>209</v>
      </c>
      <c r="C29" s="56"/>
      <c r="D29" s="56"/>
      <c r="E29" s="56"/>
      <c r="F29" s="56"/>
      <c r="G29" s="56"/>
      <c r="H29" s="56"/>
      <c r="I29" s="56"/>
      <c r="J29" s="77"/>
      <c r="K29" s="56"/>
      <c r="L29" s="56"/>
      <c r="M29" s="78"/>
      <c r="N29" s="56"/>
      <c r="O29" s="56"/>
      <c r="P29" s="56"/>
      <c r="AI29" s="112"/>
    </row>
    <row r="30" s="14" customFormat="1" customHeight="1" spans="1:35">
      <c r="A30" s="55"/>
      <c r="B30" s="55" t="s">
        <v>210</v>
      </c>
      <c r="C30" s="57"/>
      <c r="D30" s="57"/>
      <c r="E30" s="57"/>
      <c r="F30" s="57"/>
      <c r="G30" s="57"/>
      <c r="H30" s="57"/>
      <c r="I30" s="79"/>
      <c r="J30" s="80"/>
      <c r="K30" s="79"/>
      <c r="L30" s="79"/>
      <c r="M30" s="81"/>
      <c r="N30" s="79"/>
      <c r="O30" s="79"/>
      <c r="P30" s="79"/>
      <c r="AI30" s="112"/>
    </row>
    <row r="31" s="14" customFormat="1" customHeight="1" spans="1:35">
      <c r="A31" s="55"/>
      <c r="B31" s="55" t="s">
        <v>211</v>
      </c>
      <c r="C31" s="57"/>
      <c r="D31" s="57"/>
      <c r="E31" s="57"/>
      <c r="F31" s="57"/>
      <c r="G31" s="57"/>
      <c r="H31" s="57"/>
      <c r="I31" s="57"/>
      <c r="J31" s="82"/>
      <c r="K31" s="57"/>
      <c r="L31" s="79"/>
      <c r="M31" s="81"/>
      <c r="N31" s="79"/>
      <c r="O31" s="79"/>
      <c r="P31" s="79"/>
      <c r="AI31" s="112"/>
    </row>
    <row r="32" s="14" customFormat="1" customHeight="1" spans="1:35">
      <c r="A32" s="55"/>
      <c r="B32" s="55" t="s">
        <v>212</v>
      </c>
      <c r="C32" s="57"/>
      <c r="D32" s="57"/>
      <c r="E32" s="57"/>
      <c r="F32" s="57"/>
      <c r="G32" s="57"/>
      <c r="H32" s="57"/>
      <c r="I32" s="79"/>
      <c r="J32" s="80"/>
      <c r="K32" s="79"/>
      <c r="L32" s="79"/>
      <c r="M32" s="81"/>
      <c r="N32" s="79"/>
      <c r="O32" s="79"/>
      <c r="P32" s="79"/>
      <c r="AI32" s="112"/>
    </row>
    <row r="34" ht="11.25" customHeight="1" spans="2:2">
      <c r="B34" s="58" t="s">
        <v>213</v>
      </c>
    </row>
    <row r="35" spans="2:2">
      <c r="B35" s="59" t="s">
        <v>214</v>
      </c>
    </row>
    <row r="36" spans="2:2">
      <c r="B36" s="59" t="s">
        <v>215</v>
      </c>
    </row>
  </sheetData>
  <mergeCells count="39">
    <mergeCell ref="M1:P1"/>
    <mergeCell ref="M2:P2"/>
    <mergeCell ref="V2:AA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Q2:Q3"/>
    <mergeCell ref="R2:R3"/>
    <mergeCell ref="S2:S3"/>
    <mergeCell ref="T2:T3"/>
    <mergeCell ref="U2:U3"/>
    <mergeCell ref="AB2:AB3"/>
    <mergeCell ref="AC2:AC3"/>
    <mergeCell ref="AD2:AD3"/>
    <mergeCell ref="AE2:AE3"/>
    <mergeCell ref="AF2:AF3"/>
    <mergeCell ref="AG2:AG3"/>
    <mergeCell ref="AH2:AH3"/>
    <mergeCell ref="AI2:AI3"/>
    <mergeCell ref="AJ2:AJ3"/>
    <mergeCell ref="AK2:AK3"/>
    <mergeCell ref="AL2:AL3"/>
    <mergeCell ref="AM2:AM3"/>
    <mergeCell ref="AN2:AN3"/>
    <mergeCell ref="AO2:AO3"/>
    <mergeCell ref="AP2:AP3"/>
    <mergeCell ref="AQ2:AQ3"/>
    <mergeCell ref="AR2:AR3"/>
    <mergeCell ref="AS2:AS3"/>
    <mergeCell ref="AT2:AT3"/>
  </mergeCells>
  <conditionalFormatting sqref="B32">
    <cfRule type="duplicateValues" dxfId="4" priority="2" stopIfTrue="1"/>
  </conditionalFormatting>
  <conditionalFormatting sqref="B27:B31">
    <cfRule type="duplicateValues" dxfId="4" priority="3" stopIfTrue="1"/>
  </conditionalFormatting>
  <conditionalFormatting sqref="B35:B36">
    <cfRule type="duplicateValues" dxfId="4" priority="1" stopIfTrue="1"/>
  </conditionalFormatting>
  <conditionalFormatting sqref="C24:C26">
    <cfRule type="duplicateValues" dxfId="4" priority="4" stopIfTrue="1"/>
    <cfRule type="expression" dxfId="5" priority="5" stopIfTrue="1">
      <formula>AND(COUNTIF($B$20:$B$65456,C24)+COUNTIF($B$1:$B$3,C24)&gt;1,NOT(ISBLANK(C24)))</formula>
    </cfRule>
    <cfRule type="expression" dxfId="5" priority="6" stopIfTrue="1">
      <formula>AND(COUNTIF($B$31:$B$65407,C24)+COUNTIF($B$1:$B$30,C24)&gt;1,NOT(ISBLANK(C24)))</formula>
    </cfRule>
    <cfRule type="expression" dxfId="5" priority="7" stopIfTrue="1">
      <formula>AND(COUNTIF($B$20:$B$65445,C24)+COUNTIF($B$1:$B$3,C24)&gt;1,NOT(ISBLANK(C24)))</formula>
    </cfRule>
  </conditionalFormatting>
  <pageMargins left="0.235416666666667" right="0.235416666666667" top="0.747916666666667" bottom="0.747916666666667" header="0.313888888888889" footer="0.313888888888889"/>
  <pageSetup paperSize="9" scale="56" fitToWidth="2" orientation="landscape"/>
  <headerFooter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>
    <tabColor rgb="FF00B050"/>
    <pageSetUpPr fitToPage="1"/>
  </sheetPr>
  <dimension ref="A1:AT36"/>
  <sheetViews>
    <sheetView workbookViewId="0">
      <pane xSplit="6" ySplit="3" topLeftCell="G4" activePane="bottomRight" state="frozen"/>
      <selection/>
      <selection pane="topRight"/>
      <selection pane="bottomLeft"/>
      <selection pane="bottomRight" activeCell="A18" sqref="$A18:$XFD18"/>
    </sheetView>
  </sheetViews>
  <sheetFormatPr defaultColWidth="9" defaultRowHeight="13.5"/>
  <cols>
    <col min="1" max="1" width="4.45" style="15" customWidth="1"/>
    <col min="2" max="2" width="12.6333333333333" style="15" customWidth="1"/>
    <col min="3" max="3" width="10.45" style="15" customWidth="1"/>
    <col min="4" max="4" width="8.725" style="15" customWidth="1"/>
    <col min="5" max="5" width="19.45" style="16" customWidth="1"/>
    <col min="6" max="6" width="9" style="15"/>
    <col min="7" max="7" width="11.9083333333333" style="17" customWidth="1"/>
    <col min="8" max="8" width="4.63333333333333" style="15" hidden="1" customWidth="1"/>
    <col min="9" max="9" width="5.26666666666667" style="15" hidden="1" customWidth="1"/>
    <col min="10" max="10" width="11.725" style="18" customWidth="1"/>
    <col min="11" max="11" width="5.26666666666667" style="15" customWidth="1"/>
    <col min="12" max="12" width="11.725" style="15" customWidth="1"/>
    <col min="13" max="13" width="12.45" style="15" customWidth="1" outlineLevel="1"/>
    <col min="14" max="15" width="9" style="15" customWidth="1" outlineLevel="1"/>
    <col min="16" max="16" width="11.0916666666667" style="15" customWidth="1" outlineLevel="1"/>
    <col min="17" max="17" width="9.725" style="15" customWidth="1"/>
    <col min="18" max="18" width="9.45" style="15" customWidth="1"/>
    <col min="19" max="19" width="13.3666666666667" style="15" customWidth="1"/>
    <col min="20" max="21" width="12.2666666666667" style="15" customWidth="1"/>
    <col min="22" max="27" width="9" style="15" customWidth="1" outlineLevel="1"/>
    <col min="28" max="28" width="11.2666666666667" style="15" customWidth="1"/>
    <col min="29" max="29" width="8.45" style="15" customWidth="1"/>
    <col min="30" max="30" width="15.2666666666667" style="15" customWidth="1"/>
    <col min="31" max="31" width="13.3666666666667" style="15" customWidth="1"/>
    <col min="32" max="32" width="10.725" style="15" customWidth="1"/>
    <col min="33" max="33" width="12.2666666666667" style="15" customWidth="1"/>
    <col min="34" max="34" width="11.45" style="15" customWidth="1"/>
    <col min="35" max="35" width="7.90833333333333" style="19" customWidth="1"/>
    <col min="36" max="36" width="11.45" style="15" customWidth="1"/>
    <col min="37" max="37" width="9" style="15"/>
    <col min="38" max="38" width="11.45" style="15" customWidth="1"/>
    <col min="39" max="40" width="9" style="15" hidden="1" customWidth="1"/>
    <col min="41" max="41" width="19" style="15" hidden="1" customWidth="1"/>
    <col min="42" max="42" width="12.2666666666667" style="15" hidden="1" customWidth="1"/>
    <col min="43" max="43" width="9" style="15" hidden="1" customWidth="1"/>
    <col min="44" max="44" width="7" style="15" hidden="1" customWidth="1"/>
    <col min="45" max="45" width="6.725" style="15" hidden="1" customWidth="1"/>
    <col min="46" max="46" width="6.09166666666667" style="15" hidden="1" customWidth="1"/>
    <col min="47" max="16384" width="9" style="15"/>
  </cols>
  <sheetData>
    <row r="1" s="10" customFormat="1" ht="29.25" customHeight="1" spans="1:45">
      <c r="A1" s="20" t="s">
        <v>146</v>
      </c>
      <c r="B1" s="21"/>
      <c r="C1" s="22"/>
      <c r="D1" s="23"/>
      <c r="E1" s="24"/>
      <c r="F1" s="24"/>
      <c r="G1" s="25"/>
      <c r="J1" s="60"/>
      <c r="L1" s="61"/>
      <c r="M1" s="62" t="s">
        <v>147</v>
      </c>
      <c r="N1" s="62"/>
      <c r="O1" s="62"/>
      <c r="P1" s="62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  <c r="AC1" s="83"/>
      <c r="AD1" s="61"/>
      <c r="AE1" s="61"/>
      <c r="AF1" s="61"/>
      <c r="AG1" s="61"/>
      <c r="AH1" s="61"/>
      <c r="AI1" s="102"/>
      <c r="AJ1" s="61"/>
      <c r="AK1" s="61"/>
      <c r="AL1" s="61"/>
      <c r="AM1" s="24"/>
      <c r="AN1" s="24"/>
      <c r="AO1" s="113"/>
      <c r="AP1" s="24"/>
      <c r="AQ1" s="24"/>
      <c r="AR1" s="24"/>
      <c r="AS1" s="24"/>
    </row>
    <row r="2" s="11" customFormat="1" ht="20.15" customHeight="1" spans="1:46">
      <c r="A2" s="26" t="s">
        <v>0</v>
      </c>
      <c r="B2" s="27" t="s">
        <v>148</v>
      </c>
      <c r="C2" s="28" t="s">
        <v>149</v>
      </c>
      <c r="D2" s="28" t="s">
        <v>150</v>
      </c>
      <c r="E2" s="29" t="s">
        <v>151</v>
      </c>
      <c r="F2" s="30" t="s">
        <v>152</v>
      </c>
      <c r="G2" s="29" t="s">
        <v>153</v>
      </c>
      <c r="H2" s="29" t="s">
        <v>154</v>
      </c>
      <c r="I2" s="29" t="s">
        <v>155</v>
      </c>
      <c r="J2" s="63" t="s">
        <v>156</v>
      </c>
      <c r="K2" s="29" t="s">
        <v>157</v>
      </c>
      <c r="L2" s="29" t="s">
        <v>158</v>
      </c>
      <c r="M2" s="64" t="s">
        <v>159</v>
      </c>
      <c r="N2" s="65"/>
      <c r="O2" s="65"/>
      <c r="P2" s="66"/>
      <c r="Q2" s="30" t="s">
        <v>160</v>
      </c>
      <c r="R2" s="29" t="s">
        <v>161</v>
      </c>
      <c r="S2" s="30" t="s">
        <v>162</v>
      </c>
      <c r="T2" s="84" t="s">
        <v>163</v>
      </c>
      <c r="U2" s="30" t="s">
        <v>164</v>
      </c>
      <c r="V2" s="85" t="s">
        <v>165</v>
      </c>
      <c r="W2" s="86"/>
      <c r="X2" s="86"/>
      <c r="Y2" s="86"/>
      <c r="Z2" s="86"/>
      <c r="AA2" s="94"/>
      <c r="AB2" s="30" t="s">
        <v>166</v>
      </c>
      <c r="AC2" s="30" t="s">
        <v>167</v>
      </c>
      <c r="AD2" s="84" t="s">
        <v>168</v>
      </c>
      <c r="AE2" s="84" t="s">
        <v>169</v>
      </c>
      <c r="AF2" s="84" t="s">
        <v>170</v>
      </c>
      <c r="AG2" s="84" t="s">
        <v>171</v>
      </c>
      <c r="AH2" s="103" t="s">
        <v>172</v>
      </c>
      <c r="AI2" s="104" t="s">
        <v>173</v>
      </c>
      <c r="AJ2" s="103" t="s">
        <v>144</v>
      </c>
      <c r="AK2" s="28" t="s">
        <v>22</v>
      </c>
      <c r="AL2" s="103" t="s">
        <v>174</v>
      </c>
      <c r="AM2" s="29" t="s">
        <v>216</v>
      </c>
      <c r="AN2" s="29" t="s">
        <v>217</v>
      </c>
      <c r="AO2" s="114" t="s">
        <v>218</v>
      </c>
      <c r="AP2" s="29" t="s">
        <v>219</v>
      </c>
      <c r="AQ2" s="29" t="s">
        <v>220</v>
      </c>
      <c r="AR2" s="30" t="s">
        <v>221</v>
      </c>
      <c r="AS2" s="30" t="s">
        <v>222</v>
      </c>
      <c r="AT2" s="30" t="s">
        <v>223</v>
      </c>
    </row>
    <row r="3" s="11" customFormat="1" ht="27" customHeight="1" spans="1:46">
      <c r="A3" s="31"/>
      <c r="B3" s="32"/>
      <c r="C3" s="33"/>
      <c r="D3" s="33"/>
      <c r="E3" s="34"/>
      <c r="F3" s="35"/>
      <c r="G3" s="34"/>
      <c r="H3" s="34"/>
      <c r="I3" s="34"/>
      <c r="J3" s="67"/>
      <c r="K3" s="34"/>
      <c r="L3" s="34"/>
      <c r="M3" s="68" t="s">
        <v>175</v>
      </c>
      <c r="N3" s="68" t="s">
        <v>176</v>
      </c>
      <c r="O3" s="68" t="s">
        <v>177</v>
      </c>
      <c r="P3" s="68" t="s">
        <v>37</v>
      </c>
      <c r="Q3" s="35"/>
      <c r="R3" s="34"/>
      <c r="S3" s="35"/>
      <c r="T3" s="87"/>
      <c r="U3" s="35"/>
      <c r="V3" s="88" t="s">
        <v>178</v>
      </c>
      <c r="W3" s="88" t="s">
        <v>179</v>
      </c>
      <c r="X3" s="88" t="s">
        <v>180</v>
      </c>
      <c r="Y3" s="88" t="s">
        <v>181</v>
      </c>
      <c r="Z3" s="88" t="s">
        <v>182</v>
      </c>
      <c r="AA3" s="88" t="s">
        <v>183</v>
      </c>
      <c r="AB3" s="35"/>
      <c r="AC3" s="35"/>
      <c r="AD3" s="87"/>
      <c r="AE3" s="87"/>
      <c r="AF3" s="87"/>
      <c r="AG3" s="87"/>
      <c r="AH3" s="105"/>
      <c r="AI3" s="106"/>
      <c r="AJ3" s="105"/>
      <c r="AK3" s="33"/>
      <c r="AL3" s="105"/>
      <c r="AM3" s="34"/>
      <c r="AN3" s="34"/>
      <c r="AO3" s="115"/>
      <c r="AP3" s="34"/>
      <c r="AQ3" s="34"/>
      <c r="AR3" s="35"/>
      <c r="AS3" s="35"/>
      <c r="AT3" s="35"/>
    </row>
    <row r="4" s="12" customFormat="1" ht="18" customHeight="1" spans="1:46">
      <c r="A4" s="36">
        <v>1</v>
      </c>
      <c r="B4" s="37" t="s">
        <v>184</v>
      </c>
      <c r="C4" s="37" t="s">
        <v>61</v>
      </c>
      <c r="D4" s="37" t="s">
        <v>120</v>
      </c>
      <c r="E4" s="37" t="s">
        <v>62</v>
      </c>
      <c r="F4" s="38" t="s">
        <v>185</v>
      </c>
      <c r="G4" s="39">
        <v>13944441728</v>
      </c>
      <c r="H4" s="40"/>
      <c r="I4" s="40"/>
      <c r="J4" s="69"/>
      <c r="K4" s="40"/>
      <c r="L4" s="70">
        <v>8000</v>
      </c>
      <c r="M4" s="71">
        <v>349.59</v>
      </c>
      <c r="N4" s="71">
        <v>98.7</v>
      </c>
      <c r="O4" s="71">
        <v>14.8</v>
      </c>
      <c r="P4" s="71">
        <v>177.4</v>
      </c>
      <c r="Q4" s="89">
        <f>ROUND(SUM(M4:P4),2)</f>
        <v>640.49</v>
      </c>
      <c r="R4" s="70">
        <v>0</v>
      </c>
      <c r="S4" s="90">
        <f>L4+IFERROR(VLOOKUP($E:$E,'（居民）工资表-7月'!$E:$S,15,0),0)</f>
        <v>56000</v>
      </c>
      <c r="T4" s="91">
        <f>5000+IFERROR(VLOOKUP($E:$E,'（居民）工资表-7月'!$E:$T,16,0),0)</f>
        <v>35000</v>
      </c>
      <c r="U4" s="91">
        <f>Q4+IFERROR(VLOOKUP($E:$E,'（居民）工资表-7月'!$E:$U,17,0),0)</f>
        <v>4205.02</v>
      </c>
      <c r="V4" s="70"/>
      <c r="W4" s="70"/>
      <c r="X4" s="70"/>
      <c r="Y4" s="70"/>
      <c r="Z4" s="70"/>
      <c r="AA4" s="70"/>
      <c r="AB4" s="90">
        <f>ROUND(SUM(V4:AA4),2)</f>
        <v>0</v>
      </c>
      <c r="AC4" s="90">
        <f>R4+IFERROR(VLOOKUP($E:$E,'（居民）工资表-7月'!$E:$AC,25,0),0)</f>
        <v>0</v>
      </c>
      <c r="AD4" s="95">
        <f>ROUND(S4-T4-U4-AB4-AC4,2)</f>
        <v>16794.98</v>
      </c>
      <c r="AE4" s="96">
        <f>ROUND(MAX((AD4)*{0.03;0.1;0.2;0.25;0.3;0.35;0.45}-{0;2520;16920;31920;52920;85920;181920},0),2)</f>
        <v>503.85</v>
      </c>
      <c r="AF4" s="97">
        <f>IFERROR(VLOOKUP(E:E,'（居民）工资表-7月'!E:AF,28,0)+VLOOKUP(E:E,'（居民）工资表-7月'!E:AG,29,0),0)</f>
        <v>360.73</v>
      </c>
      <c r="AG4" s="97">
        <f>IF((AE4-AF4)&lt;0,0,AE4-AF4)</f>
        <v>143.12</v>
      </c>
      <c r="AH4" s="107">
        <f>ROUND(IF((L4-Q4-AG4)&lt;0,0,(L4-Q4-AG4)),2)</f>
        <v>7216.39</v>
      </c>
      <c r="AI4" s="108"/>
      <c r="AJ4" s="107">
        <f>AH4+AI4</f>
        <v>7216.39</v>
      </c>
      <c r="AK4" s="109"/>
      <c r="AL4" s="107">
        <f>AJ4+AG4+AK4</f>
        <v>7359.51</v>
      </c>
      <c r="AM4" s="109"/>
      <c r="AN4" s="109"/>
      <c r="AO4" s="109"/>
      <c r="AP4" s="109"/>
      <c r="AQ4" s="109"/>
      <c r="AR4" s="116" t="str">
        <f>IF(LEN(E4)=18,IF(RIGHT(E4,1)="X",IF(CHOOSE(MOD(SUM(LEFT(RIGHT(E4,18))*7+LEFT(RIGHT(E4,17))*9+LEFT(RIGHT(E4,16))*10+LEFT(RIGHT(E4,15))*5+LEFT(RIGHT(E4,14))*8+LEFT(RIGHT(E4,13))*4+LEFT(RIGHT(E4,12))*2+LEFT(RIGHT(E4,11))*1+LEFT(RIGHT(E4,10))*6+LEFT(RIGHT(E4,9))*3+LEFT(RIGHT(E4,8))*7+LEFT(RIGHT(E4,7))*9+LEFT(RIGHT(E4,6))*10+LEFT(RIGHT(E4,5))*5+LEFT(RIGHT(E4,4))*8+LEFT(RIGHT(E4,3))*4+LEFT(RIGHT(E4,2))*2),11)+1,1,0,"X",9,8,7,6,5,4,3,2)=LEFT(RIGHT(E4,1)),"正确","错误"),IF(CHOOSE(MOD(SUM(LEFT(RIGHT(E4,18))*7+LEFT(RIGHT(E4,17))*9+LEFT(RIGHT(E4,16))*10+LEFT(RIGHT(E4,15))*5+LEFT(RIGHT(E4,14))*8+LEFT(RIGHT(E4,13))*4+LEFT(RIGHT(E4,12))*2+LEFT(RIGHT(E4,11))*1+LEFT(RIGHT(E4,10))*6+LEFT(RIGHT(E4,9))*3+LEFT(RIGHT(E4,8))*7+LEFT(RIGHT(E4,7))*9+LEFT(RIGHT(E4,6))*10+LEFT(RIGHT(E4,5))*5+LEFT(RIGHT(E4,4))*8+LEFT(RIGHT(E4,3))*4+LEFT(RIGHT(E4,2))*2),11)+1,1,0,"X",9,8,7,6,5,4,3,2)=LEFT(RIGHT(E4,1))*1,"正确","错误")),IF(LEN(E4)=15,"老号，请注意！",IF(LEN(E4)=0,"未填写身份证号码","位数不对！")))</f>
        <v>正确</v>
      </c>
      <c r="AS4" s="116" t="str">
        <f>IF(SUMPRODUCT(N(E$1:E$18=E4))&gt;1,"重复","不")</f>
        <v>不</v>
      </c>
      <c r="AT4" s="116" t="str">
        <f>IF(SUMPRODUCT(N(AO$1:AO$18=AO4))&gt;1,"重复","不")</f>
        <v>重复</v>
      </c>
    </row>
    <row r="5" s="12" customFormat="1" ht="18" customHeight="1" spans="1:46">
      <c r="A5" s="36">
        <v>2</v>
      </c>
      <c r="B5" s="37" t="s">
        <v>184</v>
      </c>
      <c r="C5" s="37" t="s">
        <v>121</v>
      </c>
      <c r="D5" s="37" t="s">
        <v>120</v>
      </c>
      <c r="E5" s="352" t="s">
        <v>122</v>
      </c>
      <c r="F5" s="38" t="s">
        <v>187</v>
      </c>
      <c r="G5" s="39">
        <v>15360550807</v>
      </c>
      <c r="H5" s="40"/>
      <c r="I5" s="40"/>
      <c r="J5" s="69"/>
      <c r="K5" s="40"/>
      <c r="L5" s="70">
        <v>6100</v>
      </c>
      <c r="M5" s="71">
        <v>422.72</v>
      </c>
      <c r="N5" s="71">
        <v>119.92</v>
      </c>
      <c r="O5" s="71">
        <v>4.6</v>
      </c>
      <c r="P5" s="71">
        <v>115</v>
      </c>
      <c r="Q5" s="89">
        <f>ROUND(SUM(M5:P5),2)</f>
        <v>662.24</v>
      </c>
      <c r="R5" s="70">
        <v>0</v>
      </c>
      <c r="S5" s="90">
        <f>L5+IFERROR(VLOOKUP($E:$E,'（居民）工资表-7月'!$E:$S,15,0),0)</f>
        <v>41560</v>
      </c>
      <c r="T5" s="91">
        <f>5000+IFERROR(VLOOKUP($E:$E,'（居民）工资表-7月'!$E:$T,16,0),0)</f>
        <v>35000</v>
      </c>
      <c r="U5" s="91">
        <f>Q5+IFERROR(VLOOKUP($E:$E,'（居民）工资表-7月'!$E:$U,17,0),0)</f>
        <v>4787.12</v>
      </c>
      <c r="V5" s="70"/>
      <c r="W5" s="70"/>
      <c r="X5" s="70"/>
      <c r="Y5" s="70"/>
      <c r="Z5" s="70"/>
      <c r="AA5" s="70"/>
      <c r="AB5" s="90">
        <f>ROUND(SUM(V5:AA5),2)</f>
        <v>0</v>
      </c>
      <c r="AC5" s="90">
        <f>R5+IFERROR(VLOOKUP($E:$E,'（居民）工资表-7月'!$E:$AC,25,0),0)</f>
        <v>0</v>
      </c>
      <c r="AD5" s="95">
        <f>ROUND(S5-T5-U5-AB5-AC5,2)</f>
        <v>1772.88</v>
      </c>
      <c r="AE5" s="96">
        <f>ROUND(MAX((AD5)*{0.03;0.1;0.2;0.25;0.3;0.35;0.45}-{0;2520;16920;31920;52920;85920;181920},0),2)</f>
        <v>53.19</v>
      </c>
      <c r="AF5" s="97">
        <f>IFERROR(VLOOKUP(E:E,'（居民）工资表-7月'!E:AF,28,0)+VLOOKUP(E:E,'（居民）工资表-7月'!E:AG,29,0),0)</f>
        <v>26.92</v>
      </c>
      <c r="AG5" s="97">
        <f>IF((AE5-AF5)&lt;0,0,AE5-AF5)</f>
        <v>26.27</v>
      </c>
      <c r="AH5" s="107">
        <f>ROUND(IF((L5-Q5-AG5)&lt;0,0,(L5-Q5-AG5)),2)</f>
        <v>5411.49</v>
      </c>
      <c r="AI5" s="108"/>
      <c r="AJ5" s="107">
        <f>AH5+AI5</f>
        <v>5411.49</v>
      </c>
      <c r="AK5" s="109"/>
      <c r="AL5" s="107">
        <f>AJ5+AG5+AK5</f>
        <v>5437.76</v>
      </c>
      <c r="AM5" s="109"/>
      <c r="AN5" s="109"/>
      <c r="AO5" s="109"/>
      <c r="AP5" s="109"/>
      <c r="AQ5" s="109"/>
      <c r="AR5" s="116" t="str">
        <f>IF(LEN(E5)=18,IF(RIGHT(E5,1)="X",IF(CHOOSE(MOD(SUM(LEFT(RIGHT(E5,18))*7+LEFT(RIGHT(E5,17))*9+LEFT(RIGHT(E5,16))*10+LEFT(RIGHT(E5,15))*5+LEFT(RIGHT(E5,14))*8+LEFT(RIGHT(E5,13))*4+LEFT(RIGHT(E5,12))*2+LEFT(RIGHT(E5,11))*1+LEFT(RIGHT(E5,10))*6+LEFT(RIGHT(E5,9))*3+LEFT(RIGHT(E5,8))*7+LEFT(RIGHT(E5,7))*9+LEFT(RIGHT(E5,6))*10+LEFT(RIGHT(E5,5))*5+LEFT(RIGHT(E5,4))*8+LEFT(RIGHT(E5,3))*4+LEFT(RIGHT(E5,2))*2),11)+1,1,0,"X",9,8,7,6,5,4,3,2)=LEFT(RIGHT(E5,1)),"正确","错误"),IF(CHOOSE(MOD(SUM(LEFT(RIGHT(E5,18))*7+LEFT(RIGHT(E5,17))*9+LEFT(RIGHT(E5,16))*10+LEFT(RIGHT(E5,15))*5+LEFT(RIGHT(E5,14))*8+LEFT(RIGHT(E5,13))*4+LEFT(RIGHT(E5,12))*2+LEFT(RIGHT(E5,11))*1+LEFT(RIGHT(E5,10))*6+LEFT(RIGHT(E5,9))*3+LEFT(RIGHT(E5,8))*7+LEFT(RIGHT(E5,7))*9+LEFT(RIGHT(E5,6))*10+LEFT(RIGHT(E5,5))*5+LEFT(RIGHT(E5,4))*8+LEFT(RIGHT(E5,3))*4+LEFT(RIGHT(E5,2))*2),11)+1,1,0,"X",9,8,7,6,5,4,3,2)=LEFT(RIGHT(E5,1))*1,"正确","错误")),IF(LEN(E5)=15,"老号，请注意！",IF(LEN(E5)=0,"未填写身份证号码","位数不对！")))</f>
        <v>正确</v>
      </c>
      <c r="AS5" s="116" t="str">
        <f>IF(SUMPRODUCT(N(E$1:E$18=E5))&gt;1,"重复","不")</f>
        <v>不</v>
      </c>
      <c r="AT5" s="116" t="str">
        <f>IF(SUMPRODUCT(N(AO$1:AO$18=AO5))&gt;1,"重复","不")</f>
        <v>重复</v>
      </c>
    </row>
    <row r="6" s="12" customFormat="1" ht="18" customHeight="1" spans="1:46">
      <c r="A6" s="36">
        <v>3</v>
      </c>
      <c r="B6" s="37" t="s">
        <v>184</v>
      </c>
      <c r="C6" s="37" t="s">
        <v>123</v>
      </c>
      <c r="D6" s="37" t="s">
        <v>120</v>
      </c>
      <c r="E6" s="352" t="s">
        <v>124</v>
      </c>
      <c r="F6" s="38" t="s">
        <v>185</v>
      </c>
      <c r="G6" s="39" t="s">
        <v>125</v>
      </c>
      <c r="H6" s="40"/>
      <c r="I6" s="40"/>
      <c r="J6" s="69"/>
      <c r="K6" s="40"/>
      <c r="L6" s="70">
        <v>30060</v>
      </c>
      <c r="M6" s="71">
        <v>596.64</v>
      </c>
      <c r="N6" s="71">
        <v>149.16</v>
      </c>
      <c r="O6" s="71">
        <v>37.29</v>
      </c>
      <c r="P6" s="71">
        <v>181</v>
      </c>
      <c r="Q6" s="89">
        <f t="shared" ref="Q6:Q19" si="0">ROUND(SUM(M6:P6),2)</f>
        <v>964.09</v>
      </c>
      <c r="R6" s="70">
        <v>0</v>
      </c>
      <c r="S6" s="90">
        <f>L6+IFERROR(VLOOKUP($E:$E,'（居民）工资表-7月'!$E:$S,15,0),0)</f>
        <v>210420</v>
      </c>
      <c r="T6" s="91">
        <f>5000+IFERROR(VLOOKUP($E:$E,'（居民）工资表-7月'!$E:$T,16,0),0)</f>
        <v>35000</v>
      </c>
      <c r="U6" s="91">
        <f>Q6+IFERROR(VLOOKUP($E:$E,'（居民）工资表-7月'!$E:$U,17,0),0)</f>
        <v>6670.16</v>
      </c>
      <c r="V6" s="70"/>
      <c r="W6" s="70"/>
      <c r="X6" s="70"/>
      <c r="Y6" s="70"/>
      <c r="Z6" s="70"/>
      <c r="AA6" s="70"/>
      <c r="AB6" s="90">
        <f t="shared" ref="AB6:AB19" si="1">ROUND(SUM(V6:AA6),2)</f>
        <v>0</v>
      </c>
      <c r="AC6" s="90">
        <f>R6+IFERROR(VLOOKUP($E:$E,'（居民）工资表-7月'!$E:$AC,25,0),0)</f>
        <v>0</v>
      </c>
      <c r="AD6" s="95">
        <f t="shared" ref="AD6:AD19" si="2">ROUND(S6-T6-U6-AB6-AC6,2)</f>
        <v>168749.84</v>
      </c>
      <c r="AE6" s="96">
        <f>ROUND(MAX((AD6)*{0.03;0.1;0.2;0.25;0.3;0.35;0.45}-{0;2520;16920;31920;52920;85920;181920},0),2)</f>
        <v>16829.97</v>
      </c>
      <c r="AF6" s="97">
        <f>IFERROR(VLOOKUP(E:E,'（居民）工资表-7月'!E:AF,28,0)+VLOOKUP(E:E,'（居民）工资表-7月'!E:AG,29,0),0)</f>
        <v>10895.39</v>
      </c>
      <c r="AG6" s="97">
        <f t="shared" ref="AG6:AG19" si="3">IF((AE6-AF6)&lt;0,0,AE6-AF6)</f>
        <v>5934.58</v>
      </c>
      <c r="AH6" s="107">
        <f t="shared" ref="AH6:AH19" si="4">ROUND(IF((L6-Q6-AG6)&lt;0,0,(L6-Q6-AG6)),2)</f>
        <v>23161.33</v>
      </c>
      <c r="AI6" s="108"/>
      <c r="AJ6" s="107">
        <f t="shared" ref="AJ6:AJ19" si="5">AH6+AI6</f>
        <v>23161.33</v>
      </c>
      <c r="AK6" s="109"/>
      <c r="AL6" s="107">
        <f t="shared" ref="AL6:AL19" si="6">AJ6+AG6+AK6</f>
        <v>29095.91</v>
      </c>
      <c r="AM6" s="109"/>
      <c r="AN6" s="109"/>
      <c r="AO6" s="109"/>
      <c r="AP6" s="109"/>
      <c r="AQ6" s="109"/>
      <c r="AR6" s="116" t="str">
        <f t="shared" ref="AR6:AR19" si="7">IF(LEN(E6)=18,IF(RIGHT(E6,1)="X",IF(CHOOSE(MOD(SUM(LEFT(RIGHT(E6,18))*7+LEFT(RIGHT(E6,17))*9+LEFT(RIGHT(E6,16))*10+LEFT(RIGHT(E6,15))*5+LEFT(RIGHT(E6,14))*8+LEFT(RIGHT(E6,13))*4+LEFT(RIGHT(E6,12))*2+LEFT(RIGHT(E6,11))*1+LEFT(RIGHT(E6,10))*6+LEFT(RIGHT(E6,9))*3+LEFT(RIGHT(E6,8))*7+LEFT(RIGHT(E6,7))*9+LEFT(RIGHT(E6,6))*10+LEFT(RIGHT(E6,5))*5+LEFT(RIGHT(E6,4))*8+LEFT(RIGHT(E6,3))*4+LEFT(RIGHT(E6,2))*2),11)+1,1,0,"X",9,8,7,6,5,4,3,2)=LEFT(RIGHT(E6,1)),"正确","错误"),IF(CHOOSE(MOD(SUM(LEFT(RIGHT(E6,18))*7+LEFT(RIGHT(E6,17))*9+LEFT(RIGHT(E6,16))*10+LEFT(RIGHT(E6,15))*5+LEFT(RIGHT(E6,14))*8+LEFT(RIGHT(E6,13))*4+LEFT(RIGHT(E6,12))*2+LEFT(RIGHT(E6,11))*1+LEFT(RIGHT(E6,10))*6+LEFT(RIGHT(E6,9))*3+LEFT(RIGHT(E6,8))*7+LEFT(RIGHT(E6,7))*9+LEFT(RIGHT(E6,6))*10+LEFT(RIGHT(E6,5))*5+LEFT(RIGHT(E6,4))*8+LEFT(RIGHT(E6,3))*4+LEFT(RIGHT(E6,2))*2),11)+1,1,0,"X",9,8,7,6,5,4,3,2)=LEFT(RIGHT(E6,1))*1,"正确","错误")),IF(LEN(E6)=15,"老号，请注意！",IF(LEN(E6)=0,"未填写身份证号码","位数不对！")))</f>
        <v>正确</v>
      </c>
      <c r="AS6" s="116" t="str">
        <f t="shared" ref="AS6:AS16" si="8">IF(SUMPRODUCT(N(E$1:E$18=E6))&gt;1,"重复","不")</f>
        <v>不</v>
      </c>
      <c r="AT6" s="116" t="str">
        <f t="shared" ref="AT6:AT16" si="9">IF(SUMPRODUCT(N(AO$1:AO$18=AO6))&gt;1,"重复","不")</f>
        <v>重复</v>
      </c>
    </row>
    <row r="7" s="12" customFormat="1" ht="18" customHeight="1" spans="1:46">
      <c r="A7" s="36">
        <v>4</v>
      </c>
      <c r="B7" s="37" t="s">
        <v>184</v>
      </c>
      <c r="C7" s="37" t="s">
        <v>126</v>
      </c>
      <c r="D7" s="37" t="s">
        <v>120</v>
      </c>
      <c r="E7" s="352" t="s">
        <v>127</v>
      </c>
      <c r="F7" s="38" t="s">
        <v>185</v>
      </c>
      <c r="G7" s="39" t="s">
        <v>128</v>
      </c>
      <c r="H7" s="40"/>
      <c r="I7" s="40"/>
      <c r="J7" s="69"/>
      <c r="K7" s="40"/>
      <c r="L7" s="70">
        <v>10000</v>
      </c>
      <c r="M7" s="71">
        <v>321.52</v>
      </c>
      <c r="N7" s="71">
        <v>89.09</v>
      </c>
      <c r="O7" s="71">
        <v>20.1</v>
      </c>
      <c r="P7" s="71">
        <v>97</v>
      </c>
      <c r="Q7" s="89">
        <f t="shared" si="0"/>
        <v>527.71</v>
      </c>
      <c r="R7" s="70">
        <v>0</v>
      </c>
      <c r="S7" s="90">
        <f>L7+IFERROR(VLOOKUP($E:$E,'（居民）工资表-7月'!$E:$S,15,0),0)</f>
        <v>64000</v>
      </c>
      <c r="T7" s="91">
        <f>5000+IFERROR(VLOOKUP($E:$E,'（居民）工资表-7月'!$E:$T,16,0),0)</f>
        <v>35000</v>
      </c>
      <c r="U7" s="91">
        <f>Q7+IFERROR(VLOOKUP($E:$E,'（居民）工资表-7月'!$E:$U,17,0),0)</f>
        <v>3716.26</v>
      </c>
      <c r="V7" s="70"/>
      <c r="W7" s="70"/>
      <c r="Y7" s="70"/>
      <c r="Z7" s="70"/>
      <c r="AA7" s="70"/>
      <c r="AB7" s="90">
        <f t="shared" si="1"/>
        <v>0</v>
      </c>
      <c r="AC7" s="90">
        <f>R7+IFERROR(VLOOKUP($E:$E,'（居民）工资表-7月'!$E:$AC,25,0),0)</f>
        <v>0</v>
      </c>
      <c r="AD7" s="95">
        <f t="shared" si="2"/>
        <v>25283.74</v>
      </c>
      <c r="AE7" s="96">
        <f>ROUND(MAX((AD7)*{0.03;0.1;0.2;0.25;0.3;0.35;0.45}-{0;2520;16920;31920;52920;85920;181920},0),2)</f>
        <v>758.51</v>
      </c>
      <c r="AF7" s="97">
        <f>IFERROR(VLOOKUP(E:E,'（居民）工资表-7月'!E:AF,28,0)+VLOOKUP(E:E,'（居民）工资表-7月'!E:AG,29,0),0)</f>
        <v>474.34</v>
      </c>
      <c r="AG7" s="97">
        <f t="shared" si="3"/>
        <v>284.17</v>
      </c>
      <c r="AH7" s="107">
        <f t="shared" si="4"/>
        <v>9188.12</v>
      </c>
      <c r="AI7" s="108"/>
      <c r="AJ7" s="107">
        <f t="shared" si="5"/>
        <v>9188.12</v>
      </c>
      <c r="AK7" s="109"/>
      <c r="AL7" s="107">
        <f t="shared" si="6"/>
        <v>9472.29</v>
      </c>
      <c r="AM7" s="109"/>
      <c r="AN7" s="109"/>
      <c r="AO7" s="109"/>
      <c r="AP7" s="109"/>
      <c r="AQ7" s="109"/>
      <c r="AR7" s="116" t="str">
        <f t="shared" si="7"/>
        <v>正确</v>
      </c>
      <c r="AS7" s="116" t="str">
        <f t="shared" si="8"/>
        <v>不</v>
      </c>
      <c r="AT7" s="116" t="str">
        <f t="shared" si="9"/>
        <v>重复</v>
      </c>
    </row>
    <row r="8" s="12" customFormat="1" ht="18" customHeight="1" spans="1:46">
      <c r="A8" s="36">
        <v>5</v>
      </c>
      <c r="B8" s="37" t="s">
        <v>184</v>
      </c>
      <c r="C8" s="37" t="s">
        <v>129</v>
      </c>
      <c r="D8" s="37" t="s">
        <v>120</v>
      </c>
      <c r="E8" s="352" t="s">
        <v>130</v>
      </c>
      <c r="F8" s="38" t="s">
        <v>185</v>
      </c>
      <c r="G8" s="39">
        <v>19356875630</v>
      </c>
      <c r="H8" s="40"/>
      <c r="I8" s="40"/>
      <c r="J8" s="69"/>
      <c r="K8" s="40"/>
      <c r="L8" s="70">
        <v>11500</v>
      </c>
      <c r="M8" s="71">
        <v>321.52</v>
      </c>
      <c r="N8" s="71">
        <v>86.38</v>
      </c>
      <c r="O8" s="71">
        <v>20.1</v>
      </c>
      <c r="P8" s="71">
        <v>344</v>
      </c>
      <c r="Q8" s="89">
        <f t="shared" si="0"/>
        <v>772</v>
      </c>
      <c r="R8" s="70">
        <v>0</v>
      </c>
      <c r="S8" s="90">
        <f>L8+IFERROR(VLOOKUP($E:$E,'（居民）工资表-7月'!$E:$S,15,0),0)</f>
        <v>76500</v>
      </c>
      <c r="T8" s="91">
        <f>5000+IFERROR(VLOOKUP($E:$E,'（居民）工资表-7月'!$E:$T,16,0),0)</f>
        <v>35000</v>
      </c>
      <c r="U8" s="91">
        <f>Q8+IFERROR(VLOOKUP($E:$E,'（居民）工资表-7月'!$E:$U,17,0),0)</f>
        <v>5425.84</v>
      </c>
      <c r="V8" s="70"/>
      <c r="W8" s="70"/>
      <c r="X8" s="70"/>
      <c r="Y8" s="70"/>
      <c r="Z8" s="70"/>
      <c r="AA8" s="70"/>
      <c r="AB8" s="90">
        <f t="shared" si="1"/>
        <v>0</v>
      </c>
      <c r="AC8" s="90">
        <f>R8+IFERROR(VLOOKUP($E:$E,'（居民）工资表-7月'!$E:$AC,25,0),0)</f>
        <v>0</v>
      </c>
      <c r="AD8" s="95">
        <f t="shared" si="2"/>
        <v>36074.16</v>
      </c>
      <c r="AE8" s="96">
        <f>ROUND(MAX((AD8)*{0.03;0.1;0.2;0.25;0.3;0.35;0.45}-{0;2520;16920;31920;52920;85920;181920},0),2)</f>
        <v>1087.42</v>
      </c>
      <c r="AF8" s="97">
        <f>IFERROR(VLOOKUP(E:E,'（居民）工资表-7月'!E:AF,28,0)+VLOOKUP(E:E,'（居民）工资表-7月'!E:AG,29,0),0)</f>
        <v>910.38</v>
      </c>
      <c r="AG8" s="97">
        <f t="shared" si="3"/>
        <v>177.04</v>
      </c>
      <c r="AH8" s="107">
        <f t="shared" si="4"/>
        <v>10550.96</v>
      </c>
      <c r="AI8" s="108"/>
      <c r="AJ8" s="107">
        <f t="shared" si="5"/>
        <v>10550.96</v>
      </c>
      <c r="AK8" s="109"/>
      <c r="AL8" s="107">
        <f t="shared" si="6"/>
        <v>10728</v>
      </c>
      <c r="AM8" s="109"/>
      <c r="AN8" s="109"/>
      <c r="AO8" s="109"/>
      <c r="AP8" s="109"/>
      <c r="AQ8" s="109"/>
      <c r="AR8" s="116" t="str">
        <f t="shared" si="7"/>
        <v>正确</v>
      </c>
      <c r="AS8" s="116" t="str">
        <f t="shared" si="8"/>
        <v>不</v>
      </c>
      <c r="AT8" s="116" t="str">
        <f t="shared" si="9"/>
        <v>重复</v>
      </c>
    </row>
    <row r="9" s="12" customFormat="1" ht="18" customHeight="1" spans="1:46">
      <c r="A9" s="36">
        <v>6</v>
      </c>
      <c r="B9" s="37" t="s">
        <v>184</v>
      </c>
      <c r="C9" s="37" t="s">
        <v>131</v>
      </c>
      <c r="D9" s="37" t="s">
        <v>120</v>
      </c>
      <c r="E9" s="352" t="s">
        <v>132</v>
      </c>
      <c r="F9" s="38" t="s">
        <v>185</v>
      </c>
      <c r="G9" s="39">
        <v>13973652684</v>
      </c>
      <c r="H9" s="40"/>
      <c r="I9" s="40"/>
      <c r="J9" s="69"/>
      <c r="K9" s="40"/>
      <c r="L9" s="70">
        <v>6500</v>
      </c>
      <c r="M9" s="71">
        <v>324.24</v>
      </c>
      <c r="N9" s="71">
        <v>90.4</v>
      </c>
      <c r="O9" s="71">
        <v>12.16</v>
      </c>
      <c r="P9" s="71">
        <v>100</v>
      </c>
      <c r="Q9" s="89">
        <f t="shared" si="0"/>
        <v>526.8</v>
      </c>
      <c r="R9" s="70">
        <v>0</v>
      </c>
      <c r="S9" s="90">
        <f>L9+IFERROR(VLOOKUP($E:$E,'（居民）工资表-7月'!$E:$S,15,0),0)</f>
        <v>45500</v>
      </c>
      <c r="T9" s="91">
        <f>5000+IFERROR(VLOOKUP($E:$E,'（居民）工资表-7月'!$E:$T,16,0),0)</f>
        <v>35000</v>
      </c>
      <c r="U9" s="91">
        <f>Q9+IFERROR(VLOOKUP($E:$E,'（居民）工资表-7月'!$E:$U,17,0),0)</f>
        <v>3690.58</v>
      </c>
      <c r="V9" s="70"/>
      <c r="W9" s="70"/>
      <c r="X9" s="70"/>
      <c r="Y9" s="70"/>
      <c r="Z9" s="70"/>
      <c r="AA9" s="70"/>
      <c r="AB9" s="90">
        <f t="shared" si="1"/>
        <v>0</v>
      </c>
      <c r="AC9" s="90">
        <f>R9+IFERROR(VLOOKUP($E:$E,'（居民）工资表-7月'!$E:$AC,25,0),0)</f>
        <v>0</v>
      </c>
      <c r="AD9" s="95">
        <f t="shared" si="2"/>
        <v>6809.42</v>
      </c>
      <c r="AE9" s="96">
        <f>ROUND(MAX((AD9)*{0.03;0.1;0.2;0.25;0.3;0.35;0.45}-{0;2520;16920;31920;52920;85920;181920},0),2)</f>
        <v>204.28</v>
      </c>
      <c r="AF9" s="97">
        <f>IFERROR(VLOOKUP(E:E,'（居民）工资表-7月'!E:AF,28,0)+VLOOKUP(E:E,'（居民）工资表-7月'!E:AG,29,0),0)</f>
        <v>175.09</v>
      </c>
      <c r="AG9" s="97">
        <f t="shared" si="3"/>
        <v>29.19</v>
      </c>
      <c r="AH9" s="107">
        <f t="shared" si="4"/>
        <v>5944.01</v>
      </c>
      <c r="AI9" s="108"/>
      <c r="AJ9" s="107">
        <f t="shared" si="5"/>
        <v>5944.01</v>
      </c>
      <c r="AK9" s="109"/>
      <c r="AL9" s="107">
        <f t="shared" si="6"/>
        <v>5973.2</v>
      </c>
      <c r="AM9" s="109"/>
      <c r="AN9" s="109"/>
      <c r="AO9" s="109"/>
      <c r="AP9" s="109"/>
      <c r="AQ9" s="109"/>
      <c r="AR9" s="116" t="str">
        <f t="shared" si="7"/>
        <v>正确</v>
      </c>
      <c r="AS9" s="116" t="str">
        <f t="shared" si="8"/>
        <v>不</v>
      </c>
      <c r="AT9" s="116" t="str">
        <f t="shared" si="9"/>
        <v>重复</v>
      </c>
    </row>
    <row r="10" s="12" customFormat="1" ht="18" customHeight="1" spans="1:46">
      <c r="A10" s="36">
        <v>7</v>
      </c>
      <c r="B10" s="37" t="s">
        <v>184</v>
      </c>
      <c r="C10" s="37" t="s">
        <v>192</v>
      </c>
      <c r="D10" s="37" t="s">
        <v>120</v>
      </c>
      <c r="E10" s="352" t="s">
        <v>193</v>
      </c>
      <c r="F10" s="38" t="s">
        <v>187</v>
      </c>
      <c r="G10" s="39" t="s">
        <v>194</v>
      </c>
      <c r="H10" s="40"/>
      <c r="I10" s="40"/>
      <c r="J10" s="69"/>
      <c r="K10" s="40"/>
      <c r="L10" s="70">
        <v>4440.97</v>
      </c>
      <c r="M10" s="71">
        <v>401.04</v>
      </c>
      <c r="N10" s="71">
        <v>122.26</v>
      </c>
      <c r="O10" s="71">
        <v>25.07</v>
      </c>
      <c r="P10" s="71">
        <v>123</v>
      </c>
      <c r="Q10" s="89">
        <f t="shared" si="0"/>
        <v>671.37</v>
      </c>
      <c r="R10" s="70">
        <v>0</v>
      </c>
      <c r="S10" s="90">
        <f>L10+IFERROR(VLOOKUP($E:$E,'（居民）工资表-7月'!$E:$S,15,0),0)</f>
        <v>31493.07</v>
      </c>
      <c r="T10" s="91">
        <f>5000+IFERROR(VLOOKUP($E:$E,'（居民）工资表-7月'!$E:$T,16,0),0)</f>
        <v>35000</v>
      </c>
      <c r="U10" s="91">
        <f>Q10+IFERROR(VLOOKUP($E:$E,'（居民）工资表-7月'!$E:$U,17,0),0)</f>
        <v>4485.04</v>
      </c>
      <c r="V10" s="70"/>
      <c r="W10" s="70"/>
      <c r="X10" s="70"/>
      <c r="Y10" s="70"/>
      <c r="Z10" s="70"/>
      <c r="AA10" s="70"/>
      <c r="AB10" s="90">
        <f t="shared" si="1"/>
        <v>0</v>
      </c>
      <c r="AC10" s="90">
        <f>R10+IFERROR(VLOOKUP($E:$E,'（居民）工资表-7月'!$E:$AC,25,0),0)</f>
        <v>0</v>
      </c>
      <c r="AD10" s="95">
        <f t="shared" si="2"/>
        <v>-7991.97</v>
      </c>
      <c r="AE10" s="96">
        <f>ROUND(MAX((AD10)*{0.03;0.1;0.2;0.25;0.3;0.35;0.45}-{0;2520;16920;31920;52920;85920;181920},0),2)</f>
        <v>0</v>
      </c>
      <c r="AF10" s="97">
        <f>IFERROR(VLOOKUP(E:E,'（居民）工资表-7月'!E:AF,28,0)+VLOOKUP(E:E,'（居民）工资表-7月'!E:AG,29,0),0)</f>
        <v>0</v>
      </c>
      <c r="AG10" s="97">
        <f t="shared" si="3"/>
        <v>0</v>
      </c>
      <c r="AH10" s="107">
        <f t="shared" si="4"/>
        <v>3769.6</v>
      </c>
      <c r="AI10" s="108"/>
      <c r="AJ10" s="107">
        <f t="shared" si="5"/>
        <v>3769.6</v>
      </c>
      <c r="AK10" s="109"/>
      <c r="AL10" s="107">
        <f t="shared" si="6"/>
        <v>3769.6</v>
      </c>
      <c r="AM10" s="109"/>
      <c r="AN10" s="109"/>
      <c r="AO10" s="109"/>
      <c r="AP10" s="109"/>
      <c r="AQ10" s="109"/>
      <c r="AR10" s="116" t="str">
        <f t="shared" si="7"/>
        <v>正确</v>
      </c>
      <c r="AS10" s="116" t="str">
        <f t="shared" si="8"/>
        <v>不</v>
      </c>
      <c r="AT10" s="116" t="str">
        <f t="shared" si="9"/>
        <v>重复</v>
      </c>
    </row>
    <row r="11" s="12" customFormat="1" ht="18" customHeight="1" spans="1:46">
      <c r="A11" s="36">
        <v>8</v>
      </c>
      <c r="B11" s="37" t="s">
        <v>184</v>
      </c>
      <c r="C11" s="37" t="s">
        <v>133</v>
      </c>
      <c r="D11" s="37" t="s">
        <v>120</v>
      </c>
      <c r="E11" s="352" t="s">
        <v>134</v>
      </c>
      <c r="F11" s="38" t="s">
        <v>185</v>
      </c>
      <c r="G11" s="39">
        <v>18356553626</v>
      </c>
      <c r="H11" s="40"/>
      <c r="I11" s="40"/>
      <c r="J11" s="69"/>
      <c r="K11" s="40"/>
      <c r="L11" s="70">
        <v>9000</v>
      </c>
      <c r="M11" s="71">
        <v>321.52</v>
      </c>
      <c r="N11" s="71">
        <v>120.38</v>
      </c>
      <c r="O11" s="71">
        <v>20.1</v>
      </c>
      <c r="P11" s="71">
        <v>97</v>
      </c>
      <c r="Q11" s="89">
        <f t="shared" si="0"/>
        <v>559</v>
      </c>
      <c r="R11" s="70">
        <v>0</v>
      </c>
      <c r="S11" s="90">
        <f>L11+IFERROR(VLOOKUP($E:$E,'（居民）工资表-7月'!$E:$S,15,0),0)</f>
        <v>61500</v>
      </c>
      <c r="T11" s="91">
        <f>5000+IFERROR(VLOOKUP($E:$E,'（居民）工资表-7月'!$E:$T,16,0),0)</f>
        <v>35000</v>
      </c>
      <c r="U11" s="91">
        <f>Q11+IFERROR(VLOOKUP($E:$E,'（居民）工资表-7月'!$E:$U,17,0),0)</f>
        <v>3934.84</v>
      </c>
      <c r="V11" s="70"/>
      <c r="W11" s="70"/>
      <c r="X11" s="70"/>
      <c r="Y11" s="70"/>
      <c r="Z11" s="70"/>
      <c r="AA11" s="70"/>
      <c r="AB11" s="90">
        <f t="shared" si="1"/>
        <v>0</v>
      </c>
      <c r="AC11" s="90">
        <f>R11+IFERROR(VLOOKUP($E:$E,'（居民）工资表-7月'!$E:$AC,25,0),0)</f>
        <v>0</v>
      </c>
      <c r="AD11" s="95">
        <f t="shared" si="2"/>
        <v>22565.16</v>
      </c>
      <c r="AE11" s="96">
        <f>ROUND(MAX((AD11)*{0.03;0.1;0.2;0.25;0.3;0.35;0.45}-{0;2520;16920;31920;52920;85920;181920},0),2)</f>
        <v>676.95</v>
      </c>
      <c r="AF11" s="97">
        <f>IFERROR(VLOOKUP(E:E,'（居民）工资表-7月'!E:AF,28,0)+VLOOKUP(E:E,'（居民）工资表-7月'!E:AG,29,0),0)</f>
        <v>573.72</v>
      </c>
      <c r="AG11" s="97">
        <f t="shared" si="3"/>
        <v>103.23</v>
      </c>
      <c r="AH11" s="107">
        <f t="shared" si="4"/>
        <v>8337.77</v>
      </c>
      <c r="AI11" s="108"/>
      <c r="AJ11" s="107">
        <f t="shared" si="5"/>
        <v>8337.77</v>
      </c>
      <c r="AK11" s="109"/>
      <c r="AL11" s="107">
        <f t="shared" si="6"/>
        <v>8441</v>
      </c>
      <c r="AM11" s="109"/>
      <c r="AN11" s="109"/>
      <c r="AO11" s="109"/>
      <c r="AP11" s="109"/>
      <c r="AQ11" s="109"/>
      <c r="AR11" s="116" t="str">
        <f t="shared" si="7"/>
        <v>正确</v>
      </c>
      <c r="AS11" s="116" t="str">
        <f t="shared" si="8"/>
        <v>不</v>
      </c>
      <c r="AT11" s="116" t="str">
        <f t="shared" si="9"/>
        <v>重复</v>
      </c>
    </row>
    <row r="12" s="12" customFormat="1" ht="18" customHeight="1" spans="1:46">
      <c r="A12" s="36">
        <v>9</v>
      </c>
      <c r="B12" s="37" t="s">
        <v>184</v>
      </c>
      <c r="C12" s="37" t="s">
        <v>135</v>
      </c>
      <c r="D12" s="37" t="s">
        <v>120</v>
      </c>
      <c r="E12" s="352" t="s">
        <v>136</v>
      </c>
      <c r="F12" s="38" t="s">
        <v>185</v>
      </c>
      <c r="G12" s="39">
        <v>18326897140</v>
      </c>
      <c r="H12" s="40"/>
      <c r="I12" s="40"/>
      <c r="J12" s="69"/>
      <c r="K12" s="40"/>
      <c r="L12" s="70">
        <v>7500</v>
      </c>
      <c r="M12" s="71">
        <v>321.52</v>
      </c>
      <c r="N12" s="71">
        <v>86.38</v>
      </c>
      <c r="O12" s="71">
        <v>20.1</v>
      </c>
      <c r="P12" s="71">
        <v>344</v>
      </c>
      <c r="Q12" s="89">
        <f t="shared" si="0"/>
        <v>772</v>
      </c>
      <c r="R12" s="70">
        <v>0</v>
      </c>
      <c r="S12" s="90">
        <f>L12+IFERROR(VLOOKUP($E:$E,'（居民）工资表-7月'!$E:$S,15,0),0)</f>
        <v>51000</v>
      </c>
      <c r="T12" s="91">
        <f>5000+IFERROR(VLOOKUP($E:$E,'（居民）工资表-7月'!$E:$T,16,0),0)</f>
        <v>35000</v>
      </c>
      <c r="U12" s="91">
        <f>Q12+IFERROR(VLOOKUP($E:$E,'（居民）工资表-7月'!$E:$U,17,0),0)</f>
        <v>5425.84</v>
      </c>
      <c r="V12" s="70"/>
      <c r="W12" s="70"/>
      <c r="X12" s="70"/>
      <c r="Y12" s="70"/>
      <c r="Z12" s="70"/>
      <c r="AA12" s="70"/>
      <c r="AB12" s="90">
        <f t="shared" si="1"/>
        <v>0</v>
      </c>
      <c r="AC12" s="90">
        <f>R12+IFERROR(VLOOKUP($E:$E,'（居民）工资表-7月'!$E:$AC,25,0),0)</f>
        <v>0</v>
      </c>
      <c r="AD12" s="95">
        <f t="shared" si="2"/>
        <v>10574.16</v>
      </c>
      <c r="AE12" s="96">
        <f>ROUND(MAX((AD12)*{0.03;0.1;0.2;0.25;0.3;0.35;0.45}-{0;2520;16920;31920;52920;85920;181920},0),2)</f>
        <v>317.22</v>
      </c>
      <c r="AF12" s="97">
        <f>IFERROR(VLOOKUP(E:E,'（居民）工资表-7月'!E:AF,28,0)+VLOOKUP(E:E,'（居民）工资表-7月'!E:AG,29,0),0)</f>
        <v>265.38</v>
      </c>
      <c r="AG12" s="97">
        <f t="shared" si="3"/>
        <v>51.84</v>
      </c>
      <c r="AH12" s="107">
        <f t="shared" si="4"/>
        <v>6676.16</v>
      </c>
      <c r="AI12" s="108"/>
      <c r="AJ12" s="107">
        <f t="shared" si="5"/>
        <v>6676.16</v>
      </c>
      <c r="AK12" s="109"/>
      <c r="AL12" s="107">
        <f t="shared" si="6"/>
        <v>6728</v>
      </c>
      <c r="AM12" s="109"/>
      <c r="AN12" s="109"/>
      <c r="AO12" s="109"/>
      <c r="AP12" s="109"/>
      <c r="AQ12" s="109"/>
      <c r="AR12" s="116" t="str">
        <f t="shared" si="7"/>
        <v>正确</v>
      </c>
      <c r="AS12" s="116" t="str">
        <f t="shared" si="8"/>
        <v>不</v>
      </c>
      <c r="AT12" s="116" t="str">
        <f t="shared" si="9"/>
        <v>重复</v>
      </c>
    </row>
    <row r="13" s="12" customFormat="1" ht="18" customHeight="1" spans="1:46">
      <c r="A13" s="36">
        <v>10</v>
      </c>
      <c r="B13" s="37" t="s">
        <v>184</v>
      </c>
      <c r="C13" s="37" t="s">
        <v>137</v>
      </c>
      <c r="D13" s="37" t="s">
        <v>120</v>
      </c>
      <c r="E13" s="352" t="s">
        <v>138</v>
      </c>
      <c r="F13" s="38" t="s">
        <v>185</v>
      </c>
      <c r="G13" s="39">
        <v>17201857014</v>
      </c>
      <c r="H13" s="40"/>
      <c r="I13" s="40"/>
      <c r="J13" s="69"/>
      <c r="K13" s="40"/>
      <c r="L13" s="70">
        <v>8000</v>
      </c>
      <c r="M13" s="71">
        <v>321.52</v>
      </c>
      <c r="N13" s="71">
        <v>86.38</v>
      </c>
      <c r="O13" s="71">
        <v>20.1</v>
      </c>
      <c r="P13" s="71">
        <v>344</v>
      </c>
      <c r="Q13" s="89">
        <f t="shared" si="0"/>
        <v>772</v>
      </c>
      <c r="R13" s="70">
        <v>0</v>
      </c>
      <c r="S13" s="90">
        <f>L13+IFERROR(VLOOKUP($E:$E,'（居民）工资表-7月'!$E:$S,15,0),0)</f>
        <v>53000</v>
      </c>
      <c r="T13" s="91">
        <f>5000+IFERROR(VLOOKUP($E:$E,'（居民）工资表-7月'!$E:$T,16,0),0)</f>
        <v>35000</v>
      </c>
      <c r="U13" s="91">
        <f>Q13+IFERROR(VLOOKUP($E:$E,'（居民）工资表-7月'!$E:$U,17,0),0)</f>
        <v>5425.84</v>
      </c>
      <c r="V13" s="70"/>
      <c r="W13" s="70"/>
      <c r="X13" s="70"/>
      <c r="Y13" s="70"/>
      <c r="Z13" s="70"/>
      <c r="AA13" s="70"/>
      <c r="AB13" s="90">
        <f t="shared" si="1"/>
        <v>0</v>
      </c>
      <c r="AC13" s="90">
        <f>R13+IFERROR(VLOOKUP($E:$E,'（居民）工资表-7月'!$E:$AC,25,0),0)</f>
        <v>0</v>
      </c>
      <c r="AD13" s="95">
        <f t="shared" si="2"/>
        <v>12574.16</v>
      </c>
      <c r="AE13" s="96">
        <f>ROUND(MAX((AD13)*{0.03;0.1;0.2;0.25;0.3;0.35;0.45}-{0;2520;16920;31920;52920;85920;181920},0),2)</f>
        <v>377.22</v>
      </c>
      <c r="AF13" s="97">
        <f>IFERROR(VLOOKUP(E:E,'（居民）工资表-7月'!E:AF,28,0)+VLOOKUP(E:E,'（居民）工资表-7月'!E:AG,29,0),0)</f>
        <v>310.38</v>
      </c>
      <c r="AG13" s="97">
        <f t="shared" si="3"/>
        <v>66.84</v>
      </c>
      <c r="AH13" s="107">
        <f t="shared" si="4"/>
        <v>7161.16</v>
      </c>
      <c r="AI13" s="108"/>
      <c r="AJ13" s="107">
        <f t="shared" si="5"/>
        <v>7161.16</v>
      </c>
      <c r="AK13" s="109"/>
      <c r="AL13" s="107">
        <f t="shared" si="6"/>
        <v>7228</v>
      </c>
      <c r="AM13" s="109"/>
      <c r="AN13" s="109"/>
      <c r="AO13" s="109"/>
      <c r="AP13" s="109"/>
      <c r="AQ13" s="109"/>
      <c r="AR13" s="116" t="str">
        <f t="shared" si="7"/>
        <v>正确</v>
      </c>
      <c r="AS13" s="116" t="str">
        <f t="shared" si="8"/>
        <v>不</v>
      </c>
      <c r="AT13" s="116" t="str">
        <f t="shared" si="9"/>
        <v>重复</v>
      </c>
    </row>
    <row r="14" s="12" customFormat="1" ht="18" customHeight="1" spans="1:46">
      <c r="A14" s="36">
        <v>11</v>
      </c>
      <c r="B14" s="37" t="s">
        <v>184</v>
      </c>
      <c r="C14" s="37" t="s">
        <v>199</v>
      </c>
      <c r="D14" s="37" t="s">
        <v>120</v>
      </c>
      <c r="E14" s="352" t="s">
        <v>200</v>
      </c>
      <c r="F14" s="38" t="s">
        <v>187</v>
      </c>
      <c r="G14" s="39" t="s">
        <v>201</v>
      </c>
      <c r="H14" s="40"/>
      <c r="I14" s="40"/>
      <c r="J14" s="69"/>
      <c r="K14" s="40"/>
      <c r="L14" s="70">
        <v>5972.73</v>
      </c>
      <c r="M14" s="71">
        <v>0</v>
      </c>
      <c r="N14" s="71">
        <v>0</v>
      </c>
      <c r="O14" s="71">
        <v>0</v>
      </c>
      <c r="P14" s="71">
        <v>0</v>
      </c>
      <c r="Q14" s="89">
        <f t="shared" si="0"/>
        <v>0</v>
      </c>
      <c r="R14" s="70">
        <v>0</v>
      </c>
      <c r="S14" s="90">
        <f>L14+IFERROR(VLOOKUP($E:$E,'（居民）工资表-7月'!$E:$S,15,0),0)</f>
        <v>41572.73</v>
      </c>
      <c r="T14" s="91">
        <f>5000+IFERROR(VLOOKUP($E:$E,'（居民）工资表-7月'!$E:$T,16,0),0)</f>
        <v>30000</v>
      </c>
      <c r="U14" s="91">
        <f>Q14+IFERROR(VLOOKUP($E:$E,'（居民）工资表-7月'!$E:$U,17,0),0)</f>
        <v>2795</v>
      </c>
      <c r="V14" s="70"/>
      <c r="W14" s="70"/>
      <c r="X14" s="70"/>
      <c r="Y14" s="70"/>
      <c r="Z14" s="70"/>
      <c r="AA14" s="70"/>
      <c r="AB14" s="90">
        <f t="shared" si="1"/>
        <v>0</v>
      </c>
      <c r="AC14" s="90">
        <f>R14+IFERROR(VLOOKUP($E:$E,'（居民）工资表-7月'!$E:$AC,25,0),0)</f>
        <v>0</v>
      </c>
      <c r="AD14" s="95">
        <f t="shared" si="2"/>
        <v>8777.73</v>
      </c>
      <c r="AE14" s="96">
        <f>ROUND(MAX((AD14)*{0.03;0.1;0.2;0.25;0.3;0.35;0.45}-{0;2520;16920;31920;52920;85920;181920},0),2)</f>
        <v>263.33</v>
      </c>
      <c r="AF14" s="97">
        <f>IFERROR(VLOOKUP(E:E,'（居民）工资表-7月'!E:AF,28,0)+VLOOKUP(E:E,'（居民）工资表-7月'!E:AG,29,0),0)</f>
        <v>234.15</v>
      </c>
      <c r="AG14" s="97">
        <f t="shared" si="3"/>
        <v>29.18</v>
      </c>
      <c r="AH14" s="107">
        <f t="shared" si="4"/>
        <v>5943.55</v>
      </c>
      <c r="AI14" s="108"/>
      <c r="AJ14" s="107">
        <f t="shared" si="5"/>
        <v>5943.55</v>
      </c>
      <c r="AK14" s="109"/>
      <c r="AL14" s="107">
        <f t="shared" si="6"/>
        <v>5972.73</v>
      </c>
      <c r="AM14" s="109"/>
      <c r="AN14" s="109"/>
      <c r="AO14" s="109"/>
      <c r="AP14" s="109"/>
      <c r="AQ14" s="109"/>
      <c r="AR14" s="116" t="str">
        <f t="shared" si="7"/>
        <v>正确</v>
      </c>
      <c r="AS14" s="116" t="str">
        <f t="shared" si="8"/>
        <v>不</v>
      </c>
      <c r="AT14" s="116" t="str">
        <f t="shared" si="9"/>
        <v>重复</v>
      </c>
    </row>
    <row r="15" s="12" customFormat="1" ht="18" customHeight="1" spans="1:46">
      <c r="A15" s="36">
        <v>12</v>
      </c>
      <c r="B15" s="37" t="s">
        <v>184</v>
      </c>
      <c r="C15" s="37" t="s">
        <v>202</v>
      </c>
      <c r="D15" s="37" t="s">
        <v>120</v>
      </c>
      <c r="E15" s="352" t="s">
        <v>203</v>
      </c>
      <c r="F15" s="38" t="s">
        <v>187</v>
      </c>
      <c r="G15" s="39">
        <v>15855788591</v>
      </c>
      <c r="H15" s="40"/>
      <c r="I15" s="40"/>
      <c r="J15" s="69"/>
      <c r="K15" s="40"/>
      <c r="L15" s="70">
        <v>4295.45</v>
      </c>
      <c r="M15" s="71">
        <v>-321.52</v>
      </c>
      <c r="N15" s="71">
        <v>-89.09</v>
      </c>
      <c r="O15" s="71">
        <v>-20.1</v>
      </c>
      <c r="P15" s="71">
        <v>-97</v>
      </c>
      <c r="Q15" s="89">
        <f t="shared" si="0"/>
        <v>-527.71</v>
      </c>
      <c r="R15" s="70">
        <v>0</v>
      </c>
      <c r="S15" s="90">
        <f>L15+IFERROR(VLOOKUP($E:$E,'（居民）工资表-7月'!$E:$S,15,0),0)</f>
        <v>35401.09</v>
      </c>
      <c r="T15" s="91">
        <f>5000+IFERROR(VLOOKUP($E:$E,'（居民）工资表-7月'!$E:$T,16,0),0)</f>
        <v>30000</v>
      </c>
      <c r="U15" s="91">
        <f>Q15+IFERROR(VLOOKUP($E:$E,'（居民）工资表-7月'!$E:$U,17,0),0)</f>
        <v>2110.84</v>
      </c>
      <c r="V15" s="70"/>
      <c r="W15" s="70"/>
      <c r="X15" s="70"/>
      <c r="Y15" s="70"/>
      <c r="Z15" s="70"/>
      <c r="AA15" s="70"/>
      <c r="AB15" s="90">
        <f t="shared" si="1"/>
        <v>0</v>
      </c>
      <c r="AC15" s="90">
        <f>R15+IFERROR(VLOOKUP($E:$E,'（居民）工资表-7月'!$E:$AC,25,0),0)</f>
        <v>0</v>
      </c>
      <c r="AD15" s="95">
        <f t="shared" si="2"/>
        <v>3290.25</v>
      </c>
      <c r="AE15" s="96">
        <f>ROUND(MAX((AD15)*{0.03;0.1;0.2;0.25;0.3;0.35;0.45}-{0;2520;16920;31920;52920;85920;181920},0),2)</f>
        <v>98.71</v>
      </c>
      <c r="AF15" s="97">
        <f>IFERROR(VLOOKUP(E:E,'（居民）工资表-7月'!E:AF,28,0)+VLOOKUP(E:E,'（居民）工资表-7月'!E:AG,29,0),0)</f>
        <v>104.01</v>
      </c>
      <c r="AG15" s="97">
        <f t="shared" si="3"/>
        <v>0</v>
      </c>
      <c r="AH15" s="107">
        <f t="shared" si="4"/>
        <v>4823.16</v>
      </c>
      <c r="AI15" s="108"/>
      <c r="AJ15" s="107">
        <f t="shared" si="5"/>
        <v>4823.16</v>
      </c>
      <c r="AK15" s="109"/>
      <c r="AL15" s="107">
        <f t="shared" si="6"/>
        <v>4823.16</v>
      </c>
      <c r="AM15" s="109"/>
      <c r="AN15" s="109"/>
      <c r="AO15" s="109"/>
      <c r="AP15" s="109"/>
      <c r="AQ15" s="109"/>
      <c r="AR15" s="116" t="str">
        <f t="shared" si="7"/>
        <v>正确</v>
      </c>
      <c r="AS15" s="116" t="str">
        <f t="shared" si="8"/>
        <v>不</v>
      </c>
      <c r="AT15" s="116" t="str">
        <f t="shared" si="9"/>
        <v>重复</v>
      </c>
    </row>
    <row r="16" s="12" customFormat="1" ht="18" customHeight="1" spans="1:46">
      <c r="A16" s="36">
        <v>13</v>
      </c>
      <c r="B16" s="37" t="s">
        <v>184</v>
      </c>
      <c r="C16" s="37" t="s">
        <v>139</v>
      </c>
      <c r="D16" s="37" t="s">
        <v>120</v>
      </c>
      <c r="E16" s="352" t="s">
        <v>140</v>
      </c>
      <c r="F16" s="38" t="s">
        <v>187</v>
      </c>
      <c r="G16" s="39"/>
      <c r="H16" s="40"/>
      <c r="I16" s="40"/>
      <c r="J16" s="69"/>
      <c r="K16" s="40"/>
      <c r="L16" s="70">
        <v>6000</v>
      </c>
      <c r="M16" s="71">
        <v>321.52</v>
      </c>
      <c r="N16" s="71">
        <v>80.38</v>
      </c>
      <c r="O16" s="71">
        <v>20.1</v>
      </c>
      <c r="P16" s="71">
        <v>103</v>
      </c>
      <c r="Q16" s="89">
        <f t="shared" si="0"/>
        <v>525</v>
      </c>
      <c r="R16" s="70">
        <v>0</v>
      </c>
      <c r="S16" s="90">
        <f>L16+IFERROR(VLOOKUP($E:$E,'（居民）工资表-7月'!$E:$S,15,0),0)</f>
        <v>42000</v>
      </c>
      <c r="T16" s="91">
        <f>5000+IFERROR(VLOOKUP($E:$E,'（居民）工资表-7月'!$E:$T,16,0),0)</f>
        <v>35000</v>
      </c>
      <c r="U16" s="91">
        <f>Q16+IFERROR(VLOOKUP($E:$E,'（居民）工资表-7月'!$E:$U,17,0),0)</f>
        <v>3696.84</v>
      </c>
      <c r="V16" s="70"/>
      <c r="W16" s="70"/>
      <c r="X16" s="70"/>
      <c r="Y16" s="70"/>
      <c r="Z16" s="70"/>
      <c r="AA16" s="70"/>
      <c r="AB16" s="90">
        <f t="shared" si="1"/>
        <v>0</v>
      </c>
      <c r="AC16" s="90">
        <f>R16+IFERROR(VLOOKUP($E:$E,'（居民）工资表-7月'!$E:$AC,25,0),0)</f>
        <v>0</v>
      </c>
      <c r="AD16" s="95">
        <f t="shared" si="2"/>
        <v>3303.16</v>
      </c>
      <c r="AE16" s="96">
        <f>ROUND(MAX((AD16)*{0.03;0.1;0.2;0.25;0.3;0.35;0.45}-{0;2520;16920;31920;52920;85920;181920},0),2)</f>
        <v>99.09</v>
      </c>
      <c r="AF16" s="97">
        <f>IFERROR(VLOOKUP(E:E,'（居民）工资表-7月'!E:AF,28,0)+VLOOKUP(E:E,'（居民）工资表-7月'!E:AG,29,0),0)</f>
        <v>84.84</v>
      </c>
      <c r="AG16" s="97">
        <f t="shared" si="3"/>
        <v>14.25</v>
      </c>
      <c r="AH16" s="107">
        <f t="shared" si="4"/>
        <v>5460.75</v>
      </c>
      <c r="AI16" s="108"/>
      <c r="AJ16" s="107">
        <f t="shared" si="5"/>
        <v>5460.75</v>
      </c>
      <c r="AK16" s="109"/>
      <c r="AL16" s="107">
        <f t="shared" si="6"/>
        <v>5475</v>
      </c>
      <c r="AM16" s="109"/>
      <c r="AN16" s="109"/>
      <c r="AO16" s="109"/>
      <c r="AP16" s="109"/>
      <c r="AQ16" s="109"/>
      <c r="AR16" s="116" t="str">
        <f t="shared" si="7"/>
        <v>正确</v>
      </c>
      <c r="AS16" s="116" t="str">
        <f t="shared" si="8"/>
        <v>不</v>
      </c>
      <c r="AT16" s="116" t="str">
        <f t="shared" si="9"/>
        <v>重复</v>
      </c>
    </row>
    <row r="17" s="12" customFormat="1" ht="18" customHeight="1" spans="1:46">
      <c r="A17" s="36">
        <v>14</v>
      </c>
      <c r="B17" s="37" t="s">
        <v>184</v>
      </c>
      <c r="C17" s="37" t="s">
        <v>141</v>
      </c>
      <c r="D17" s="37" t="s">
        <v>120</v>
      </c>
      <c r="E17" s="352" t="s">
        <v>142</v>
      </c>
      <c r="F17" s="38" t="s">
        <v>185</v>
      </c>
      <c r="G17" s="39">
        <v>15056587375</v>
      </c>
      <c r="H17" s="40"/>
      <c r="I17" s="40"/>
      <c r="J17" s="69"/>
      <c r="K17" s="40"/>
      <c r="L17" s="70">
        <v>10000</v>
      </c>
      <c r="M17" s="71">
        <v>321.52</v>
      </c>
      <c r="N17" s="71">
        <v>89.09</v>
      </c>
      <c r="O17" s="71">
        <v>20.1</v>
      </c>
      <c r="P17" s="71">
        <v>97</v>
      </c>
      <c r="Q17" s="89">
        <f t="shared" si="0"/>
        <v>527.71</v>
      </c>
      <c r="R17" s="70">
        <v>0</v>
      </c>
      <c r="S17" s="90">
        <f>L17+IFERROR(VLOOKUP($E:$E,'（居民）工资表-7月'!$E:$S,15,0),0)</f>
        <v>69904.76</v>
      </c>
      <c r="T17" s="91">
        <f>5000+IFERROR(VLOOKUP($E:$E,'（居民）工资表-7月'!$E:$T,16,0),0)</f>
        <v>35000</v>
      </c>
      <c r="U17" s="91">
        <f>Q17+IFERROR(VLOOKUP($E:$E,'（居民）工资表-7月'!$E:$U,17,0),0)</f>
        <v>3716.26</v>
      </c>
      <c r="V17" s="70"/>
      <c r="W17" s="70"/>
      <c r="X17" s="70"/>
      <c r="Y17" s="70"/>
      <c r="Z17" s="70"/>
      <c r="AA17" s="70"/>
      <c r="AB17" s="90">
        <f t="shared" si="1"/>
        <v>0</v>
      </c>
      <c r="AC17" s="90">
        <f>R17+IFERROR(VLOOKUP($E:$E,'（居民）工资表-7月'!$E:$AC,25,0),0)</f>
        <v>0</v>
      </c>
      <c r="AD17" s="95">
        <f t="shared" si="2"/>
        <v>31188.5</v>
      </c>
      <c r="AE17" s="96">
        <f>ROUND(MAX((AD17)*{0.03;0.1;0.2;0.25;0.3;0.35;0.45}-{0;2520;16920;31920;52920;85920;181920},0),2)</f>
        <v>935.66</v>
      </c>
      <c r="AF17" s="97">
        <f>IFERROR(VLOOKUP(E:E,'（居民）工资表-7月'!E:AF,28,0)+VLOOKUP(E:E,'（居民）工资表-7月'!E:AG,29,0),0)</f>
        <v>801.49</v>
      </c>
      <c r="AG17" s="97">
        <f t="shared" si="3"/>
        <v>134.17</v>
      </c>
      <c r="AH17" s="107">
        <f t="shared" si="4"/>
        <v>9338.12</v>
      </c>
      <c r="AI17" s="108"/>
      <c r="AJ17" s="107">
        <f t="shared" si="5"/>
        <v>9338.12</v>
      </c>
      <c r="AK17" s="109"/>
      <c r="AL17" s="107">
        <f t="shared" si="6"/>
        <v>9472.29</v>
      </c>
      <c r="AM17" s="109"/>
      <c r="AN17" s="109"/>
      <c r="AO17" s="109"/>
      <c r="AP17" s="109"/>
      <c r="AQ17" s="109"/>
      <c r="AR17" s="116" t="str">
        <f t="shared" si="7"/>
        <v>正确</v>
      </c>
      <c r="AS17" s="116" t="str">
        <f>IF(SUMPRODUCT(N(E$1:E$18=E17))&gt;1,"重复","不")</f>
        <v>不</v>
      </c>
      <c r="AT17" s="116" t="str">
        <f>IF(SUMPRODUCT(N(AO$1:AO$18=AO17))&gt;1,"重复","不")</f>
        <v>重复</v>
      </c>
    </row>
    <row r="18" s="12" customFormat="1" ht="18" customHeight="1" spans="1:46">
      <c r="A18" s="36">
        <v>15</v>
      </c>
      <c r="B18" s="37" t="s">
        <v>184</v>
      </c>
      <c r="C18" s="37" t="s">
        <v>204</v>
      </c>
      <c r="D18" s="37" t="s">
        <v>120</v>
      </c>
      <c r="E18" s="37" t="s">
        <v>205</v>
      </c>
      <c r="F18" s="38" t="s">
        <v>185</v>
      </c>
      <c r="G18" s="39">
        <v>13711361074</v>
      </c>
      <c r="H18" s="40"/>
      <c r="I18" s="40"/>
      <c r="J18" s="69"/>
      <c r="K18" s="40"/>
      <c r="L18" s="70">
        <v>7600</v>
      </c>
      <c r="M18" s="71">
        <v>337.92</v>
      </c>
      <c r="N18" s="71">
        <v>91.48</v>
      </c>
      <c r="O18" s="71">
        <v>12.67</v>
      </c>
      <c r="P18" s="71">
        <v>110.5</v>
      </c>
      <c r="Q18" s="89">
        <f t="shared" si="0"/>
        <v>552.57</v>
      </c>
      <c r="R18" s="70">
        <v>0</v>
      </c>
      <c r="S18" s="90">
        <f>L18+IFERROR(VLOOKUP($E:$E,'（居民）工资表-7月'!$E:$S,15,0),0)</f>
        <v>28350.3</v>
      </c>
      <c r="T18" s="91">
        <f>5000+IFERROR(VLOOKUP($E:$E,'（居民）工资表-7月'!$E:$T,16,0),0)</f>
        <v>25000</v>
      </c>
      <c r="U18" s="91">
        <f>Q18+IFERROR(VLOOKUP($E:$E,'（居民）工资表-7月'!$E:$U,17,0),0)</f>
        <v>3315.42</v>
      </c>
      <c r="V18" s="70"/>
      <c r="W18" s="70"/>
      <c r="X18" s="70"/>
      <c r="Y18" s="70"/>
      <c r="Z18" s="70"/>
      <c r="AA18" s="70"/>
      <c r="AB18" s="90">
        <f t="shared" si="1"/>
        <v>0</v>
      </c>
      <c r="AC18" s="90">
        <f>R18+IFERROR(VLOOKUP($E:$E,'（居民）工资表-7月'!$E:$AC,25,0),0)</f>
        <v>0</v>
      </c>
      <c r="AD18" s="95">
        <f t="shared" si="2"/>
        <v>34.88</v>
      </c>
      <c r="AE18" s="96">
        <f>ROUND(MAX((AD18)*{0.03;0.1;0.2;0.25;0.3;0.35;0.45}-{0;2520;16920;31920;52920;85920;181920},0),2)</f>
        <v>1.05</v>
      </c>
      <c r="AF18" s="97">
        <f>IFERROR(VLOOKUP(E:E,'（居民）工资表-7月'!E:AF,28,0)+VLOOKUP(E:E,'（居民）工资表-7月'!E:AG,29,0),0)</f>
        <v>0</v>
      </c>
      <c r="AG18" s="97">
        <f t="shared" si="3"/>
        <v>1.05</v>
      </c>
      <c r="AH18" s="107">
        <f t="shared" si="4"/>
        <v>7046.38</v>
      </c>
      <c r="AI18" s="108"/>
      <c r="AJ18" s="107">
        <f t="shared" si="5"/>
        <v>7046.38</v>
      </c>
      <c r="AK18" s="109"/>
      <c r="AL18" s="107">
        <f t="shared" si="6"/>
        <v>7047.43</v>
      </c>
      <c r="AM18" s="109"/>
      <c r="AN18" s="109"/>
      <c r="AO18" s="109"/>
      <c r="AP18" s="109"/>
      <c r="AQ18" s="109"/>
      <c r="AR18" s="116" t="str">
        <f t="shared" si="7"/>
        <v>正确</v>
      </c>
      <c r="AS18" s="116" t="str">
        <f>IF(SUMPRODUCT(N(E$1:E$18=E18))&gt;1,"重复","不")</f>
        <v>不</v>
      </c>
      <c r="AT18" s="116" t="str">
        <f>IF(SUMPRODUCT(N(AO$1:AO$18=AO18))&gt;1,"重复","不")</f>
        <v>重复</v>
      </c>
    </row>
    <row r="19" s="12" customFormat="1" ht="18" customHeight="1" spans="1:46">
      <c r="A19" s="36"/>
      <c r="B19" s="37"/>
      <c r="C19" s="37"/>
      <c r="D19" s="37"/>
      <c r="E19" s="37"/>
      <c r="F19" s="38"/>
      <c r="G19" s="39"/>
      <c r="H19" s="40"/>
      <c r="I19" s="40"/>
      <c r="J19" s="69"/>
      <c r="K19" s="40"/>
      <c r="L19" s="70"/>
      <c r="M19" s="71"/>
      <c r="N19" s="71"/>
      <c r="O19" s="71"/>
      <c r="P19" s="71"/>
      <c r="Q19" s="89"/>
      <c r="R19" s="70"/>
      <c r="S19" s="90"/>
      <c r="T19" s="91"/>
      <c r="U19" s="91"/>
      <c r="V19" s="70"/>
      <c r="W19" s="70"/>
      <c r="X19" s="70"/>
      <c r="Y19" s="70"/>
      <c r="Z19" s="70"/>
      <c r="AA19" s="70"/>
      <c r="AB19" s="90"/>
      <c r="AC19" s="90"/>
      <c r="AD19" s="95"/>
      <c r="AE19" s="96"/>
      <c r="AF19" s="97"/>
      <c r="AG19" s="97"/>
      <c r="AH19" s="107"/>
      <c r="AI19" s="108"/>
      <c r="AJ19" s="107"/>
      <c r="AK19" s="109"/>
      <c r="AL19" s="107"/>
      <c r="AM19" s="109"/>
      <c r="AN19" s="109"/>
      <c r="AO19" s="109"/>
      <c r="AP19" s="109"/>
      <c r="AQ19" s="109"/>
      <c r="AR19" s="116"/>
      <c r="AS19" s="116"/>
      <c r="AT19" s="116"/>
    </row>
    <row r="20" s="13" customFormat="1" ht="18" customHeight="1" spans="1:46">
      <c r="A20" s="41"/>
      <c r="B20" s="42" t="s">
        <v>143</v>
      </c>
      <c r="C20" s="42"/>
      <c r="D20" s="43"/>
      <c r="E20" s="44"/>
      <c r="F20" s="45"/>
      <c r="G20" s="46"/>
      <c r="H20" s="45"/>
      <c r="I20" s="72"/>
      <c r="J20" s="73"/>
      <c r="K20" s="72"/>
      <c r="L20" s="74">
        <f>SUM(L4:L19)</f>
        <v>134969.15</v>
      </c>
      <c r="M20" s="74">
        <f>SUM(M4:M19)</f>
        <v>4361.27</v>
      </c>
      <c r="N20" s="74">
        <f>SUM(N4:N19)</f>
        <v>1220.91</v>
      </c>
      <c r="O20" s="74">
        <f t="shared" ref="O20:AL20" si="10">SUM(O4:O19)</f>
        <v>227.19</v>
      </c>
      <c r="P20" s="74">
        <f t="shared" si="10"/>
        <v>2135.9</v>
      </c>
      <c r="Q20" s="74">
        <f t="shared" si="10"/>
        <v>7945.27</v>
      </c>
      <c r="R20" s="74">
        <f t="shared" si="10"/>
        <v>0</v>
      </c>
      <c r="S20" s="74">
        <f t="shared" si="10"/>
        <v>908201.95</v>
      </c>
      <c r="T20" s="74">
        <f t="shared" si="10"/>
        <v>505000</v>
      </c>
      <c r="U20" s="74">
        <f t="shared" si="10"/>
        <v>63400.9</v>
      </c>
      <c r="V20" s="74">
        <f t="shared" si="10"/>
        <v>0</v>
      </c>
      <c r="W20" s="74">
        <f t="shared" si="10"/>
        <v>0</v>
      </c>
      <c r="X20" s="74">
        <f t="shared" si="10"/>
        <v>0</v>
      </c>
      <c r="Y20" s="74">
        <f t="shared" si="10"/>
        <v>0</v>
      </c>
      <c r="Z20" s="74">
        <f t="shared" si="10"/>
        <v>0</v>
      </c>
      <c r="AA20" s="74">
        <f t="shared" si="10"/>
        <v>0</v>
      </c>
      <c r="AB20" s="74">
        <f t="shared" si="10"/>
        <v>0</v>
      </c>
      <c r="AC20" s="74">
        <f t="shared" si="10"/>
        <v>0</v>
      </c>
      <c r="AD20" s="74">
        <f t="shared" si="10"/>
        <v>339801.05</v>
      </c>
      <c r="AE20" s="74">
        <f t="shared" si="10"/>
        <v>22206.45</v>
      </c>
      <c r="AF20" s="74">
        <f t="shared" si="10"/>
        <v>15216.82</v>
      </c>
      <c r="AG20" s="74">
        <f t="shared" si="10"/>
        <v>6994.93</v>
      </c>
      <c r="AH20" s="74">
        <f t="shared" si="10"/>
        <v>120028.95</v>
      </c>
      <c r="AI20" s="74">
        <f t="shared" si="10"/>
        <v>0</v>
      </c>
      <c r="AJ20" s="74">
        <f t="shared" si="10"/>
        <v>120028.95</v>
      </c>
      <c r="AK20" s="74">
        <f t="shared" si="10"/>
        <v>0</v>
      </c>
      <c r="AL20" s="74">
        <f t="shared" si="10"/>
        <v>127023.88</v>
      </c>
      <c r="AM20" s="110"/>
      <c r="AN20" s="110"/>
      <c r="AO20" s="110"/>
      <c r="AP20" s="110"/>
      <c r="AQ20" s="110"/>
      <c r="AR20" s="45"/>
      <c r="AS20" s="45"/>
      <c r="AT20" s="118"/>
    </row>
    <row r="23" spans="30:30">
      <c r="AD23" s="101"/>
    </row>
    <row r="24" ht="18.75" customHeight="1" spans="2:30">
      <c r="B24" s="47" t="s">
        <v>144</v>
      </c>
      <c r="C24" s="47" t="s">
        <v>145</v>
      </c>
      <c r="D24" s="47" t="s">
        <v>22</v>
      </c>
      <c r="E24" s="47" t="s">
        <v>23</v>
      </c>
      <c r="AD24" s="10"/>
    </row>
    <row r="25" ht="18.75" customHeight="1" spans="2:5">
      <c r="B25" s="48">
        <f>AJ20</f>
        <v>120028.95</v>
      </c>
      <c r="C25" s="48">
        <f>AG20</f>
        <v>6994.93</v>
      </c>
      <c r="D25" s="48">
        <f>AK20</f>
        <v>0</v>
      </c>
      <c r="E25" s="48">
        <f>B25+C25+D25</f>
        <v>127023.88</v>
      </c>
    </row>
    <row r="26" spans="2:5">
      <c r="B26" s="49"/>
      <c r="C26" s="49"/>
      <c r="D26" s="49"/>
      <c r="E26" s="49"/>
    </row>
    <row r="27" s="14" customFormat="1" spans="1:35">
      <c r="A27" s="51" t="s">
        <v>206</v>
      </c>
      <c r="B27" s="52" t="s">
        <v>207</v>
      </c>
      <c r="C27" s="50"/>
      <c r="D27" s="50"/>
      <c r="E27" s="50"/>
      <c r="G27" s="53"/>
      <c r="J27" s="75"/>
      <c r="M27" s="76"/>
      <c r="AI27" s="112"/>
    </row>
    <row r="28" s="14" customFormat="1" spans="1:35">
      <c r="A28" s="54"/>
      <c r="B28" s="55" t="s">
        <v>208</v>
      </c>
      <c r="C28" s="50"/>
      <c r="D28" s="50"/>
      <c r="E28" s="50"/>
      <c r="G28" s="53"/>
      <c r="J28" s="75"/>
      <c r="M28" s="76"/>
      <c r="AI28" s="112"/>
    </row>
    <row r="29" s="14" customFormat="1" spans="1:35">
      <c r="A29" s="52"/>
      <c r="B29" s="55" t="s">
        <v>209</v>
      </c>
      <c r="C29" s="56"/>
      <c r="D29" s="56"/>
      <c r="E29" s="56"/>
      <c r="F29" s="56"/>
      <c r="G29" s="56"/>
      <c r="H29" s="56"/>
      <c r="I29" s="56"/>
      <c r="J29" s="77"/>
      <c r="K29" s="56"/>
      <c r="L29" s="56"/>
      <c r="M29" s="78"/>
      <c r="N29" s="56"/>
      <c r="O29" s="56"/>
      <c r="P29" s="56"/>
      <c r="AI29" s="112"/>
    </row>
    <row r="30" s="14" customFormat="1" customHeight="1" spans="1:35">
      <c r="A30" s="55"/>
      <c r="B30" s="55" t="s">
        <v>210</v>
      </c>
      <c r="C30" s="57"/>
      <c r="D30" s="57"/>
      <c r="E30" s="57"/>
      <c r="F30" s="57"/>
      <c r="G30" s="57"/>
      <c r="H30" s="57"/>
      <c r="I30" s="79"/>
      <c r="J30" s="80"/>
      <c r="K30" s="79"/>
      <c r="L30" s="79"/>
      <c r="M30" s="81"/>
      <c r="N30" s="79"/>
      <c r="O30" s="79"/>
      <c r="P30" s="79"/>
      <c r="AI30" s="112"/>
    </row>
    <row r="31" s="14" customFormat="1" customHeight="1" spans="1:35">
      <c r="A31" s="55"/>
      <c r="B31" s="55" t="s">
        <v>211</v>
      </c>
      <c r="C31" s="57"/>
      <c r="D31" s="57"/>
      <c r="E31" s="57"/>
      <c r="F31" s="57"/>
      <c r="G31" s="57"/>
      <c r="H31" s="57"/>
      <c r="I31" s="57"/>
      <c r="J31" s="82"/>
      <c r="K31" s="57"/>
      <c r="L31" s="79"/>
      <c r="M31" s="81"/>
      <c r="N31" s="79"/>
      <c r="O31" s="79"/>
      <c r="P31" s="79"/>
      <c r="AI31" s="112"/>
    </row>
    <row r="32" s="14" customFormat="1" customHeight="1" spans="1:35">
      <c r="A32" s="55"/>
      <c r="B32" s="55" t="s">
        <v>212</v>
      </c>
      <c r="C32" s="57"/>
      <c r="D32" s="57"/>
      <c r="E32" s="57"/>
      <c r="F32" s="57"/>
      <c r="G32" s="57"/>
      <c r="H32" s="57"/>
      <c r="I32" s="79"/>
      <c r="J32" s="80"/>
      <c r="K32" s="79"/>
      <c r="L32" s="79"/>
      <c r="M32" s="81"/>
      <c r="N32" s="79"/>
      <c r="O32" s="79"/>
      <c r="P32" s="79"/>
      <c r="AI32" s="112"/>
    </row>
    <row r="34" ht="11.25" customHeight="1" spans="2:2">
      <c r="B34" s="58" t="s">
        <v>213</v>
      </c>
    </row>
    <row r="35" spans="2:2">
      <c r="B35" s="59" t="s">
        <v>214</v>
      </c>
    </row>
    <row r="36" spans="2:2">
      <c r="B36" s="59" t="s">
        <v>215</v>
      </c>
    </row>
  </sheetData>
  <mergeCells count="39">
    <mergeCell ref="M1:P1"/>
    <mergeCell ref="M2:P2"/>
    <mergeCell ref="V2:AA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Q2:Q3"/>
    <mergeCell ref="R2:R3"/>
    <mergeCell ref="S2:S3"/>
    <mergeCell ref="T2:T3"/>
    <mergeCell ref="U2:U3"/>
    <mergeCell ref="AB2:AB3"/>
    <mergeCell ref="AC2:AC3"/>
    <mergeCell ref="AD2:AD3"/>
    <mergeCell ref="AE2:AE3"/>
    <mergeCell ref="AF2:AF3"/>
    <mergeCell ref="AG2:AG3"/>
    <mergeCell ref="AH2:AH3"/>
    <mergeCell ref="AI2:AI3"/>
    <mergeCell ref="AJ2:AJ3"/>
    <mergeCell ref="AK2:AK3"/>
    <mergeCell ref="AL2:AL3"/>
    <mergeCell ref="AM2:AM3"/>
    <mergeCell ref="AN2:AN3"/>
    <mergeCell ref="AO2:AO3"/>
    <mergeCell ref="AP2:AP3"/>
    <mergeCell ref="AQ2:AQ3"/>
    <mergeCell ref="AR2:AR3"/>
    <mergeCell ref="AS2:AS3"/>
    <mergeCell ref="AT2:AT3"/>
  </mergeCells>
  <conditionalFormatting sqref="B32">
    <cfRule type="duplicateValues" dxfId="4" priority="2" stopIfTrue="1"/>
  </conditionalFormatting>
  <conditionalFormatting sqref="B27:B31">
    <cfRule type="duplicateValues" dxfId="4" priority="3" stopIfTrue="1"/>
  </conditionalFormatting>
  <conditionalFormatting sqref="B35:B36">
    <cfRule type="duplicateValues" dxfId="4" priority="1" stopIfTrue="1"/>
  </conditionalFormatting>
  <conditionalFormatting sqref="C24:C26">
    <cfRule type="duplicateValues" dxfId="4" priority="4" stopIfTrue="1"/>
    <cfRule type="expression" dxfId="5" priority="5" stopIfTrue="1">
      <formula>AND(COUNTIF($B$20:$B$65456,C24)+COUNTIF($B$1:$B$3,C24)&gt;1,NOT(ISBLANK(C24)))</formula>
    </cfRule>
    <cfRule type="expression" dxfId="5" priority="6" stopIfTrue="1">
      <formula>AND(COUNTIF($B$31:$B$65407,C24)+COUNTIF($B$1:$B$30,C24)&gt;1,NOT(ISBLANK(C24)))</formula>
    </cfRule>
    <cfRule type="expression" dxfId="5" priority="7" stopIfTrue="1">
      <formula>AND(COUNTIF($B$20:$B$65445,C24)+COUNTIF($B$1:$B$3,C24)&gt;1,NOT(ISBLANK(C24)))</formula>
    </cfRule>
  </conditionalFormatting>
  <pageMargins left="0.235416666666667" right="0.235416666666667" top="0.747916666666667" bottom="0.747916666666667" header="0.313888888888889" footer="0.313888888888889"/>
  <pageSetup paperSize="9" scale="56" fitToWidth="2" orientation="landscape"/>
  <headerFooter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>
    <tabColor rgb="FF00B050"/>
    <pageSetUpPr fitToPage="1"/>
  </sheetPr>
  <dimension ref="A1:AT34"/>
  <sheetViews>
    <sheetView workbookViewId="0">
      <pane xSplit="6" ySplit="3" topLeftCell="G4" activePane="bottomRight" state="frozen"/>
      <selection/>
      <selection pane="topRight"/>
      <selection pane="bottomLeft"/>
      <selection pane="bottomRight" activeCell="B4" sqref="B4:P16"/>
    </sheetView>
  </sheetViews>
  <sheetFormatPr defaultColWidth="9" defaultRowHeight="13.5"/>
  <cols>
    <col min="1" max="1" width="4.45" style="15" customWidth="1"/>
    <col min="2" max="2" width="12.6333333333333" style="15" customWidth="1"/>
    <col min="3" max="3" width="10.45" style="15" customWidth="1"/>
    <col min="4" max="4" width="8.725" style="15" customWidth="1"/>
    <col min="5" max="5" width="19.45" style="16" customWidth="1"/>
    <col min="6" max="6" width="9" style="15"/>
    <col min="7" max="7" width="11.9083333333333" style="17" customWidth="1"/>
    <col min="8" max="8" width="4.63333333333333" style="15" hidden="1" customWidth="1"/>
    <col min="9" max="9" width="5.26666666666667" style="15" hidden="1" customWidth="1"/>
    <col min="10" max="10" width="11.725" style="18" customWidth="1"/>
    <col min="11" max="11" width="5.26666666666667" style="15" customWidth="1"/>
    <col min="12" max="12" width="11.725" style="15" customWidth="1"/>
    <col min="13" max="13" width="12.45" style="15" customWidth="1" outlineLevel="1"/>
    <col min="14" max="15" width="9" style="15" customWidth="1" outlineLevel="1"/>
    <col min="16" max="16" width="11.0916666666667" style="15" customWidth="1" outlineLevel="1"/>
    <col min="17" max="17" width="9.725" style="15" customWidth="1"/>
    <col min="18" max="18" width="9.45" style="15" customWidth="1"/>
    <col min="19" max="19" width="13.3666666666667" style="15" customWidth="1"/>
    <col min="20" max="21" width="12.2666666666667" style="15" customWidth="1"/>
    <col min="22" max="27" width="9" style="15" customWidth="1" outlineLevel="1"/>
    <col min="28" max="28" width="11.2666666666667" style="15" customWidth="1"/>
    <col min="29" max="29" width="8.45" style="15" customWidth="1"/>
    <col min="30" max="30" width="15.2666666666667" style="15" customWidth="1"/>
    <col min="31" max="31" width="13.3666666666667" style="15" customWidth="1"/>
    <col min="32" max="32" width="10.725" style="15" customWidth="1"/>
    <col min="33" max="33" width="12.2666666666667" style="15" customWidth="1"/>
    <col min="34" max="34" width="11.45" style="15" customWidth="1"/>
    <col min="35" max="35" width="7.90833333333333" style="19" customWidth="1"/>
    <col min="36" max="36" width="11.45" style="15" customWidth="1"/>
    <col min="37" max="37" width="9" style="15"/>
    <col min="38" max="38" width="11.45" style="15" customWidth="1"/>
    <col min="39" max="40" width="9" style="15" customWidth="1"/>
    <col min="41" max="41" width="19" style="15" customWidth="1"/>
    <col min="42" max="42" width="12.2666666666667" style="15" customWidth="1"/>
    <col min="43" max="43" width="9" style="15"/>
    <col min="44" max="44" width="7" style="15" customWidth="1"/>
    <col min="45" max="45" width="6.725" style="15" customWidth="1"/>
    <col min="46" max="46" width="6.09166666666667" style="15" customWidth="1"/>
    <col min="47" max="16384" width="9" style="15"/>
  </cols>
  <sheetData>
    <row r="1" s="10" customFormat="1" ht="29.25" customHeight="1" spans="1:45">
      <c r="A1" s="20" t="s">
        <v>146</v>
      </c>
      <c r="B1" s="21"/>
      <c r="C1" s="22"/>
      <c r="D1" s="23"/>
      <c r="E1" s="24"/>
      <c r="F1" s="24"/>
      <c r="G1" s="25"/>
      <c r="J1" s="60"/>
      <c r="L1" s="61"/>
      <c r="M1" s="62" t="s">
        <v>147</v>
      </c>
      <c r="N1" s="62"/>
      <c r="O1" s="62"/>
      <c r="P1" s="62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  <c r="AC1" s="83"/>
      <c r="AD1" s="61"/>
      <c r="AE1" s="61"/>
      <c r="AF1" s="61"/>
      <c r="AG1" s="61"/>
      <c r="AH1" s="61"/>
      <c r="AI1" s="102"/>
      <c r="AJ1" s="61"/>
      <c r="AK1" s="61"/>
      <c r="AL1" s="61"/>
      <c r="AM1" s="24"/>
      <c r="AN1" s="24"/>
      <c r="AO1" s="113"/>
      <c r="AP1" s="24"/>
      <c r="AQ1" s="24"/>
      <c r="AR1" s="24"/>
      <c r="AS1" s="24"/>
    </row>
    <row r="2" s="11" customFormat="1" ht="20.15" customHeight="1" spans="1:46">
      <c r="A2" s="26" t="s">
        <v>0</v>
      </c>
      <c r="B2" s="27" t="s">
        <v>148</v>
      </c>
      <c r="C2" s="28" t="s">
        <v>149</v>
      </c>
      <c r="D2" s="28" t="s">
        <v>150</v>
      </c>
      <c r="E2" s="29" t="s">
        <v>151</v>
      </c>
      <c r="F2" s="30" t="s">
        <v>152</v>
      </c>
      <c r="G2" s="29" t="s">
        <v>153</v>
      </c>
      <c r="H2" s="29" t="s">
        <v>154</v>
      </c>
      <c r="I2" s="29" t="s">
        <v>155</v>
      </c>
      <c r="J2" s="63" t="s">
        <v>156</v>
      </c>
      <c r="K2" s="29" t="s">
        <v>157</v>
      </c>
      <c r="L2" s="29" t="s">
        <v>158</v>
      </c>
      <c r="M2" s="64" t="s">
        <v>159</v>
      </c>
      <c r="N2" s="65"/>
      <c r="O2" s="65"/>
      <c r="P2" s="66"/>
      <c r="Q2" s="30" t="s">
        <v>160</v>
      </c>
      <c r="R2" s="29" t="s">
        <v>161</v>
      </c>
      <c r="S2" s="30" t="s">
        <v>162</v>
      </c>
      <c r="T2" s="84" t="s">
        <v>163</v>
      </c>
      <c r="U2" s="30" t="s">
        <v>164</v>
      </c>
      <c r="V2" s="85" t="s">
        <v>165</v>
      </c>
      <c r="W2" s="86"/>
      <c r="X2" s="86"/>
      <c r="Y2" s="86"/>
      <c r="Z2" s="86"/>
      <c r="AA2" s="94"/>
      <c r="AB2" s="30" t="s">
        <v>166</v>
      </c>
      <c r="AC2" s="30" t="s">
        <v>167</v>
      </c>
      <c r="AD2" s="84" t="s">
        <v>168</v>
      </c>
      <c r="AE2" s="84" t="s">
        <v>169</v>
      </c>
      <c r="AF2" s="84" t="s">
        <v>170</v>
      </c>
      <c r="AG2" s="84" t="s">
        <v>171</v>
      </c>
      <c r="AH2" s="103" t="s">
        <v>172</v>
      </c>
      <c r="AI2" s="104" t="s">
        <v>173</v>
      </c>
      <c r="AJ2" s="103" t="s">
        <v>144</v>
      </c>
      <c r="AK2" s="28" t="s">
        <v>22</v>
      </c>
      <c r="AL2" s="103" t="s">
        <v>174</v>
      </c>
      <c r="AM2" s="29" t="s">
        <v>216</v>
      </c>
      <c r="AN2" s="29" t="s">
        <v>217</v>
      </c>
      <c r="AO2" s="114" t="s">
        <v>218</v>
      </c>
      <c r="AP2" s="29" t="s">
        <v>219</v>
      </c>
      <c r="AQ2" s="29" t="s">
        <v>220</v>
      </c>
      <c r="AR2" s="30" t="s">
        <v>221</v>
      </c>
      <c r="AS2" s="30" t="s">
        <v>222</v>
      </c>
      <c r="AT2" s="30" t="s">
        <v>223</v>
      </c>
    </row>
    <row r="3" s="11" customFormat="1" ht="27" customHeight="1" spans="1:46">
      <c r="A3" s="31"/>
      <c r="B3" s="32"/>
      <c r="C3" s="33"/>
      <c r="D3" s="33"/>
      <c r="E3" s="34"/>
      <c r="F3" s="35"/>
      <c r="G3" s="34"/>
      <c r="H3" s="34"/>
      <c r="I3" s="34"/>
      <c r="J3" s="67"/>
      <c r="K3" s="34"/>
      <c r="L3" s="34"/>
      <c r="M3" s="68" t="s">
        <v>175</v>
      </c>
      <c r="N3" s="68" t="s">
        <v>176</v>
      </c>
      <c r="O3" s="68" t="s">
        <v>177</v>
      </c>
      <c r="P3" s="68" t="s">
        <v>37</v>
      </c>
      <c r="Q3" s="35"/>
      <c r="R3" s="34"/>
      <c r="S3" s="35"/>
      <c r="T3" s="87"/>
      <c r="U3" s="35"/>
      <c r="V3" s="88" t="s">
        <v>178</v>
      </c>
      <c r="W3" s="88" t="s">
        <v>179</v>
      </c>
      <c r="X3" s="88" t="s">
        <v>180</v>
      </c>
      <c r="Y3" s="88" t="s">
        <v>181</v>
      </c>
      <c r="Z3" s="88" t="s">
        <v>182</v>
      </c>
      <c r="AA3" s="88" t="s">
        <v>183</v>
      </c>
      <c r="AB3" s="35"/>
      <c r="AC3" s="35"/>
      <c r="AD3" s="87"/>
      <c r="AE3" s="87"/>
      <c r="AF3" s="87"/>
      <c r="AG3" s="87"/>
      <c r="AH3" s="105"/>
      <c r="AI3" s="106"/>
      <c r="AJ3" s="105"/>
      <c r="AK3" s="33"/>
      <c r="AL3" s="105"/>
      <c r="AM3" s="34"/>
      <c r="AN3" s="34"/>
      <c r="AO3" s="115"/>
      <c r="AP3" s="34"/>
      <c r="AQ3" s="34"/>
      <c r="AR3" s="35"/>
      <c r="AS3" s="35"/>
      <c r="AT3" s="35"/>
    </row>
    <row r="4" s="12" customFormat="1" ht="18" customHeight="1" spans="1:46">
      <c r="A4" s="36">
        <v>1</v>
      </c>
      <c r="B4" s="37" t="s">
        <v>184</v>
      </c>
      <c r="C4" s="37" t="s">
        <v>61</v>
      </c>
      <c r="D4" s="37" t="s">
        <v>120</v>
      </c>
      <c r="E4" s="37" t="s">
        <v>62</v>
      </c>
      <c r="F4" s="38" t="s">
        <v>185</v>
      </c>
      <c r="G4" s="39">
        <v>13944441728</v>
      </c>
      <c r="H4" s="40"/>
      <c r="I4" s="40"/>
      <c r="J4" s="69"/>
      <c r="K4" s="40"/>
      <c r="L4" s="70">
        <v>8000</v>
      </c>
      <c r="M4" s="71">
        <v>344.57</v>
      </c>
      <c r="N4" s="71">
        <v>86.14</v>
      </c>
      <c r="O4" s="71">
        <v>12.92</v>
      </c>
      <c r="P4" s="71">
        <v>177.4</v>
      </c>
      <c r="Q4" s="89">
        <f>ROUND(SUM(M4:P4),2)</f>
        <v>621.03</v>
      </c>
      <c r="R4" s="70">
        <v>0</v>
      </c>
      <c r="S4" s="90">
        <f>L4+IFERROR(VLOOKUP($E:$E,'（居民）工资表-8月'!$E:$S,15,0),0)</f>
        <v>64000</v>
      </c>
      <c r="T4" s="91">
        <f>5000+IFERROR(VLOOKUP($E:$E,'（居民）工资表-8月'!$E:$T,16,0),0)</f>
        <v>40000</v>
      </c>
      <c r="U4" s="91">
        <f>Q4+IFERROR(VLOOKUP($E:$E,'（居民）工资表-8月'!$E:$U,17,0),0)</f>
        <v>4826.05</v>
      </c>
      <c r="V4" s="70"/>
      <c r="W4" s="129"/>
      <c r="X4" s="70"/>
      <c r="Y4" s="70"/>
      <c r="Z4" s="70"/>
      <c r="AA4" s="70"/>
      <c r="AB4" s="90">
        <f>ROUND(SUM(V4:AA4),2)</f>
        <v>0</v>
      </c>
      <c r="AC4" s="90">
        <f>R4+IFERROR(VLOOKUP($E:$E,'（居民）工资表-8月'!$E:$AC,25,0),0)</f>
        <v>0</v>
      </c>
      <c r="AD4" s="95">
        <f>ROUND(S4-T4-U4-AB4-AC4,2)</f>
        <v>19173.95</v>
      </c>
      <c r="AE4" s="96">
        <f>ROUND(MAX((AD4)*{0.03;0.1;0.2;0.25;0.3;0.35;0.45}-{0;2520;16920;31920;52920;85920;181920},0),2)</f>
        <v>575.22</v>
      </c>
      <c r="AF4" s="97">
        <f>IFERROR(VLOOKUP(E:E,'（居民）工资表-8月'!E:AF,28,0)+VLOOKUP(E:E,'（居民）工资表-8月'!E:AG,29,0),0)</f>
        <v>503.85</v>
      </c>
      <c r="AG4" s="97">
        <f>AE4-AF4</f>
        <v>71.37</v>
      </c>
      <c r="AH4" s="107">
        <f>ROUND(IF((L4-Q4-AG4)&lt;0,0,(L4-Q4-AG4)),2)</f>
        <v>7307.6</v>
      </c>
      <c r="AI4" s="108"/>
      <c r="AJ4" s="107">
        <f>AH4+AI4</f>
        <v>7307.6</v>
      </c>
      <c r="AK4" s="109"/>
      <c r="AL4" s="107">
        <f>AJ4+AG4+AK4</f>
        <v>7378.97</v>
      </c>
      <c r="AM4" s="109"/>
      <c r="AN4" s="109"/>
      <c r="AO4" s="109"/>
      <c r="AP4" s="109"/>
      <c r="AQ4" s="109"/>
      <c r="AR4" s="116" t="str">
        <f>IF(LEN(E4)=18,IF(RIGHT(E4,1)="X",IF(CHOOSE(MOD(SUM(LEFT(RIGHT(E4,18))*7+LEFT(RIGHT(E4,17))*9+LEFT(RIGHT(E4,16))*10+LEFT(RIGHT(E4,15))*5+LEFT(RIGHT(E4,14))*8+LEFT(RIGHT(E4,13))*4+LEFT(RIGHT(E4,12))*2+LEFT(RIGHT(E4,11))*1+LEFT(RIGHT(E4,10))*6+LEFT(RIGHT(E4,9))*3+LEFT(RIGHT(E4,8))*7+LEFT(RIGHT(E4,7))*9+LEFT(RIGHT(E4,6))*10+LEFT(RIGHT(E4,5))*5+LEFT(RIGHT(E4,4))*8+LEFT(RIGHT(E4,3))*4+LEFT(RIGHT(E4,2))*2),11)+1,1,0,"X",9,8,7,6,5,4,3,2)=LEFT(RIGHT(E4,1)),"正确","错误"),IF(CHOOSE(MOD(SUM(LEFT(RIGHT(E4,18))*7+LEFT(RIGHT(E4,17))*9+LEFT(RIGHT(E4,16))*10+LEFT(RIGHT(E4,15))*5+LEFT(RIGHT(E4,14))*8+LEFT(RIGHT(E4,13))*4+LEFT(RIGHT(E4,12))*2+LEFT(RIGHT(E4,11))*1+LEFT(RIGHT(E4,10))*6+LEFT(RIGHT(E4,9))*3+LEFT(RIGHT(E4,8))*7+LEFT(RIGHT(E4,7))*9+LEFT(RIGHT(E4,6))*10+LEFT(RIGHT(E4,5))*5+LEFT(RIGHT(E4,4))*8+LEFT(RIGHT(E4,3))*4+LEFT(RIGHT(E4,2))*2),11)+1,1,0,"X",9,8,7,6,5,4,3,2)=LEFT(RIGHT(E4,1))*1,"正确","错误")),IF(LEN(E4)=15,"老号，请注意！",IF(LEN(E4)=0,"未填写身份证号码","位数不对！")))</f>
        <v>正确</v>
      </c>
      <c r="AS4" s="116" t="str">
        <f>IF(SUMPRODUCT(N(E$1:E$8=E4))&gt;1,"重复","不")</f>
        <v>不</v>
      </c>
      <c r="AT4" s="116" t="str">
        <f>IF(SUMPRODUCT(N(AO$1:AO$8=AO4))&gt;1,"重复","不")</f>
        <v>重复</v>
      </c>
    </row>
    <row r="5" s="12" customFormat="1" ht="18" customHeight="1" spans="1:46">
      <c r="A5" s="36">
        <v>2</v>
      </c>
      <c r="B5" s="37" t="s">
        <v>184</v>
      </c>
      <c r="C5" s="37" t="s">
        <v>121</v>
      </c>
      <c r="D5" s="37" t="s">
        <v>120</v>
      </c>
      <c r="E5" s="352" t="s">
        <v>122</v>
      </c>
      <c r="F5" s="38" t="s">
        <v>187</v>
      </c>
      <c r="G5" s="39">
        <v>15360550807</v>
      </c>
      <c r="H5" s="40"/>
      <c r="I5" s="40"/>
      <c r="J5" s="69"/>
      <c r="K5" s="40"/>
      <c r="L5" s="70">
        <v>6100</v>
      </c>
      <c r="M5" s="71">
        <v>422.72</v>
      </c>
      <c r="N5" s="71">
        <v>119.92</v>
      </c>
      <c r="O5" s="71">
        <v>4.6</v>
      </c>
      <c r="P5" s="71">
        <v>115</v>
      </c>
      <c r="Q5" s="89">
        <f t="shared" ref="Q5:Q19" si="0">ROUND(SUM(M5:P5),2)</f>
        <v>662.24</v>
      </c>
      <c r="R5" s="70">
        <v>0</v>
      </c>
      <c r="S5" s="90">
        <f>L5+IFERROR(VLOOKUP($E:$E,'（居民）工资表-8月'!$E:$S,15,0),0)</f>
        <v>47660</v>
      </c>
      <c r="T5" s="91">
        <f>5000+IFERROR(VLOOKUP($E:$E,'（居民）工资表-8月'!$E:$T,16,0),0)</f>
        <v>40000</v>
      </c>
      <c r="U5" s="91">
        <f>Q5+IFERROR(VLOOKUP($E:$E,'（居民）工资表-8月'!$E:$U,17,0),0)</f>
        <v>5449.36</v>
      </c>
      <c r="V5" s="70"/>
      <c r="W5" s="129"/>
      <c r="X5" s="70"/>
      <c r="Y5" s="70"/>
      <c r="Z5" s="70"/>
      <c r="AA5" s="70"/>
      <c r="AB5" s="90">
        <f t="shared" ref="AB5:AB19" si="1">ROUND(SUM(V5:AA5),2)</f>
        <v>0</v>
      </c>
      <c r="AC5" s="90">
        <f>R5+IFERROR(VLOOKUP($E:$E,'（居民）工资表-8月'!$E:$AC,25,0),0)</f>
        <v>0</v>
      </c>
      <c r="AD5" s="95">
        <f t="shared" ref="AD5:AD19" si="2">ROUND(S5-T5-U5-AB5-AC5,2)</f>
        <v>2210.64</v>
      </c>
      <c r="AE5" s="96">
        <f>ROUND(MAX((AD5)*{0.03;0.1;0.2;0.25;0.3;0.35;0.45}-{0;2520;16920;31920;52920;85920;181920},0),2)</f>
        <v>66.32</v>
      </c>
      <c r="AF5" s="97">
        <f>IFERROR(VLOOKUP(E:E,'（居民）工资表-8月'!E:AF,28,0)+VLOOKUP(E:E,'（居民）工资表-8月'!E:AG,29,0),0)</f>
        <v>53.19</v>
      </c>
      <c r="AG5" s="97">
        <f t="shared" ref="AG5:AG19" si="3">AE5-AF5</f>
        <v>13.13</v>
      </c>
      <c r="AH5" s="107">
        <f t="shared" ref="AH5:AH19" si="4">ROUND(IF((L5-Q5-AG5)&lt;0,0,(L5-Q5-AG5)),2)</f>
        <v>5424.63</v>
      </c>
      <c r="AI5" s="108"/>
      <c r="AJ5" s="107">
        <f t="shared" ref="AJ5:AJ19" si="5">AH5+AI5</f>
        <v>5424.63</v>
      </c>
      <c r="AK5" s="109"/>
      <c r="AL5" s="107">
        <f t="shared" ref="AL5:AL19" si="6">AJ5+AG5+AK5</f>
        <v>5437.76</v>
      </c>
      <c r="AM5" s="109"/>
      <c r="AN5" s="109"/>
      <c r="AO5" s="109"/>
      <c r="AP5" s="109"/>
      <c r="AQ5" s="109"/>
      <c r="AR5" s="116" t="str">
        <f t="shared" ref="AR5:AR19" si="7">IF(LEN(E5)=18,IF(RIGHT(E5,1)="X",IF(CHOOSE(MOD(SUM(LEFT(RIGHT(E5,18))*7+LEFT(RIGHT(E5,17))*9+LEFT(RIGHT(E5,16))*10+LEFT(RIGHT(E5,15))*5+LEFT(RIGHT(E5,14))*8+LEFT(RIGHT(E5,13))*4+LEFT(RIGHT(E5,12))*2+LEFT(RIGHT(E5,11))*1+LEFT(RIGHT(E5,10))*6+LEFT(RIGHT(E5,9))*3+LEFT(RIGHT(E5,8))*7+LEFT(RIGHT(E5,7))*9+LEFT(RIGHT(E5,6))*10+LEFT(RIGHT(E5,5))*5+LEFT(RIGHT(E5,4))*8+LEFT(RIGHT(E5,3))*4+LEFT(RIGHT(E5,2))*2),11)+1,1,0,"X",9,8,7,6,5,4,3,2)=LEFT(RIGHT(E5,1)),"正确","错误"),IF(CHOOSE(MOD(SUM(LEFT(RIGHT(E5,18))*7+LEFT(RIGHT(E5,17))*9+LEFT(RIGHT(E5,16))*10+LEFT(RIGHT(E5,15))*5+LEFT(RIGHT(E5,14))*8+LEFT(RIGHT(E5,13))*4+LEFT(RIGHT(E5,12))*2+LEFT(RIGHT(E5,11))*1+LEFT(RIGHT(E5,10))*6+LEFT(RIGHT(E5,9))*3+LEFT(RIGHT(E5,8))*7+LEFT(RIGHT(E5,7))*9+LEFT(RIGHT(E5,6))*10+LEFT(RIGHT(E5,5))*5+LEFT(RIGHT(E5,4))*8+LEFT(RIGHT(E5,3))*4+LEFT(RIGHT(E5,2))*2),11)+1,1,0,"X",9,8,7,6,5,4,3,2)=LEFT(RIGHT(E5,1))*1,"正确","错误")),IF(LEN(E5)=15,"老号，请注意！",IF(LEN(E5)=0,"未填写身份证号码","位数不对！")))</f>
        <v>正确</v>
      </c>
      <c r="AS5" s="116" t="str">
        <f t="shared" ref="AS5:AS19" si="8">IF(SUMPRODUCT(N(E$1:E$8=E5))&gt;1,"重复","不")</f>
        <v>不</v>
      </c>
      <c r="AT5" s="116" t="str">
        <f t="shared" ref="AT5:AT19" si="9">IF(SUMPRODUCT(N(AO$1:AO$8=AO5))&gt;1,"重复","不")</f>
        <v>重复</v>
      </c>
    </row>
    <row r="6" s="12" customFormat="1" ht="18" customHeight="1" spans="1:46">
      <c r="A6" s="36">
        <v>3</v>
      </c>
      <c r="B6" s="37" t="s">
        <v>184</v>
      </c>
      <c r="C6" s="37" t="s">
        <v>123</v>
      </c>
      <c r="D6" s="37" t="s">
        <v>120</v>
      </c>
      <c r="E6" s="352" t="s">
        <v>124</v>
      </c>
      <c r="F6" s="38" t="s">
        <v>185</v>
      </c>
      <c r="G6" s="39" t="s">
        <v>125</v>
      </c>
      <c r="H6" s="40"/>
      <c r="I6" s="40"/>
      <c r="J6" s="69"/>
      <c r="K6" s="40"/>
      <c r="L6" s="70">
        <v>30060</v>
      </c>
      <c r="M6" s="71">
        <v>590.72</v>
      </c>
      <c r="N6" s="71">
        <v>147.68</v>
      </c>
      <c r="O6" s="71">
        <v>36.92</v>
      </c>
      <c r="P6" s="71">
        <v>202</v>
      </c>
      <c r="Q6" s="89">
        <f t="shared" si="0"/>
        <v>977.32</v>
      </c>
      <c r="R6" s="70">
        <v>0</v>
      </c>
      <c r="S6" s="90">
        <f>L6+IFERROR(VLOOKUP($E:$E,'（居民）工资表-8月'!$E:$S,15,0),0)</f>
        <v>240480</v>
      </c>
      <c r="T6" s="91">
        <f>5000+IFERROR(VLOOKUP($E:$E,'（居民）工资表-8月'!$E:$T,16,0),0)</f>
        <v>40000</v>
      </c>
      <c r="U6" s="91">
        <f>Q6+IFERROR(VLOOKUP($E:$E,'（居民）工资表-8月'!$E:$U,17,0),0)</f>
        <v>7647.48</v>
      </c>
      <c r="V6" s="70"/>
      <c r="W6" s="129"/>
      <c r="X6" s="70"/>
      <c r="Y6" s="70"/>
      <c r="Z6" s="70"/>
      <c r="AA6" s="70"/>
      <c r="AB6" s="90">
        <f t="shared" si="1"/>
        <v>0</v>
      </c>
      <c r="AC6" s="90">
        <f>R6+IFERROR(VLOOKUP($E:$E,'（居民）工资表-8月'!$E:$AC,25,0),0)</f>
        <v>0</v>
      </c>
      <c r="AD6" s="95">
        <f t="shared" si="2"/>
        <v>192832.52</v>
      </c>
      <c r="AE6" s="96">
        <f>ROUND(MAX((AD6)*{0.03;0.1;0.2;0.25;0.3;0.35;0.45}-{0;2520;16920;31920;52920;85920;181920},0),2)</f>
        <v>21646.5</v>
      </c>
      <c r="AF6" s="97">
        <f>IFERROR(VLOOKUP(E:E,'（居民）工资表-8月'!E:AF,28,0)+VLOOKUP(E:E,'（居民）工资表-8月'!E:AG,29,0),0)</f>
        <v>16829.97</v>
      </c>
      <c r="AG6" s="97">
        <f t="shared" si="3"/>
        <v>4816.53</v>
      </c>
      <c r="AH6" s="107">
        <f t="shared" si="4"/>
        <v>24266.15</v>
      </c>
      <c r="AI6" s="108"/>
      <c r="AJ6" s="107">
        <f t="shared" si="5"/>
        <v>24266.15</v>
      </c>
      <c r="AK6" s="109"/>
      <c r="AL6" s="107">
        <f t="shared" si="6"/>
        <v>29082.68</v>
      </c>
      <c r="AM6" s="109"/>
      <c r="AN6" s="109"/>
      <c r="AO6" s="109"/>
      <c r="AP6" s="109"/>
      <c r="AQ6" s="109"/>
      <c r="AR6" s="116" t="str">
        <f t="shared" si="7"/>
        <v>正确</v>
      </c>
      <c r="AS6" s="116" t="str">
        <f t="shared" si="8"/>
        <v>不</v>
      </c>
      <c r="AT6" s="116" t="str">
        <f t="shared" si="9"/>
        <v>重复</v>
      </c>
    </row>
    <row r="7" s="12" customFormat="1" ht="18" customHeight="1" spans="1:46">
      <c r="A7" s="36">
        <v>4</v>
      </c>
      <c r="B7" s="37" t="s">
        <v>184</v>
      </c>
      <c r="C7" s="37" t="s">
        <v>126</v>
      </c>
      <c r="D7" s="37" t="s">
        <v>120</v>
      </c>
      <c r="E7" s="352" t="s">
        <v>127</v>
      </c>
      <c r="F7" s="38" t="s">
        <v>185</v>
      </c>
      <c r="G7" s="39" t="s">
        <v>128</v>
      </c>
      <c r="H7" s="40"/>
      <c r="I7" s="40"/>
      <c r="J7" s="69"/>
      <c r="K7" s="40"/>
      <c r="L7" s="70">
        <v>9000</v>
      </c>
      <c r="M7" s="71">
        <v>321.52</v>
      </c>
      <c r="N7" s="71">
        <v>89.09</v>
      </c>
      <c r="O7" s="71">
        <v>20.1</v>
      </c>
      <c r="P7" s="71">
        <v>97</v>
      </c>
      <c r="Q7" s="89">
        <f t="shared" si="0"/>
        <v>527.71</v>
      </c>
      <c r="R7" s="70">
        <v>0</v>
      </c>
      <c r="S7" s="90">
        <f>L7+IFERROR(VLOOKUP($E:$E,'（居民）工资表-8月'!$E:$S,15,0),0)</f>
        <v>73000</v>
      </c>
      <c r="T7" s="91">
        <f>5000+IFERROR(VLOOKUP($E:$E,'（居民）工资表-8月'!$E:$T,16,0),0)</f>
        <v>40000</v>
      </c>
      <c r="U7" s="91">
        <f>Q7+IFERROR(VLOOKUP($E:$E,'（居民）工资表-8月'!$E:$U,17,0),0)</f>
        <v>4243.97</v>
      </c>
      <c r="V7" s="70"/>
      <c r="W7" s="129"/>
      <c r="X7" s="70"/>
      <c r="Y7" s="70"/>
      <c r="Z7" s="70"/>
      <c r="AA7" s="70"/>
      <c r="AB7" s="90">
        <f t="shared" si="1"/>
        <v>0</v>
      </c>
      <c r="AC7" s="90">
        <f>R7+IFERROR(VLOOKUP($E:$E,'（居民）工资表-8月'!$E:$AC,25,0),0)</f>
        <v>0</v>
      </c>
      <c r="AD7" s="95">
        <f t="shared" si="2"/>
        <v>28756.03</v>
      </c>
      <c r="AE7" s="96">
        <f>ROUND(MAX((AD7)*{0.03;0.1;0.2;0.25;0.3;0.35;0.45}-{0;2520;16920;31920;52920;85920;181920},0),2)</f>
        <v>862.68</v>
      </c>
      <c r="AF7" s="97">
        <f>IFERROR(VLOOKUP(E:E,'（居民）工资表-8月'!E:AF,28,0)+VLOOKUP(E:E,'（居民）工资表-8月'!E:AG,29,0),0)</f>
        <v>758.51</v>
      </c>
      <c r="AG7" s="97">
        <f t="shared" si="3"/>
        <v>104.17</v>
      </c>
      <c r="AH7" s="107">
        <f t="shared" si="4"/>
        <v>8368.12</v>
      </c>
      <c r="AI7" s="108"/>
      <c r="AJ7" s="107">
        <f t="shared" si="5"/>
        <v>8368.12</v>
      </c>
      <c r="AK7" s="109"/>
      <c r="AL7" s="107">
        <f t="shared" si="6"/>
        <v>8472.29</v>
      </c>
      <c r="AM7" s="109"/>
      <c r="AN7" s="109"/>
      <c r="AO7" s="109"/>
      <c r="AP7" s="109"/>
      <c r="AQ7" s="109"/>
      <c r="AR7" s="116" t="str">
        <f t="shared" si="7"/>
        <v>正确</v>
      </c>
      <c r="AS7" s="116" t="str">
        <f t="shared" si="8"/>
        <v>不</v>
      </c>
      <c r="AT7" s="116" t="str">
        <f t="shared" si="9"/>
        <v>重复</v>
      </c>
    </row>
    <row r="8" s="12" customFormat="1" ht="18" customHeight="1" spans="1:46">
      <c r="A8" s="36">
        <v>5</v>
      </c>
      <c r="B8" s="37" t="s">
        <v>184</v>
      </c>
      <c r="C8" s="37" t="s">
        <v>129</v>
      </c>
      <c r="D8" s="37" t="s">
        <v>120</v>
      </c>
      <c r="E8" s="352" t="s">
        <v>130</v>
      </c>
      <c r="F8" s="38" t="s">
        <v>185</v>
      </c>
      <c r="G8" s="39">
        <v>19356875630</v>
      </c>
      <c r="H8" s="40"/>
      <c r="I8" s="40"/>
      <c r="J8" s="69"/>
      <c r="K8" s="40"/>
      <c r="L8" s="70">
        <v>10500</v>
      </c>
      <c r="M8" s="71">
        <v>321.52</v>
      </c>
      <c r="N8" s="71">
        <v>86.38</v>
      </c>
      <c r="O8" s="71">
        <v>20.1</v>
      </c>
      <c r="P8" s="71">
        <v>344</v>
      </c>
      <c r="Q8" s="89">
        <f t="shared" si="0"/>
        <v>772</v>
      </c>
      <c r="R8" s="70">
        <v>0</v>
      </c>
      <c r="S8" s="90">
        <f>L8+IFERROR(VLOOKUP($E:$E,'（居民）工资表-8月'!$E:$S,15,0),0)</f>
        <v>87000</v>
      </c>
      <c r="T8" s="91">
        <f>5000+IFERROR(VLOOKUP($E:$E,'（居民）工资表-8月'!$E:$T,16,0),0)</f>
        <v>40000</v>
      </c>
      <c r="U8" s="91">
        <f>Q8+IFERROR(VLOOKUP($E:$E,'（居民）工资表-8月'!$E:$U,17,0),0)</f>
        <v>6197.84</v>
      </c>
      <c r="V8" s="70"/>
      <c r="W8" s="129"/>
      <c r="X8" s="70"/>
      <c r="Y8" s="70"/>
      <c r="Z8" s="70"/>
      <c r="AA8" s="70"/>
      <c r="AB8" s="90">
        <f t="shared" si="1"/>
        <v>0</v>
      </c>
      <c r="AC8" s="90">
        <f>R8+IFERROR(VLOOKUP($E:$E,'（居民）工资表-8月'!$E:$AC,25,0),0)</f>
        <v>0</v>
      </c>
      <c r="AD8" s="95">
        <f t="shared" si="2"/>
        <v>40802.16</v>
      </c>
      <c r="AE8" s="96">
        <f>ROUND(MAX((AD8)*{0.03;0.1;0.2;0.25;0.3;0.35;0.45}-{0;2520;16920;31920;52920;85920;181920},0),2)</f>
        <v>1560.22</v>
      </c>
      <c r="AF8" s="97">
        <f>IFERROR(VLOOKUP(E:E,'（居民）工资表-8月'!E:AF,28,0)+VLOOKUP(E:E,'（居民）工资表-8月'!E:AG,29,0),0)</f>
        <v>1087.42</v>
      </c>
      <c r="AG8" s="97">
        <f t="shared" si="3"/>
        <v>472.8</v>
      </c>
      <c r="AH8" s="107">
        <f t="shared" si="4"/>
        <v>9255.2</v>
      </c>
      <c r="AI8" s="108"/>
      <c r="AJ8" s="107">
        <f t="shared" si="5"/>
        <v>9255.2</v>
      </c>
      <c r="AK8" s="109"/>
      <c r="AL8" s="107">
        <f t="shared" si="6"/>
        <v>9728</v>
      </c>
      <c r="AM8" s="109"/>
      <c r="AN8" s="109"/>
      <c r="AO8" s="109"/>
      <c r="AP8" s="109"/>
      <c r="AQ8" s="109"/>
      <c r="AR8" s="116" t="str">
        <f t="shared" si="7"/>
        <v>正确</v>
      </c>
      <c r="AS8" s="116" t="str">
        <f t="shared" si="8"/>
        <v>不</v>
      </c>
      <c r="AT8" s="116" t="str">
        <f t="shared" si="9"/>
        <v>重复</v>
      </c>
    </row>
    <row r="9" s="12" customFormat="1" ht="18" customHeight="1" spans="1:46">
      <c r="A9" s="36">
        <v>6</v>
      </c>
      <c r="B9" s="37" t="s">
        <v>184</v>
      </c>
      <c r="C9" s="37" t="s">
        <v>131</v>
      </c>
      <c r="D9" s="37" t="s">
        <v>120</v>
      </c>
      <c r="E9" s="352" t="s">
        <v>132</v>
      </c>
      <c r="F9" s="38" t="s">
        <v>185</v>
      </c>
      <c r="G9" s="39">
        <v>13973652684</v>
      </c>
      <c r="H9" s="40"/>
      <c r="I9" s="40"/>
      <c r="J9" s="69"/>
      <c r="K9" s="40"/>
      <c r="L9" s="70">
        <v>6500</v>
      </c>
      <c r="M9" s="71">
        <v>324.24</v>
      </c>
      <c r="N9" s="71">
        <v>90.4</v>
      </c>
      <c r="O9" s="71">
        <v>12.16</v>
      </c>
      <c r="P9" s="71">
        <v>100</v>
      </c>
      <c r="Q9" s="89">
        <f t="shared" si="0"/>
        <v>526.8</v>
      </c>
      <c r="R9" s="70">
        <v>0</v>
      </c>
      <c r="S9" s="90">
        <f>L9+IFERROR(VLOOKUP($E:$E,'（居民）工资表-8月'!$E:$S,15,0),0)</f>
        <v>52000</v>
      </c>
      <c r="T9" s="91">
        <f>5000+IFERROR(VLOOKUP($E:$E,'（居民）工资表-8月'!$E:$T,16,0),0)</f>
        <v>40000</v>
      </c>
      <c r="U9" s="91">
        <f>Q9+IFERROR(VLOOKUP($E:$E,'（居民）工资表-8月'!$E:$U,17,0),0)</f>
        <v>4217.38</v>
      </c>
      <c r="V9" s="70"/>
      <c r="W9" s="129"/>
      <c r="X9" s="70"/>
      <c r="Y9" s="70"/>
      <c r="Z9" s="70"/>
      <c r="AA9" s="70"/>
      <c r="AB9" s="90">
        <f t="shared" si="1"/>
        <v>0</v>
      </c>
      <c r="AC9" s="90">
        <f>R9+IFERROR(VLOOKUP($E:$E,'（居民）工资表-8月'!$E:$AC,25,0),0)</f>
        <v>0</v>
      </c>
      <c r="AD9" s="95">
        <f t="shared" si="2"/>
        <v>7782.62</v>
      </c>
      <c r="AE9" s="96">
        <f>ROUND(MAX((AD9)*{0.03;0.1;0.2;0.25;0.3;0.35;0.45}-{0;2520;16920;31920;52920;85920;181920},0),2)</f>
        <v>233.48</v>
      </c>
      <c r="AF9" s="97">
        <f>IFERROR(VLOOKUP(E:E,'（居民）工资表-8月'!E:AF,28,0)+VLOOKUP(E:E,'（居民）工资表-8月'!E:AG,29,0),0)</f>
        <v>204.28</v>
      </c>
      <c r="AG9" s="97">
        <f t="shared" si="3"/>
        <v>29.2</v>
      </c>
      <c r="AH9" s="107">
        <f t="shared" si="4"/>
        <v>5944</v>
      </c>
      <c r="AI9" s="108"/>
      <c r="AJ9" s="107">
        <f t="shared" si="5"/>
        <v>5944</v>
      </c>
      <c r="AK9" s="109"/>
      <c r="AL9" s="107">
        <f t="shared" si="6"/>
        <v>5973.2</v>
      </c>
      <c r="AM9" s="109"/>
      <c r="AN9" s="109"/>
      <c r="AO9" s="109"/>
      <c r="AP9" s="109"/>
      <c r="AQ9" s="109"/>
      <c r="AR9" s="116" t="str">
        <f t="shared" si="7"/>
        <v>正确</v>
      </c>
      <c r="AS9" s="116" t="str">
        <f t="shared" si="8"/>
        <v>不</v>
      </c>
      <c r="AT9" s="116" t="str">
        <f t="shared" si="9"/>
        <v>重复</v>
      </c>
    </row>
    <row r="10" s="12" customFormat="1" ht="18" customHeight="1" spans="1:46">
      <c r="A10" s="36">
        <v>7</v>
      </c>
      <c r="B10" s="37" t="s">
        <v>184</v>
      </c>
      <c r="C10" s="37" t="s">
        <v>192</v>
      </c>
      <c r="D10" s="37" t="s">
        <v>120</v>
      </c>
      <c r="E10" s="352" t="s">
        <v>193</v>
      </c>
      <c r="F10" s="38" t="s">
        <v>187</v>
      </c>
      <c r="G10" s="39" t="s">
        <v>194</v>
      </c>
      <c r="H10" s="40"/>
      <c r="I10" s="40"/>
      <c r="J10" s="69"/>
      <c r="K10" s="40"/>
      <c r="L10" s="70">
        <v>4447.97</v>
      </c>
      <c r="M10" s="71">
        <v>401.04</v>
      </c>
      <c r="N10" s="71">
        <v>122.26</v>
      </c>
      <c r="O10" s="71">
        <v>25.07</v>
      </c>
      <c r="P10" s="71">
        <v>116</v>
      </c>
      <c r="Q10" s="89">
        <f t="shared" si="0"/>
        <v>664.37</v>
      </c>
      <c r="R10" s="70">
        <v>0</v>
      </c>
      <c r="S10" s="90">
        <f>L10+IFERROR(VLOOKUP($E:$E,'（居民）工资表-8月'!$E:$S,15,0),0)</f>
        <v>35941.04</v>
      </c>
      <c r="T10" s="91">
        <f>5000+IFERROR(VLOOKUP($E:$E,'（居民）工资表-8月'!$E:$T,16,0),0)</f>
        <v>40000</v>
      </c>
      <c r="U10" s="91">
        <f>Q10+IFERROR(VLOOKUP($E:$E,'（居民）工资表-8月'!$E:$U,17,0),0)</f>
        <v>5149.41</v>
      </c>
      <c r="V10" s="70"/>
      <c r="W10" s="129"/>
      <c r="X10" s="70"/>
      <c r="Y10" s="70"/>
      <c r="Z10" s="70"/>
      <c r="AA10" s="70"/>
      <c r="AB10" s="90">
        <f t="shared" si="1"/>
        <v>0</v>
      </c>
      <c r="AC10" s="90">
        <f>R10+IFERROR(VLOOKUP($E:$E,'（居民）工资表-8月'!$E:$AC,25,0),0)</f>
        <v>0</v>
      </c>
      <c r="AD10" s="95">
        <f t="shared" si="2"/>
        <v>-9208.37</v>
      </c>
      <c r="AE10" s="96">
        <f>ROUND(MAX((AD10)*{0.03;0.1;0.2;0.25;0.3;0.35;0.45}-{0;2520;16920;31920;52920;85920;181920},0),2)</f>
        <v>0</v>
      </c>
      <c r="AF10" s="97">
        <f>IFERROR(VLOOKUP(E:E,'（居民）工资表-8月'!E:AF,28,0)+VLOOKUP(E:E,'（居民）工资表-8月'!E:AG,29,0),0)</f>
        <v>0</v>
      </c>
      <c r="AG10" s="97">
        <f t="shared" si="3"/>
        <v>0</v>
      </c>
      <c r="AH10" s="107">
        <f t="shared" si="4"/>
        <v>3783.6</v>
      </c>
      <c r="AI10" s="108"/>
      <c r="AJ10" s="107">
        <f t="shared" si="5"/>
        <v>3783.6</v>
      </c>
      <c r="AK10" s="109"/>
      <c r="AL10" s="107">
        <f t="shared" si="6"/>
        <v>3783.6</v>
      </c>
      <c r="AM10" s="109"/>
      <c r="AN10" s="109"/>
      <c r="AO10" s="109"/>
      <c r="AP10" s="109"/>
      <c r="AQ10" s="109"/>
      <c r="AR10" s="116" t="str">
        <f t="shared" si="7"/>
        <v>正确</v>
      </c>
      <c r="AS10" s="116" t="str">
        <f t="shared" si="8"/>
        <v>不</v>
      </c>
      <c r="AT10" s="116" t="str">
        <f t="shared" si="9"/>
        <v>重复</v>
      </c>
    </row>
    <row r="11" s="12" customFormat="1" ht="18" customHeight="1" spans="1:46">
      <c r="A11" s="36">
        <v>8</v>
      </c>
      <c r="B11" s="37" t="s">
        <v>184</v>
      </c>
      <c r="C11" s="37" t="s">
        <v>133</v>
      </c>
      <c r="D11" s="37" t="s">
        <v>120</v>
      </c>
      <c r="E11" s="352" t="s">
        <v>134</v>
      </c>
      <c r="F11" s="38" t="s">
        <v>185</v>
      </c>
      <c r="G11" s="39">
        <v>18356553626</v>
      </c>
      <c r="H11" s="40"/>
      <c r="I11" s="40"/>
      <c r="J11" s="69"/>
      <c r="K11" s="40"/>
      <c r="L11" s="70">
        <v>9000</v>
      </c>
      <c r="M11" s="71">
        <v>321.52</v>
      </c>
      <c r="N11" s="71">
        <v>120.38</v>
      </c>
      <c r="O11" s="71">
        <v>20.1</v>
      </c>
      <c r="P11" s="71">
        <v>97</v>
      </c>
      <c r="Q11" s="89">
        <f t="shared" si="0"/>
        <v>559</v>
      </c>
      <c r="R11" s="70">
        <v>0</v>
      </c>
      <c r="S11" s="90">
        <f>L11+IFERROR(VLOOKUP($E:$E,'（居民）工资表-8月'!$E:$S,15,0),0)</f>
        <v>70500</v>
      </c>
      <c r="T11" s="91">
        <f>5000+IFERROR(VLOOKUP($E:$E,'（居民）工资表-8月'!$E:$T,16,0),0)</f>
        <v>40000</v>
      </c>
      <c r="U11" s="91">
        <f>Q11+IFERROR(VLOOKUP($E:$E,'（居民）工资表-8月'!$E:$U,17,0),0)</f>
        <v>4493.84</v>
      </c>
      <c r="V11" s="70"/>
      <c r="W11" s="129"/>
      <c r="X11" s="70"/>
      <c r="Y11" s="70"/>
      <c r="Z11" s="70"/>
      <c r="AA11" s="70"/>
      <c r="AB11" s="90">
        <f t="shared" si="1"/>
        <v>0</v>
      </c>
      <c r="AC11" s="90">
        <f>R11+IFERROR(VLOOKUP($E:$E,'（居民）工资表-8月'!$E:$AC,25,0),0)</f>
        <v>0</v>
      </c>
      <c r="AD11" s="95">
        <f t="shared" si="2"/>
        <v>26006.16</v>
      </c>
      <c r="AE11" s="96">
        <f>ROUND(MAX((AD11)*{0.03;0.1;0.2;0.25;0.3;0.35;0.45}-{0;2520;16920;31920;52920;85920;181920},0),2)</f>
        <v>780.18</v>
      </c>
      <c r="AF11" s="97">
        <f>IFERROR(VLOOKUP(E:E,'（居民）工资表-8月'!E:AF,28,0)+VLOOKUP(E:E,'（居民）工资表-8月'!E:AG,29,0),0)</f>
        <v>676.95</v>
      </c>
      <c r="AG11" s="97">
        <f t="shared" si="3"/>
        <v>103.23</v>
      </c>
      <c r="AH11" s="107">
        <f t="shared" si="4"/>
        <v>8337.77</v>
      </c>
      <c r="AI11" s="108"/>
      <c r="AJ11" s="107">
        <f t="shared" si="5"/>
        <v>8337.77</v>
      </c>
      <c r="AK11" s="109"/>
      <c r="AL11" s="107">
        <f t="shared" si="6"/>
        <v>8441</v>
      </c>
      <c r="AM11" s="109"/>
      <c r="AN11" s="109"/>
      <c r="AO11" s="109"/>
      <c r="AP11" s="109"/>
      <c r="AQ11" s="109"/>
      <c r="AR11" s="116" t="str">
        <f t="shared" si="7"/>
        <v>正确</v>
      </c>
      <c r="AS11" s="116" t="str">
        <f t="shared" si="8"/>
        <v>不</v>
      </c>
      <c r="AT11" s="116" t="str">
        <f t="shared" si="9"/>
        <v>重复</v>
      </c>
    </row>
    <row r="12" s="12" customFormat="1" ht="18" customHeight="1" spans="1:46">
      <c r="A12" s="36">
        <v>9</v>
      </c>
      <c r="B12" s="37" t="s">
        <v>184</v>
      </c>
      <c r="C12" s="37" t="s">
        <v>135</v>
      </c>
      <c r="D12" s="37" t="s">
        <v>120</v>
      </c>
      <c r="E12" s="352" t="s">
        <v>136</v>
      </c>
      <c r="F12" s="38" t="s">
        <v>185</v>
      </c>
      <c r="G12" s="39">
        <v>18326897140</v>
      </c>
      <c r="H12" s="40"/>
      <c r="I12" s="40"/>
      <c r="J12" s="69"/>
      <c r="K12" s="40"/>
      <c r="L12" s="70">
        <v>7500</v>
      </c>
      <c r="M12" s="71">
        <v>321.52</v>
      </c>
      <c r="N12" s="71">
        <v>86.38</v>
      </c>
      <c r="O12" s="71">
        <v>20.1</v>
      </c>
      <c r="P12" s="71">
        <v>344</v>
      </c>
      <c r="Q12" s="89">
        <f t="shared" si="0"/>
        <v>772</v>
      </c>
      <c r="R12" s="70">
        <v>0</v>
      </c>
      <c r="S12" s="90">
        <f>L12+IFERROR(VLOOKUP($E:$E,'（居民）工资表-8月'!$E:$S,15,0),0)</f>
        <v>58500</v>
      </c>
      <c r="T12" s="91">
        <f>5000+IFERROR(VLOOKUP($E:$E,'（居民）工资表-8月'!$E:$T,16,0),0)</f>
        <v>40000</v>
      </c>
      <c r="U12" s="91">
        <f>Q12+IFERROR(VLOOKUP($E:$E,'（居民）工资表-8月'!$E:$U,17,0),0)</f>
        <v>6197.84</v>
      </c>
      <c r="V12" s="70"/>
      <c r="W12" s="129"/>
      <c r="X12" s="70"/>
      <c r="Y12" s="70"/>
      <c r="Z12" s="70"/>
      <c r="AA12" s="70"/>
      <c r="AB12" s="90">
        <f t="shared" si="1"/>
        <v>0</v>
      </c>
      <c r="AC12" s="90">
        <f>R12+IFERROR(VLOOKUP($E:$E,'（居民）工资表-8月'!$E:$AC,25,0),0)</f>
        <v>0</v>
      </c>
      <c r="AD12" s="95">
        <f t="shared" si="2"/>
        <v>12302.16</v>
      </c>
      <c r="AE12" s="96">
        <f>ROUND(MAX((AD12)*{0.03;0.1;0.2;0.25;0.3;0.35;0.45}-{0;2520;16920;31920;52920;85920;181920},0),2)</f>
        <v>369.06</v>
      </c>
      <c r="AF12" s="97">
        <f>IFERROR(VLOOKUP(E:E,'（居民）工资表-8月'!E:AF,28,0)+VLOOKUP(E:E,'（居民）工资表-8月'!E:AG,29,0),0)</f>
        <v>317.22</v>
      </c>
      <c r="AG12" s="97">
        <f t="shared" si="3"/>
        <v>51.84</v>
      </c>
      <c r="AH12" s="107">
        <f t="shared" si="4"/>
        <v>6676.16</v>
      </c>
      <c r="AI12" s="108"/>
      <c r="AJ12" s="107">
        <f t="shared" si="5"/>
        <v>6676.16</v>
      </c>
      <c r="AK12" s="109"/>
      <c r="AL12" s="107">
        <f t="shared" si="6"/>
        <v>6728</v>
      </c>
      <c r="AM12" s="109"/>
      <c r="AN12" s="109"/>
      <c r="AO12" s="109"/>
      <c r="AP12" s="109"/>
      <c r="AQ12" s="109"/>
      <c r="AR12" s="116" t="str">
        <f t="shared" si="7"/>
        <v>正确</v>
      </c>
      <c r="AS12" s="116" t="str">
        <f t="shared" si="8"/>
        <v>不</v>
      </c>
      <c r="AT12" s="116" t="str">
        <f t="shared" si="9"/>
        <v>重复</v>
      </c>
    </row>
    <row r="13" s="12" customFormat="1" ht="18" customHeight="1" spans="1:46">
      <c r="A13" s="36">
        <v>10</v>
      </c>
      <c r="B13" s="37" t="s">
        <v>184</v>
      </c>
      <c r="C13" s="37" t="s">
        <v>137</v>
      </c>
      <c r="D13" s="37" t="s">
        <v>120</v>
      </c>
      <c r="E13" s="352" t="s">
        <v>138</v>
      </c>
      <c r="F13" s="38" t="s">
        <v>185</v>
      </c>
      <c r="G13" s="39">
        <v>17201857014</v>
      </c>
      <c r="H13" s="40"/>
      <c r="I13" s="40"/>
      <c r="J13" s="69"/>
      <c r="K13" s="40"/>
      <c r="L13" s="70">
        <v>8000</v>
      </c>
      <c r="M13" s="71">
        <v>321.52</v>
      </c>
      <c r="N13" s="71">
        <v>86.38</v>
      </c>
      <c r="O13" s="71">
        <v>20.1</v>
      </c>
      <c r="P13" s="71">
        <v>344</v>
      </c>
      <c r="Q13" s="89">
        <f t="shared" si="0"/>
        <v>772</v>
      </c>
      <c r="R13" s="70">
        <v>0</v>
      </c>
      <c r="S13" s="90">
        <f>L13+IFERROR(VLOOKUP($E:$E,'（居民）工资表-8月'!$E:$S,15,0),0)</f>
        <v>61000</v>
      </c>
      <c r="T13" s="91">
        <f>5000+IFERROR(VLOOKUP($E:$E,'（居民）工资表-8月'!$E:$T,16,0),0)</f>
        <v>40000</v>
      </c>
      <c r="U13" s="91">
        <f>Q13+IFERROR(VLOOKUP($E:$E,'（居民）工资表-8月'!$E:$U,17,0),0)</f>
        <v>6197.84</v>
      </c>
      <c r="V13" s="70"/>
      <c r="W13" s="129"/>
      <c r="X13" s="70"/>
      <c r="Y13" s="70"/>
      <c r="Z13" s="70"/>
      <c r="AA13" s="70"/>
      <c r="AB13" s="90">
        <f t="shared" si="1"/>
        <v>0</v>
      </c>
      <c r="AC13" s="90">
        <f>R13+IFERROR(VLOOKUP($E:$E,'（居民）工资表-8月'!$E:$AC,25,0),0)</f>
        <v>0</v>
      </c>
      <c r="AD13" s="95">
        <f t="shared" si="2"/>
        <v>14802.16</v>
      </c>
      <c r="AE13" s="96">
        <f>ROUND(MAX((AD13)*{0.03;0.1;0.2;0.25;0.3;0.35;0.45}-{0;2520;16920;31920;52920;85920;181920},0),2)</f>
        <v>444.06</v>
      </c>
      <c r="AF13" s="97">
        <f>IFERROR(VLOOKUP(E:E,'（居民）工资表-8月'!E:AF,28,0)+VLOOKUP(E:E,'（居民）工资表-8月'!E:AG,29,0),0)</f>
        <v>377.22</v>
      </c>
      <c r="AG13" s="97">
        <f t="shared" si="3"/>
        <v>66.84</v>
      </c>
      <c r="AH13" s="107">
        <f t="shared" si="4"/>
        <v>7161.16</v>
      </c>
      <c r="AI13" s="108"/>
      <c r="AJ13" s="107">
        <f t="shared" si="5"/>
        <v>7161.16</v>
      </c>
      <c r="AK13" s="109"/>
      <c r="AL13" s="107">
        <f t="shared" si="6"/>
        <v>7228</v>
      </c>
      <c r="AM13" s="109"/>
      <c r="AN13" s="109"/>
      <c r="AO13" s="109"/>
      <c r="AP13" s="109"/>
      <c r="AQ13" s="109"/>
      <c r="AR13" s="116" t="str">
        <f t="shared" si="7"/>
        <v>正确</v>
      </c>
      <c r="AS13" s="116" t="str">
        <f t="shared" si="8"/>
        <v>不</v>
      </c>
      <c r="AT13" s="116" t="str">
        <f t="shared" si="9"/>
        <v>重复</v>
      </c>
    </row>
    <row r="14" s="12" customFormat="1" ht="18" customHeight="1" spans="1:46">
      <c r="A14" s="36">
        <v>13</v>
      </c>
      <c r="B14" s="37" t="s">
        <v>184</v>
      </c>
      <c r="C14" s="37" t="s">
        <v>139</v>
      </c>
      <c r="D14" s="37" t="s">
        <v>120</v>
      </c>
      <c r="E14" s="352" t="s">
        <v>140</v>
      </c>
      <c r="F14" s="38" t="s">
        <v>187</v>
      </c>
      <c r="G14" s="39"/>
      <c r="H14" s="40"/>
      <c r="I14" s="40"/>
      <c r="J14" s="69"/>
      <c r="K14" s="40"/>
      <c r="L14" s="70">
        <v>6000</v>
      </c>
      <c r="M14" s="71">
        <v>321.52</v>
      </c>
      <c r="N14" s="71">
        <v>80.38</v>
      </c>
      <c r="O14" s="71">
        <v>20.1</v>
      </c>
      <c r="P14" s="71">
        <v>103</v>
      </c>
      <c r="Q14" s="89">
        <f t="shared" si="0"/>
        <v>525</v>
      </c>
      <c r="R14" s="70">
        <v>0</v>
      </c>
      <c r="S14" s="90">
        <f>L14+IFERROR(VLOOKUP($E:$E,'（居民）工资表-8月'!$E:$S,15,0),0)</f>
        <v>48000</v>
      </c>
      <c r="T14" s="91">
        <f>5000+IFERROR(VLOOKUP($E:$E,'（居民）工资表-8月'!$E:$T,16,0),0)</f>
        <v>40000</v>
      </c>
      <c r="U14" s="91">
        <f>Q14+IFERROR(VLOOKUP($E:$E,'（居民）工资表-8月'!$E:$U,17,0),0)</f>
        <v>4221.84</v>
      </c>
      <c r="V14" s="70"/>
      <c r="W14" s="129"/>
      <c r="X14" s="70"/>
      <c r="Y14" s="70"/>
      <c r="Z14" s="70"/>
      <c r="AA14" s="70"/>
      <c r="AB14" s="90">
        <f t="shared" si="1"/>
        <v>0</v>
      </c>
      <c r="AC14" s="90">
        <f>R14+IFERROR(VLOOKUP($E:$E,'（居民）工资表-8月'!$E:$AC,25,0),0)</f>
        <v>0</v>
      </c>
      <c r="AD14" s="95">
        <f t="shared" si="2"/>
        <v>3778.16</v>
      </c>
      <c r="AE14" s="96">
        <f>ROUND(MAX((AD14)*{0.03;0.1;0.2;0.25;0.3;0.35;0.45}-{0;2520;16920;31920;52920;85920;181920},0),2)</f>
        <v>113.34</v>
      </c>
      <c r="AF14" s="97">
        <f>IFERROR(VLOOKUP(E:E,'（居民）工资表-8月'!E:AF,28,0)+VLOOKUP(E:E,'（居民）工资表-8月'!E:AG,29,0),0)</f>
        <v>99.09</v>
      </c>
      <c r="AG14" s="97">
        <f t="shared" si="3"/>
        <v>14.25</v>
      </c>
      <c r="AH14" s="107">
        <f t="shared" si="4"/>
        <v>5460.75</v>
      </c>
      <c r="AI14" s="108"/>
      <c r="AJ14" s="107">
        <f t="shared" si="5"/>
        <v>5460.75</v>
      </c>
      <c r="AK14" s="109"/>
      <c r="AL14" s="107">
        <f t="shared" si="6"/>
        <v>5475</v>
      </c>
      <c r="AM14" s="109"/>
      <c r="AN14" s="109"/>
      <c r="AO14" s="109"/>
      <c r="AP14" s="109"/>
      <c r="AQ14" s="109"/>
      <c r="AR14" s="116" t="str">
        <f t="shared" si="7"/>
        <v>正确</v>
      </c>
      <c r="AS14" s="116" t="str">
        <f>IF(SUMPRODUCT(N(E$1:E$8=E14))&gt;1,"重复","不")</f>
        <v>不</v>
      </c>
      <c r="AT14" s="116" t="str">
        <f>IF(SUMPRODUCT(N(AO$1:AO$8=AO14))&gt;1,"重复","不")</f>
        <v>重复</v>
      </c>
    </row>
    <row r="15" s="12" customFormat="1" ht="18" customHeight="1" spans="1:46">
      <c r="A15" s="36">
        <v>14</v>
      </c>
      <c r="B15" s="37" t="s">
        <v>184</v>
      </c>
      <c r="C15" s="37" t="s">
        <v>141</v>
      </c>
      <c r="D15" s="37" t="s">
        <v>120</v>
      </c>
      <c r="E15" s="352" t="s">
        <v>142</v>
      </c>
      <c r="F15" s="38" t="s">
        <v>185</v>
      </c>
      <c r="G15" s="39">
        <v>15056587375</v>
      </c>
      <c r="H15" s="40"/>
      <c r="I15" s="40"/>
      <c r="J15" s="69"/>
      <c r="K15" s="40"/>
      <c r="L15" s="70">
        <v>10000</v>
      </c>
      <c r="M15" s="71">
        <v>321.52</v>
      </c>
      <c r="N15" s="71">
        <v>89.09</v>
      </c>
      <c r="O15" s="71">
        <v>20.1</v>
      </c>
      <c r="P15" s="71">
        <v>97</v>
      </c>
      <c r="Q15" s="89">
        <f t="shared" si="0"/>
        <v>527.71</v>
      </c>
      <c r="R15" s="70">
        <v>0</v>
      </c>
      <c r="S15" s="90">
        <f>L15+IFERROR(VLOOKUP($E:$E,'（居民）工资表-8月'!$E:$S,15,0),0)</f>
        <v>79904.76</v>
      </c>
      <c r="T15" s="91">
        <f>5000+IFERROR(VLOOKUP($E:$E,'（居民）工资表-8月'!$E:$T,16,0),0)</f>
        <v>40000</v>
      </c>
      <c r="U15" s="91">
        <f>Q15+IFERROR(VLOOKUP($E:$E,'（居民）工资表-8月'!$E:$U,17,0),0)</f>
        <v>4243.97</v>
      </c>
      <c r="V15" s="70"/>
      <c r="W15" s="129"/>
      <c r="X15" s="70"/>
      <c r="Y15" s="70"/>
      <c r="Z15" s="70"/>
      <c r="AA15" s="70"/>
      <c r="AB15" s="90">
        <f t="shared" si="1"/>
        <v>0</v>
      </c>
      <c r="AC15" s="90">
        <f>R15+IFERROR(VLOOKUP($E:$E,'（居民）工资表-8月'!$E:$AC,25,0),0)</f>
        <v>0</v>
      </c>
      <c r="AD15" s="95">
        <f t="shared" si="2"/>
        <v>35660.79</v>
      </c>
      <c r="AE15" s="96">
        <f>ROUND(MAX((AD15)*{0.03;0.1;0.2;0.25;0.3;0.35;0.45}-{0;2520;16920;31920;52920;85920;181920},0),2)</f>
        <v>1069.82</v>
      </c>
      <c r="AF15" s="97">
        <f>IFERROR(VLOOKUP(E:E,'（居民）工资表-8月'!E:AF,28,0)+VLOOKUP(E:E,'（居民）工资表-8月'!E:AG,29,0),0)</f>
        <v>935.66</v>
      </c>
      <c r="AG15" s="97">
        <f t="shared" si="3"/>
        <v>134.16</v>
      </c>
      <c r="AH15" s="107">
        <f t="shared" si="4"/>
        <v>9338.13</v>
      </c>
      <c r="AI15" s="108"/>
      <c r="AJ15" s="107">
        <f t="shared" si="5"/>
        <v>9338.13</v>
      </c>
      <c r="AK15" s="109"/>
      <c r="AL15" s="107">
        <f t="shared" si="6"/>
        <v>9472.29</v>
      </c>
      <c r="AM15" s="109"/>
      <c r="AN15" s="109"/>
      <c r="AO15" s="109"/>
      <c r="AP15" s="109"/>
      <c r="AQ15" s="109"/>
      <c r="AR15" s="116" t="str">
        <f t="shared" si="7"/>
        <v>正确</v>
      </c>
      <c r="AS15" s="116" t="str">
        <f>IF(SUMPRODUCT(N(E$1:E$8=E15))&gt;1,"重复","不")</f>
        <v>不</v>
      </c>
      <c r="AT15" s="116" t="str">
        <f>IF(SUMPRODUCT(N(AO$1:AO$8=AO15))&gt;1,"重复","不")</f>
        <v>重复</v>
      </c>
    </row>
    <row r="16" s="12" customFormat="1" ht="18" customHeight="1" spans="1:46">
      <c r="A16" s="36">
        <v>15</v>
      </c>
      <c r="B16" s="37" t="s">
        <v>184</v>
      </c>
      <c r="C16" s="37" t="s">
        <v>204</v>
      </c>
      <c r="D16" s="37" t="s">
        <v>120</v>
      </c>
      <c r="E16" s="37" t="s">
        <v>205</v>
      </c>
      <c r="F16" s="38" t="s">
        <v>185</v>
      </c>
      <c r="G16" s="39">
        <v>13711361074</v>
      </c>
      <c r="H16" s="40"/>
      <c r="I16" s="40"/>
      <c r="J16" s="69"/>
      <c r="K16" s="40"/>
      <c r="L16" s="70">
        <v>7600</v>
      </c>
      <c r="M16" s="71">
        <v>337.92</v>
      </c>
      <c r="N16" s="71">
        <v>91.48</v>
      </c>
      <c r="O16" s="71">
        <v>12.67</v>
      </c>
      <c r="P16" s="71">
        <v>110.5</v>
      </c>
      <c r="Q16" s="89">
        <f t="shared" si="0"/>
        <v>552.57</v>
      </c>
      <c r="R16" s="70">
        <v>0</v>
      </c>
      <c r="S16" s="90">
        <f>L16+IFERROR(VLOOKUP($E:$E,'（居民）工资表-7月'!$E:$S,15,0),0)</f>
        <v>28350.3</v>
      </c>
      <c r="T16" s="91">
        <f>5000+IFERROR(VLOOKUP($E:$E,'（居民）工资表-7月'!$E:$T,16,0),0)</f>
        <v>25000</v>
      </c>
      <c r="U16" s="91">
        <f>Q16+IFERROR(VLOOKUP($E:$E,'（居民）工资表-7月'!$E:$U,17,0),0)</f>
        <v>3315.42</v>
      </c>
      <c r="V16" s="70"/>
      <c r="W16" s="70"/>
      <c r="X16" s="70"/>
      <c r="Y16" s="70"/>
      <c r="Z16" s="70"/>
      <c r="AA16" s="70"/>
      <c r="AB16" s="90">
        <f t="shared" si="1"/>
        <v>0</v>
      </c>
      <c r="AC16" s="90">
        <f>R16+IFERROR(VLOOKUP($E:$E,'（居民）工资表-7月'!$E:$AC,25,0),0)</f>
        <v>0</v>
      </c>
      <c r="AD16" s="95">
        <f t="shared" si="2"/>
        <v>34.88</v>
      </c>
      <c r="AE16" s="96">
        <f>ROUND(MAX((AD16)*{0.03;0.1;0.2;0.25;0.3;0.35;0.45}-{0;2520;16920;31920;52920;85920;181920},0),2)</f>
        <v>1.05</v>
      </c>
      <c r="AF16" s="97">
        <f>IFERROR(VLOOKUP(E:E,'（居民）工资表-7月'!E:AF,28,0)+VLOOKUP(E:E,'（居民）工资表-7月'!E:AG,29,0),0)</f>
        <v>0</v>
      </c>
      <c r="AG16" s="97">
        <f>IF((AE16-AF16)&lt;0,0,AE16-AF16)</f>
        <v>1.05</v>
      </c>
      <c r="AH16" s="107">
        <f t="shared" si="4"/>
        <v>7046.38</v>
      </c>
      <c r="AI16" s="108"/>
      <c r="AJ16" s="107">
        <f t="shared" si="5"/>
        <v>7046.38</v>
      </c>
      <c r="AK16" s="109"/>
      <c r="AL16" s="107">
        <f t="shared" si="6"/>
        <v>7047.43</v>
      </c>
      <c r="AM16" s="109"/>
      <c r="AN16" s="109"/>
      <c r="AO16" s="109"/>
      <c r="AP16" s="109"/>
      <c r="AQ16" s="109"/>
      <c r="AR16" s="116" t="str">
        <f t="shared" si="7"/>
        <v>正确</v>
      </c>
      <c r="AS16" s="116" t="str">
        <f>IF(SUMPRODUCT(N(E$1:E$18=E16))&gt;1,"重复","不")</f>
        <v>不</v>
      </c>
      <c r="AT16" s="116" t="str">
        <f>IF(SUMPRODUCT(N(AO$1:AO$18=AO16))&gt;1,"重复","不")</f>
        <v>重复</v>
      </c>
    </row>
    <row r="17" s="12" customFormat="1" ht="19" customHeight="1" spans="1:46">
      <c r="A17" s="36"/>
      <c r="B17" s="37"/>
      <c r="C17" s="37"/>
      <c r="D17" s="37"/>
      <c r="E17" s="37"/>
      <c r="F17" s="38"/>
      <c r="G17" s="39"/>
      <c r="H17" s="40"/>
      <c r="I17" s="40"/>
      <c r="J17" s="69"/>
      <c r="K17" s="40"/>
      <c r="L17" s="70"/>
      <c r="M17" s="71"/>
      <c r="N17" s="71"/>
      <c r="O17" s="71"/>
      <c r="P17" s="71"/>
      <c r="Q17" s="89"/>
      <c r="R17" s="70"/>
      <c r="S17" s="90"/>
      <c r="T17" s="91"/>
      <c r="U17" s="91"/>
      <c r="V17" s="70"/>
      <c r="W17" s="70"/>
      <c r="X17" s="70"/>
      <c r="Y17" s="70"/>
      <c r="Z17" s="70"/>
      <c r="AA17" s="70"/>
      <c r="AB17" s="90"/>
      <c r="AC17" s="90"/>
      <c r="AD17" s="95"/>
      <c r="AE17" s="96"/>
      <c r="AF17" s="97"/>
      <c r="AG17" s="97"/>
      <c r="AH17" s="107"/>
      <c r="AI17" s="108"/>
      <c r="AJ17" s="107"/>
      <c r="AK17" s="109"/>
      <c r="AL17" s="107"/>
      <c r="AM17" s="109"/>
      <c r="AN17" s="109"/>
      <c r="AO17" s="109"/>
      <c r="AP17" s="109"/>
      <c r="AQ17" s="109"/>
      <c r="AR17" s="116"/>
      <c r="AS17" s="116"/>
      <c r="AT17" s="116"/>
    </row>
    <row r="18" s="13" customFormat="1" ht="19" customHeight="1" spans="1:46">
      <c r="A18" s="41"/>
      <c r="B18" s="42" t="s">
        <v>143</v>
      </c>
      <c r="C18" s="42"/>
      <c r="D18" s="43"/>
      <c r="E18" s="44"/>
      <c r="F18" s="45"/>
      <c r="G18" s="46"/>
      <c r="H18" s="45"/>
      <c r="I18" s="72"/>
      <c r="J18" s="73"/>
      <c r="K18" s="72"/>
      <c r="L18" s="74">
        <f>SUM(L4:L17)</f>
        <v>122707.97</v>
      </c>
      <c r="M18" s="74">
        <f>SUM(M4:M17)</f>
        <v>4671.85</v>
      </c>
      <c r="N18" s="74">
        <f>SUM(N4:N17)</f>
        <v>1295.96</v>
      </c>
      <c r="O18" s="74">
        <f t="shared" ref="O18:AL18" si="10">SUM(O4:O17)</f>
        <v>245.04</v>
      </c>
      <c r="P18" s="74">
        <f t="shared" si="10"/>
        <v>2246.9</v>
      </c>
      <c r="Q18" s="74">
        <f t="shared" si="10"/>
        <v>8459.75</v>
      </c>
      <c r="R18" s="74">
        <f t="shared" si="10"/>
        <v>0</v>
      </c>
      <c r="S18" s="74">
        <f t="shared" si="10"/>
        <v>946336.1</v>
      </c>
      <c r="T18" s="74">
        <f t="shared" si="10"/>
        <v>505000</v>
      </c>
      <c r="U18" s="74">
        <f t="shared" si="10"/>
        <v>66402.24</v>
      </c>
      <c r="V18" s="74">
        <f t="shared" si="10"/>
        <v>0</v>
      </c>
      <c r="W18" s="74">
        <f t="shared" si="10"/>
        <v>0</v>
      </c>
      <c r="X18" s="74">
        <f t="shared" si="10"/>
        <v>0</v>
      </c>
      <c r="Y18" s="74">
        <f t="shared" si="10"/>
        <v>0</v>
      </c>
      <c r="Z18" s="74">
        <f t="shared" si="10"/>
        <v>0</v>
      </c>
      <c r="AA18" s="74">
        <f t="shared" si="10"/>
        <v>0</v>
      </c>
      <c r="AB18" s="74">
        <f t="shared" si="10"/>
        <v>0</v>
      </c>
      <c r="AC18" s="74">
        <f t="shared" si="10"/>
        <v>0</v>
      </c>
      <c r="AD18" s="74">
        <f t="shared" si="10"/>
        <v>374933.86</v>
      </c>
      <c r="AE18" s="74">
        <f t="shared" si="10"/>
        <v>27721.93</v>
      </c>
      <c r="AF18" s="74">
        <f t="shared" si="10"/>
        <v>21843.36</v>
      </c>
      <c r="AG18" s="74">
        <f t="shared" si="10"/>
        <v>5878.57</v>
      </c>
      <c r="AH18" s="74">
        <f t="shared" si="10"/>
        <v>108369.65</v>
      </c>
      <c r="AI18" s="74">
        <f t="shared" si="10"/>
        <v>0</v>
      </c>
      <c r="AJ18" s="74">
        <f t="shared" si="10"/>
        <v>108369.65</v>
      </c>
      <c r="AK18" s="74">
        <f t="shared" si="10"/>
        <v>0</v>
      </c>
      <c r="AL18" s="74">
        <f t="shared" si="10"/>
        <v>114248.22</v>
      </c>
      <c r="AM18" s="110"/>
      <c r="AN18" s="110"/>
      <c r="AO18" s="110"/>
      <c r="AP18" s="110"/>
      <c r="AQ18" s="110"/>
      <c r="AR18" s="45"/>
      <c r="AS18" s="45"/>
      <c r="AT18" s="118"/>
    </row>
    <row r="19" ht="19" customHeight="1"/>
    <row r="20" ht="19" customHeight="1"/>
    <row r="21" ht="19" customHeight="1" spans="30:30">
      <c r="AD21" s="101"/>
    </row>
    <row r="22" ht="19" customHeight="1" spans="2:30">
      <c r="B22" s="47" t="s">
        <v>144</v>
      </c>
      <c r="C22" s="47" t="s">
        <v>145</v>
      </c>
      <c r="D22" s="47" t="s">
        <v>22</v>
      </c>
      <c r="E22" s="47" t="s">
        <v>23</v>
      </c>
      <c r="AD22" s="10"/>
    </row>
    <row r="23" ht="19" customHeight="1" spans="2:5">
      <c r="B23" s="48">
        <f>AJ18</f>
        <v>108369.65</v>
      </c>
      <c r="C23" s="48">
        <f>AG18</f>
        <v>5878.57</v>
      </c>
      <c r="D23" s="48">
        <f>AK18</f>
        <v>0</v>
      </c>
      <c r="E23" s="48">
        <f>B23+C23+D23</f>
        <v>114248.22</v>
      </c>
    </row>
    <row r="24" ht="19" customHeight="1" spans="2:5">
      <c r="B24" s="49"/>
      <c r="C24" s="49"/>
      <c r="D24" s="49"/>
      <c r="E24" s="49"/>
    </row>
    <row r="25" s="14" customFormat="1" ht="19" customHeight="1" spans="1:35">
      <c r="A25" s="51" t="s">
        <v>206</v>
      </c>
      <c r="B25" s="52" t="s">
        <v>207</v>
      </c>
      <c r="C25" s="50"/>
      <c r="D25" s="50"/>
      <c r="E25" s="50"/>
      <c r="G25" s="53"/>
      <c r="J25" s="75"/>
      <c r="M25" s="76"/>
      <c r="AI25" s="112"/>
    </row>
    <row r="26" s="14" customFormat="1" ht="19" customHeight="1" spans="1:35">
      <c r="A26" s="54"/>
      <c r="B26" s="55" t="s">
        <v>208</v>
      </c>
      <c r="C26" s="50"/>
      <c r="D26" s="50"/>
      <c r="E26" s="50"/>
      <c r="G26" s="53"/>
      <c r="J26" s="75"/>
      <c r="M26" s="76"/>
      <c r="AI26" s="112"/>
    </row>
    <row r="27" s="14" customFormat="1" spans="1:35">
      <c r="A27" s="52"/>
      <c r="B27" s="55" t="s">
        <v>209</v>
      </c>
      <c r="C27" s="56"/>
      <c r="D27" s="56"/>
      <c r="E27" s="56"/>
      <c r="F27" s="56"/>
      <c r="G27" s="56"/>
      <c r="H27" s="56"/>
      <c r="I27" s="56"/>
      <c r="J27" s="77"/>
      <c r="K27" s="56"/>
      <c r="L27" s="56"/>
      <c r="M27" s="78"/>
      <c r="N27" s="56"/>
      <c r="O27" s="56"/>
      <c r="P27" s="56"/>
      <c r="AI27" s="112"/>
    </row>
    <row r="28" s="14" customFormat="1" customHeight="1" spans="1:35">
      <c r="A28" s="55"/>
      <c r="B28" s="55" t="s">
        <v>210</v>
      </c>
      <c r="C28" s="57"/>
      <c r="D28" s="57"/>
      <c r="E28" s="57"/>
      <c r="F28" s="57"/>
      <c r="G28" s="57"/>
      <c r="H28" s="57"/>
      <c r="I28" s="79"/>
      <c r="J28" s="80"/>
      <c r="K28" s="79"/>
      <c r="L28" s="79"/>
      <c r="M28" s="81"/>
      <c r="N28" s="79"/>
      <c r="O28" s="79"/>
      <c r="P28" s="79"/>
      <c r="AI28" s="112"/>
    </row>
    <row r="29" s="14" customFormat="1" customHeight="1" spans="1:35">
      <c r="A29" s="55"/>
      <c r="B29" s="55" t="s">
        <v>211</v>
      </c>
      <c r="C29" s="57"/>
      <c r="D29" s="57"/>
      <c r="E29" s="57"/>
      <c r="F29" s="57"/>
      <c r="G29" s="57"/>
      <c r="H29" s="57"/>
      <c r="I29" s="57"/>
      <c r="J29" s="82"/>
      <c r="K29" s="57"/>
      <c r="L29" s="79"/>
      <c r="M29" s="81"/>
      <c r="N29" s="79"/>
      <c r="O29" s="79"/>
      <c r="P29" s="79"/>
      <c r="AI29" s="112"/>
    </row>
    <row r="30" s="14" customFormat="1" customHeight="1" spans="1:35">
      <c r="A30" s="55"/>
      <c r="B30" s="55" t="s">
        <v>212</v>
      </c>
      <c r="C30" s="57"/>
      <c r="D30" s="57"/>
      <c r="E30" s="57"/>
      <c r="F30" s="57"/>
      <c r="G30" s="57"/>
      <c r="H30" s="57"/>
      <c r="I30" s="79"/>
      <c r="J30" s="80"/>
      <c r="K30" s="79"/>
      <c r="L30" s="79"/>
      <c r="M30" s="81"/>
      <c r="N30" s="79"/>
      <c r="O30" s="79"/>
      <c r="P30" s="79"/>
      <c r="AI30" s="112"/>
    </row>
    <row r="32" ht="11.25" customHeight="1" spans="2:2">
      <c r="B32" s="58" t="s">
        <v>213</v>
      </c>
    </row>
    <row r="33" spans="2:2">
      <c r="B33" s="59" t="s">
        <v>214</v>
      </c>
    </row>
    <row r="34" spans="2:2">
      <c r="B34" s="59" t="s">
        <v>215</v>
      </c>
    </row>
  </sheetData>
  <autoFilter xmlns:etc="http://www.wps.cn/officeDocument/2017/etCustomData" ref="A3:AT18" etc:filterBottomFollowUsedRange="0">
    <extLst/>
  </autoFilter>
  <mergeCells count="39">
    <mergeCell ref="M1:P1"/>
    <mergeCell ref="M2:P2"/>
    <mergeCell ref="V2:AA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Q2:Q3"/>
    <mergeCell ref="R2:R3"/>
    <mergeCell ref="S2:S3"/>
    <mergeCell ref="T2:T3"/>
    <mergeCell ref="U2:U3"/>
    <mergeCell ref="AB2:AB3"/>
    <mergeCell ref="AC2:AC3"/>
    <mergeCell ref="AD2:AD3"/>
    <mergeCell ref="AE2:AE3"/>
    <mergeCell ref="AF2:AF3"/>
    <mergeCell ref="AG2:AG3"/>
    <mergeCell ref="AH2:AH3"/>
    <mergeCell ref="AI2:AI3"/>
    <mergeCell ref="AJ2:AJ3"/>
    <mergeCell ref="AK2:AK3"/>
    <mergeCell ref="AL2:AL3"/>
    <mergeCell ref="AM2:AM3"/>
    <mergeCell ref="AN2:AN3"/>
    <mergeCell ref="AO2:AO3"/>
    <mergeCell ref="AP2:AP3"/>
    <mergeCell ref="AQ2:AQ3"/>
    <mergeCell ref="AR2:AR3"/>
    <mergeCell ref="AS2:AS3"/>
    <mergeCell ref="AT2:AT3"/>
  </mergeCells>
  <conditionalFormatting sqref="B30">
    <cfRule type="duplicateValues" dxfId="4" priority="2" stopIfTrue="1"/>
  </conditionalFormatting>
  <conditionalFormatting sqref="B25:B29">
    <cfRule type="duplicateValues" dxfId="4" priority="3" stopIfTrue="1"/>
  </conditionalFormatting>
  <conditionalFormatting sqref="B33:B34">
    <cfRule type="duplicateValues" dxfId="4" priority="1" stopIfTrue="1"/>
  </conditionalFormatting>
  <conditionalFormatting sqref="C22:C24">
    <cfRule type="duplicateValues" dxfId="4" priority="4" stopIfTrue="1"/>
    <cfRule type="expression" dxfId="5" priority="5" stopIfTrue="1">
      <formula>AND(COUNTIF($B$18:$B$65454,C22)+COUNTIF($B$1:$B$3,C22)&gt;1,NOT(ISBLANK(C22)))</formula>
    </cfRule>
    <cfRule type="expression" dxfId="5" priority="6" stopIfTrue="1">
      <formula>AND(COUNTIF($B$29:$B$65405,C22)+COUNTIF($B$1:$B$28,C22)&gt;1,NOT(ISBLANK(C22)))</formula>
    </cfRule>
    <cfRule type="expression" dxfId="5" priority="7" stopIfTrue="1">
      <formula>AND(COUNTIF($B$18:$B$65443,C22)+COUNTIF($B$1:$B$3,C22)&gt;1,NOT(ISBLANK(C22)))</formula>
    </cfRule>
  </conditionalFormatting>
  <pageMargins left="0.235416666666667" right="0.235416666666667" top="0.747916666666667" bottom="0.747916666666667" header="0.313888888888889" footer="0.313888888888889"/>
  <pageSetup paperSize="9" scale="56" fitToWidth="2" orientation="landscape"/>
  <headerFooter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>
    <tabColor rgb="FF00B050"/>
    <pageSetUpPr fitToPage="1"/>
  </sheetPr>
  <dimension ref="A1:AW34"/>
  <sheetViews>
    <sheetView workbookViewId="0">
      <pane xSplit="6" ySplit="3" topLeftCell="G4" activePane="bottomRight" state="frozen"/>
      <selection/>
      <selection pane="topRight"/>
      <selection pane="bottomLeft"/>
      <selection pane="bottomRight" activeCell="A4" sqref="A4:P16"/>
    </sheetView>
  </sheetViews>
  <sheetFormatPr defaultColWidth="9" defaultRowHeight="13.5"/>
  <cols>
    <col min="1" max="1" width="4.45" style="15" customWidth="1"/>
    <col min="2" max="2" width="12.6333333333333" style="15" customWidth="1"/>
    <col min="3" max="3" width="10.45" style="15" customWidth="1"/>
    <col min="4" max="4" width="8.725" style="15" customWidth="1"/>
    <col min="5" max="5" width="19.45" style="16" customWidth="1"/>
    <col min="6" max="6" width="9" style="15"/>
    <col min="7" max="7" width="11.9083333333333" style="17" customWidth="1"/>
    <col min="8" max="8" width="4.63333333333333" style="15" hidden="1" customWidth="1"/>
    <col min="9" max="9" width="5.26666666666667" style="15" hidden="1" customWidth="1"/>
    <col min="10" max="10" width="0.125" style="18" customWidth="1"/>
    <col min="11" max="11" width="5.26666666666667" style="15" hidden="1" customWidth="1"/>
    <col min="12" max="12" width="11.725" style="15" customWidth="1"/>
    <col min="13" max="13" width="12.45" style="15" customWidth="1" outlineLevel="1"/>
    <col min="14" max="15" width="9" style="15" customWidth="1" outlineLevel="1"/>
    <col min="16" max="16" width="11.0916666666667" style="15" customWidth="1" outlineLevel="1"/>
    <col min="17" max="17" width="9.725" style="15" customWidth="1"/>
    <col min="18" max="18" width="9.45" style="15" customWidth="1"/>
    <col min="19" max="19" width="13.3666666666667" style="15" customWidth="1"/>
    <col min="20" max="21" width="12.2666666666667" style="15" customWidth="1"/>
    <col min="22" max="27" width="9" style="15" customWidth="1" outlineLevel="1"/>
    <col min="28" max="28" width="11.2666666666667" style="15" customWidth="1"/>
    <col min="29" max="29" width="8.45" style="15" customWidth="1"/>
    <col min="30" max="30" width="15.2666666666667" style="15" customWidth="1"/>
    <col min="31" max="31" width="13.3666666666667" style="15" customWidth="1"/>
    <col min="32" max="32" width="10.725" style="15" customWidth="1"/>
    <col min="33" max="33" width="12.2666666666667" style="15" customWidth="1"/>
    <col min="34" max="34" width="11.45" style="15" customWidth="1"/>
    <col min="35" max="35" width="7.90833333333333" style="19" customWidth="1"/>
    <col min="36" max="36" width="11.45" style="15" customWidth="1"/>
    <col min="37" max="37" width="9" style="15"/>
    <col min="38" max="38" width="11.45" style="15" customWidth="1"/>
    <col min="39" max="40" width="9" style="15" hidden="1" customWidth="1"/>
    <col min="41" max="41" width="19" style="15" hidden="1" customWidth="1"/>
    <col min="42" max="42" width="12.2666666666667" style="15" hidden="1" customWidth="1"/>
    <col min="43" max="43" width="9" style="15" hidden="1" customWidth="1"/>
    <col min="44" max="44" width="7" style="15" hidden="1" customWidth="1"/>
    <col min="45" max="45" width="6.725" style="15" hidden="1" customWidth="1"/>
    <col min="46" max="46" width="6.09166666666667" style="15" hidden="1" customWidth="1"/>
    <col min="47" max="47" width="9" style="15" hidden="1" customWidth="1"/>
    <col min="48" max="16384" width="9" style="15"/>
  </cols>
  <sheetData>
    <row r="1" s="10" customFormat="1" ht="29.25" customHeight="1" spans="1:45">
      <c r="A1" s="20" t="s">
        <v>146</v>
      </c>
      <c r="B1" s="21"/>
      <c r="C1" s="22"/>
      <c r="D1" s="23"/>
      <c r="E1" s="24"/>
      <c r="F1" s="24"/>
      <c r="G1" s="25"/>
      <c r="J1" s="60"/>
      <c r="L1" s="61"/>
      <c r="M1" s="62" t="s">
        <v>147</v>
      </c>
      <c r="N1" s="62"/>
      <c r="O1" s="62"/>
      <c r="P1" s="62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  <c r="AC1" s="83"/>
      <c r="AD1" s="61"/>
      <c r="AE1" s="61"/>
      <c r="AF1" s="61"/>
      <c r="AG1" s="61"/>
      <c r="AH1" s="61"/>
      <c r="AI1" s="102"/>
      <c r="AJ1" s="61"/>
      <c r="AK1" s="61"/>
      <c r="AL1" s="61"/>
      <c r="AM1" s="24"/>
      <c r="AN1" s="24"/>
      <c r="AO1" s="113"/>
      <c r="AP1" s="24"/>
      <c r="AQ1" s="24"/>
      <c r="AR1" s="24"/>
      <c r="AS1" s="24"/>
    </row>
    <row r="2" s="11" customFormat="1" ht="20.15" customHeight="1" spans="1:46">
      <c r="A2" s="26" t="s">
        <v>0</v>
      </c>
      <c r="B2" s="27" t="s">
        <v>148</v>
      </c>
      <c r="C2" s="28" t="s">
        <v>149</v>
      </c>
      <c r="D2" s="28" t="s">
        <v>150</v>
      </c>
      <c r="E2" s="29" t="s">
        <v>151</v>
      </c>
      <c r="F2" s="30" t="s">
        <v>152</v>
      </c>
      <c r="G2" s="29" t="s">
        <v>153</v>
      </c>
      <c r="H2" s="29" t="s">
        <v>154</v>
      </c>
      <c r="I2" s="29" t="s">
        <v>155</v>
      </c>
      <c r="J2" s="63" t="s">
        <v>156</v>
      </c>
      <c r="K2" s="29" t="s">
        <v>157</v>
      </c>
      <c r="L2" s="29" t="s">
        <v>158</v>
      </c>
      <c r="M2" s="64" t="s">
        <v>159</v>
      </c>
      <c r="N2" s="65"/>
      <c r="O2" s="65"/>
      <c r="P2" s="66"/>
      <c r="Q2" s="30" t="s">
        <v>160</v>
      </c>
      <c r="R2" s="29" t="s">
        <v>161</v>
      </c>
      <c r="S2" s="30" t="s">
        <v>162</v>
      </c>
      <c r="T2" s="84" t="s">
        <v>163</v>
      </c>
      <c r="U2" s="30" t="s">
        <v>164</v>
      </c>
      <c r="V2" s="85" t="s">
        <v>165</v>
      </c>
      <c r="W2" s="86"/>
      <c r="X2" s="86"/>
      <c r="Y2" s="86"/>
      <c r="Z2" s="86"/>
      <c r="AA2" s="94"/>
      <c r="AB2" s="30" t="s">
        <v>166</v>
      </c>
      <c r="AC2" s="30" t="s">
        <v>167</v>
      </c>
      <c r="AD2" s="84" t="s">
        <v>168</v>
      </c>
      <c r="AE2" s="84" t="s">
        <v>169</v>
      </c>
      <c r="AF2" s="84" t="s">
        <v>170</v>
      </c>
      <c r="AG2" s="84" t="s">
        <v>171</v>
      </c>
      <c r="AH2" s="103" t="s">
        <v>172</v>
      </c>
      <c r="AI2" s="104" t="s">
        <v>173</v>
      </c>
      <c r="AJ2" s="103" t="s">
        <v>144</v>
      </c>
      <c r="AK2" s="28" t="s">
        <v>22</v>
      </c>
      <c r="AL2" s="103" t="s">
        <v>174</v>
      </c>
      <c r="AM2" s="29" t="s">
        <v>216</v>
      </c>
      <c r="AN2" s="29" t="s">
        <v>217</v>
      </c>
      <c r="AO2" s="114" t="s">
        <v>218</v>
      </c>
      <c r="AP2" s="29" t="s">
        <v>219</v>
      </c>
      <c r="AQ2" s="29" t="s">
        <v>220</v>
      </c>
      <c r="AR2" s="30" t="s">
        <v>221</v>
      </c>
      <c r="AS2" s="30" t="s">
        <v>222</v>
      </c>
      <c r="AT2" s="30" t="s">
        <v>223</v>
      </c>
    </row>
    <row r="3" s="11" customFormat="1" ht="27" customHeight="1" spans="1:46">
      <c r="A3" s="31"/>
      <c r="B3" s="32"/>
      <c r="C3" s="33"/>
      <c r="D3" s="33"/>
      <c r="E3" s="34"/>
      <c r="F3" s="35"/>
      <c r="G3" s="34"/>
      <c r="H3" s="34"/>
      <c r="I3" s="34"/>
      <c r="J3" s="67"/>
      <c r="K3" s="34"/>
      <c r="L3" s="34"/>
      <c r="M3" s="68" t="s">
        <v>175</v>
      </c>
      <c r="N3" s="68" t="s">
        <v>176</v>
      </c>
      <c r="O3" s="68" t="s">
        <v>177</v>
      </c>
      <c r="P3" s="68" t="s">
        <v>37</v>
      </c>
      <c r="Q3" s="35"/>
      <c r="R3" s="34"/>
      <c r="S3" s="35"/>
      <c r="T3" s="87"/>
      <c r="U3" s="35"/>
      <c r="V3" s="88" t="s">
        <v>178</v>
      </c>
      <c r="W3" s="88" t="s">
        <v>179</v>
      </c>
      <c r="X3" s="88" t="s">
        <v>180</v>
      </c>
      <c r="Y3" s="88" t="s">
        <v>181</v>
      </c>
      <c r="Z3" s="88" t="s">
        <v>182</v>
      </c>
      <c r="AA3" s="88" t="s">
        <v>183</v>
      </c>
      <c r="AB3" s="35"/>
      <c r="AC3" s="35"/>
      <c r="AD3" s="87"/>
      <c r="AE3" s="87"/>
      <c r="AF3" s="87"/>
      <c r="AG3" s="87"/>
      <c r="AH3" s="105"/>
      <c r="AI3" s="106"/>
      <c r="AJ3" s="105"/>
      <c r="AK3" s="33"/>
      <c r="AL3" s="105"/>
      <c r="AM3" s="34"/>
      <c r="AN3" s="34"/>
      <c r="AO3" s="115"/>
      <c r="AP3" s="34"/>
      <c r="AQ3" s="34"/>
      <c r="AR3" s="35"/>
      <c r="AS3" s="35"/>
      <c r="AT3" s="35"/>
    </row>
    <row r="4" s="12" customFormat="1" ht="18" customHeight="1" spans="1:49">
      <c r="A4" s="36">
        <v>1</v>
      </c>
      <c r="B4" s="37" t="s">
        <v>184</v>
      </c>
      <c r="C4" s="37" t="s">
        <v>61</v>
      </c>
      <c r="D4" s="37" t="s">
        <v>120</v>
      </c>
      <c r="E4" s="37" t="s">
        <v>62</v>
      </c>
      <c r="F4" s="38" t="s">
        <v>185</v>
      </c>
      <c r="G4" s="39">
        <v>13944441728</v>
      </c>
      <c r="H4" s="40"/>
      <c r="I4" s="40"/>
      <c r="J4" s="69"/>
      <c r="K4" s="40"/>
      <c r="L4" s="70">
        <v>8000</v>
      </c>
      <c r="M4" s="71">
        <v>344.57</v>
      </c>
      <c r="N4" s="71">
        <v>86.14</v>
      </c>
      <c r="O4" s="71">
        <v>12.92</v>
      </c>
      <c r="P4" s="71">
        <v>177.4</v>
      </c>
      <c r="Q4" s="89">
        <f t="shared" ref="Q4:Q11" si="0">ROUND(SUM(M4:P4),2)</f>
        <v>621.03</v>
      </c>
      <c r="R4" s="70">
        <v>0</v>
      </c>
      <c r="S4" s="90">
        <f>L4+IFERROR(VLOOKUP($E:$E,'（居民）工资表-9月'!$E:$S,15,0),0)</f>
        <v>72000</v>
      </c>
      <c r="T4" s="91">
        <f>5000+IFERROR(VLOOKUP($E:$E,'（居民）工资表-9月'!$E:$T,16,0),0)</f>
        <v>45000</v>
      </c>
      <c r="U4" s="91">
        <f>Q4+IFERROR(VLOOKUP($E:$E,'（居民）工资表-9月'!$E:$U,17,0),0)</f>
        <v>5447.08</v>
      </c>
      <c r="V4" s="70">
        <v>10000</v>
      </c>
      <c r="W4" s="70"/>
      <c r="X4" s="70">
        <v>10000</v>
      </c>
      <c r="Y4" s="70"/>
      <c r="Z4" s="70">
        <v>4000</v>
      </c>
      <c r="AA4" s="70"/>
      <c r="AB4" s="90">
        <f t="shared" ref="AB4:AB11" si="1">ROUND(SUM(V4:AA4),2)</f>
        <v>24000</v>
      </c>
      <c r="AC4" s="90">
        <f>R4+IFERROR(VLOOKUP($E:$E,'（居民）工资表-9月'!$E:$AC,25,0),0)</f>
        <v>0</v>
      </c>
      <c r="AD4" s="95">
        <f t="shared" ref="AD4:AD11" si="2">ROUND(S4-T4-U4-AB4-AC4,2)</f>
        <v>-2447.08</v>
      </c>
      <c r="AE4" s="96">
        <f>ROUND(MAX((AD4)*{0.03;0.1;0.2;0.25;0.3;0.35;0.45}-{0;2520;16920;31920;52920;85920;181920},0),2)</f>
        <v>0</v>
      </c>
      <c r="AF4" s="97">
        <f>IFERROR(VLOOKUP(E:E,'（居民）工资表-9月'!E:AF,28,0)+VLOOKUP(E:E,'（居民）工资表-9月'!E:AG,29,0),0)</f>
        <v>575.22</v>
      </c>
      <c r="AG4" s="97">
        <f t="shared" ref="AG4:AG11" si="3">IF((AE4-AF4)&lt;0,0,AE4-AF4)</f>
        <v>0</v>
      </c>
      <c r="AH4" s="107">
        <f t="shared" ref="AH4:AH11" si="4">ROUND(IF((L4-Q4-AG4)&lt;0,0,(L4-Q4-AG4)),2)</f>
        <v>7378.97</v>
      </c>
      <c r="AI4" s="108"/>
      <c r="AJ4" s="107">
        <f t="shared" ref="AJ4:AJ11" si="5">AH4+AI4</f>
        <v>7378.97</v>
      </c>
      <c r="AK4" s="109"/>
      <c r="AL4" s="107">
        <f t="shared" ref="AL4:AL11" si="6">AJ4+AG4+AK4</f>
        <v>7378.97</v>
      </c>
      <c r="AM4" s="109"/>
      <c r="AN4" s="109"/>
      <c r="AO4" s="109"/>
      <c r="AP4" s="109"/>
      <c r="AQ4" s="109"/>
      <c r="AR4" s="116" t="str">
        <f t="shared" ref="AR4:AR11" si="7">IF(LEN(E4)=18,IF(RIGHT(E4,1)="X",IF(CHOOSE(MOD(SUM(LEFT(RIGHT(E4,18))*7+LEFT(RIGHT(E4,17))*9+LEFT(RIGHT(E4,16))*10+LEFT(RIGHT(E4,15))*5+LEFT(RIGHT(E4,14))*8+LEFT(RIGHT(E4,13))*4+LEFT(RIGHT(E4,12))*2+LEFT(RIGHT(E4,11))*1+LEFT(RIGHT(E4,10))*6+LEFT(RIGHT(E4,9))*3+LEFT(RIGHT(E4,8))*7+LEFT(RIGHT(E4,7))*9+LEFT(RIGHT(E4,6))*10+LEFT(RIGHT(E4,5))*5+LEFT(RIGHT(E4,4))*8+LEFT(RIGHT(E4,3))*4+LEFT(RIGHT(E4,2))*2),11)+1,1,0,"X",9,8,7,6,5,4,3,2)=LEFT(RIGHT(E4,1)),"正确","错误"),IF(CHOOSE(MOD(SUM(LEFT(RIGHT(E4,18))*7+LEFT(RIGHT(E4,17))*9+LEFT(RIGHT(E4,16))*10+LEFT(RIGHT(E4,15))*5+LEFT(RIGHT(E4,14))*8+LEFT(RIGHT(E4,13))*4+LEFT(RIGHT(E4,12))*2+LEFT(RIGHT(E4,11))*1+LEFT(RIGHT(E4,10))*6+LEFT(RIGHT(E4,9))*3+LEFT(RIGHT(E4,8))*7+LEFT(RIGHT(E4,7))*9+LEFT(RIGHT(E4,6))*10+LEFT(RIGHT(E4,5))*5+LEFT(RIGHT(E4,4))*8+LEFT(RIGHT(E4,3))*4+LEFT(RIGHT(E4,2))*2),11)+1,1,0,"X",9,8,7,6,5,4,3,2)=LEFT(RIGHT(E4,1))*1,"正确","错误")),IF(LEN(E4)=15,"老号，请注意！",IF(LEN(E4)=0,"未填写身份证号码","位数不对！")))</f>
        <v>正确</v>
      </c>
      <c r="AS4" s="116" t="str">
        <f t="shared" ref="AS4:AS11" si="8">IF(SUMPRODUCT(N(E$1:E$7=E4))&gt;1,"重复","不")</f>
        <v>不</v>
      </c>
      <c r="AT4" s="116" t="str">
        <f t="shared" ref="AT4:AT11" si="9">IF(SUMPRODUCT(N(AO$1:AO$7=AO4))&gt;1,"重复","不")</f>
        <v>重复</v>
      </c>
      <c r="AV4" s="12" t="s">
        <v>186</v>
      </c>
      <c r="AW4" s="12" t="s">
        <v>51</v>
      </c>
    </row>
    <row r="5" s="12" customFormat="1" ht="18" customHeight="1" spans="1:49">
      <c r="A5" s="36">
        <v>2</v>
      </c>
      <c r="B5" s="37" t="s">
        <v>184</v>
      </c>
      <c r="C5" s="37" t="s">
        <v>121</v>
      </c>
      <c r="D5" s="37" t="s">
        <v>120</v>
      </c>
      <c r="E5" s="352" t="s">
        <v>122</v>
      </c>
      <c r="F5" s="38" t="s">
        <v>187</v>
      </c>
      <c r="G5" s="39">
        <v>15360550807</v>
      </c>
      <c r="H5" s="40"/>
      <c r="I5" s="40"/>
      <c r="J5" s="69"/>
      <c r="K5" s="40"/>
      <c r="L5" s="70">
        <v>6100</v>
      </c>
      <c r="M5" s="71">
        <v>422.72</v>
      </c>
      <c r="N5" s="71">
        <v>119.92</v>
      </c>
      <c r="O5" s="71">
        <v>4.6</v>
      </c>
      <c r="P5" s="71">
        <v>115</v>
      </c>
      <c r="Q5" s="89">
        <f t="shared" si="0"/>
        <v>662.24</v>
      </c>
      <c r="R5" s="70">
        <v>0</v>
      </c>
      <c r="S5" s="90">
        <f>L5+IFERROR(VLOOKUP($E:$E,'（居民）工资表-9月'!$E:$S,15,0),0)</f>
        <v>53760</v>
      </c>
      <c r="T5" s="91">
        <f>5000+IFERROR(VLOOKUP($E:$E,'（居民）工资表-9月'!$E:$T,16,0),0)</f>
        <v>45000</v>
      </c>
      <c r="U5" s="91">
        <f>Q5+IFERROR(VLOOKUP($E:$E,'（居民）工资表-9月'!$E:$U,17,0),0)</f>
        <v>6111.6</v>
      </c>
      <c r="V5" s="70"/>
      <c r="W5" s="70"/>
      <c r="X5" s="70"/>
      <c r="Y5" s="70"/>
      <c r="Z5" s="70"/>
      <c r="AA5" s="70"/>
      <c r="AB5" s="90">
        <f t="shared" si="1"/>
        <v>0</v>
      </c>
      <c r="AC5" s="90">
        <f>R5+IFERROR(VLOOKUP($E:$E,'（居民）工资表-9月'!$E:$AC,25,0),0)</f>
        <v>0</v>
      </c>
      <c r="AD5" s="95">
        <f t="shared" si="2"/>
        <v>2648.4</v>
      </c>
      <c r="AE5" s="96">
        <f>ROUND(MAX((AD5)*{0.03;0.1;0.2;0.25;0.3;0.35;0.45}-{0;2520;16920;31920;52920;85920;181920},0),2)</f>
        <v>79.45</v>
      </c>
      <c r="AF5" s="97">
        <f>IFERROR(VLOOKUP(E:E,'（居民）工资表-9月'!E:AF,28,0)+VLOOKUP(E:E,'（居民）工资表-9月'!E:AG,29,0),0)</f>
        <v>66.32</v>
      </c>
      <c r="AG5" s="97">
        <f t="shared" si="3"/>
        <v>13.13</v>
      </c>
      <c r="AH5" s="107">
        <f t="shared" si="4"/>
        <v>5424.63</v>
      </c>
      <c r="AI5" s="108"/>
      <c r="AJ5" s="107">
        <f t="shared" si="5"/>
        <v>5424.63</v>
      </c>
      <c r="AK5" s="109"/>
      <c r="AL5" s="107">
        <f t="shared" si="6"/>
        <v>5437.76</v>
      </c>
      <c r="AM5" s="109"/>
      <c r="AN5" s="109"/>
      <c r="AO5" s="109"/>
      <c r="AP5" s="109"/>
      <c r="AQ5" s="109"/>
      <c r="AR5" s="116" t="str">
        <f t="shared" si="7"/>
        <v>正确</v>
      </c>
      <c r="AS5" s="116" t="str">
        <f t="shared" si="8"/>
        <v>不</v>
      </c>
      <c r="AT5" s="116" t="str">
        <f t="shared" si="9"/>
        <v>重复</v>
      </c>
      <c r="AV5" s="12" t="s">
        <v>50</v>
      </c>
      <c r="AW5" s="12" t="s">
        <v>51</v>
      </c>
    </row>
    <row r="6" s="12" customFormat="1" ht="18" customHeight="1" spans="1:49">
      <c r="A6" s="36">
        <v>3</v>
      </c>
      <c r="B6" s="37" t="s">
        <v>184</v>
      </c>
      <c r="C6" s="37" t="s">
        <v>123</v>
      </c>
      <c r="D6" s="37" t="s">
        <v>120</v>
      </c>
      <c r="E6" s="352" t="s">
        <v>124</v>
      </c>
      <c r="F6" s="38" t="s">
        <v>185</v>
      </c>
      <c r="G6" s="39" t="s">
        <v>125</v>
      </c>
      <c r="H6" s="40"/>
      <c r="I6" s="40"/>
      <c r="J6" s="69"/>
      <c r="K6" s="40"/>
      <c r="L6" s="70">
        <v>30060</v>
      </c>
      <c r="M6" s="71">
        <v>590.72</v>
      </c>
      <c r="N6" s="71">
        <v>147.68</v>
      </c>
      <c r="O6" s="71">
        <v>36.92</v>
      </c>
      <c r="P6" s="71">
        <v>188</v>
      </c>
      <c r="Q6" s="89">
        <f t="shared" si="0"/>
        <v>963.32</v>
      </c>
      <c r="R6" s="70">
        <v>0</v>
      </c>
      <c r="S6" s="90">
        <f>L6+IFERROR(VLOOKUP($E:$E,'（居民）工资表-9月'!$E:$S,15,0),0)</f>
        <v>270540</v>
      </c>
      <c r="T6" s="91">
        <f>5000+IFERROR(VLOOKUP($E:$E,'（居民）工资表-9月'!$E:$T,16,0),0)</f>
        <v>45000</v>
      </c>
      <c r="U6" s="91">
        <f>Q6+IFERROR(VLOOKUP($E:$E,'（居民）工资表-9月'!$E:$U,17,0),0)</f>
        <v>8610.8</v>
      </c>
      <c r="V6" s="70"/>
      <c r="W6" s="70"/>
      <c r="X6" s="70"/>
      <c r="Y6" s="70"/>
      <c r="Z6" s="70"/>
      <c r="AA6" s="70"/>
      <c r="AB6" s="90">
        <f t="shared" si="1"/>
        <v>0</v>
      </c>
      <c r="AC6" s="90">
        <f>R6+IFERROR(VLOOKUP($E:$E,'（居民）工资表-9月'!$E:$AC,25,0),0)</f>
        <v>0</v>
      </c>
      <c r="AD6" s="95">
        <f t="shared" si="2"/>
        <v>216929.2</v>
      </c>
      <c r="AE6" s="96">
        <f>ROUND(MAX((AD6)*{0.03;0.1;0.2;0.25;0.3;0.35;0.45}-{0;2520;16920;31920;52920;85920;181920},0),2)</f>
        <v>26465.84</v>
      </c>
      <c r="AF6" s="97">
        <f>IFERROR(VLOOKUP(E:E,'（居民）工资表-9月'!E:AF,28,0)+VLOOKUP(E:E,'（居民）工资表-9月'!E:AG,29,0),0)</f>
        <v>21646.5</v>
      </c>
      <c r="AG6" s="97">
        <f t="shared" si="3"/>
        <v>4819.34</v>
      </c>
      <c r="AH6" s="107">
        <f t="shared" si="4"/>
        <v>24277.34</v>
      </c>
      <c r="AI6" s="108"/>
      <c r="AJ6" s="107">
        <f t="shared" si="5"/>
        <v>24277.34</v>
      </c>
      <c r="AK6" s="109"/>
      <c r="AL6" s="107">
        <f t="shared" si="6"/>
        <v>29096.68</v>
      </c>
      <c r="AM6" s="109"/>
      <c r="AN6" s="109"/>
      <c r="AO6" s="109"/>
      <c r="AP6" s="109"/>
      <c r="AQ6" s="109"/>
      <c r="AR6" s="116" t="str">
        <f t="shared" si="7"/>
        <v>正确</v>
      </c>
      <c r="AS6" s="116" t="str">
        <f t="shared" si="8"/>
        <v>不</v>
      </c>
      <c r="AT6" s="116" t="str">
        <f t="shared" si="9"/>
        <v>重复</v>
      </c>
      <c r="AV6" s="12" t="s">
        <v>188</v>
      </c>
      <c r="AW6" s="12" t="s">
        <v>189</v>
      </c>
    </row>
    <row r="7" s="12" customFormat="1" ht="18" customHeight="1" spans="1:49">
      <c r="A7" s="36">
        <v>4</v>
      </c>
      <c r="B7" s="37" t="s">
        <v>184</v>
      </c>
      <c r="C7" s="37" t="s">
        <v>126</v>
      </c>
      <c r="D7" s="37" t="s">
        <v>120</v>
      </c>
      <c r="E7" s="352" t="s">
        <v>127</v>
      </c>
      <c r="F7" s="38" t="s">
        <v>185</v>
      </c>
      <c r="G7" s="39" t="s">
        <v>128</v>
      </c>
      <c r="H7" s="40"/>
      <c r="I7" s="40"/>
      <c r="J7" s="69"/>
      <c r="K7" s="40"/>
      <c r="L7" s="70">
        <v>9000</v>
      </c>
      <c r="M7" s="71">
        <v>504.56</v>
      </c>
      <c r="N7" s="71">
        <v>139.8</v>
      </c>
      <c r="O7" s="71">
        <v>31.54</v>
      </c>
      <c r="P7" s="71">
        <v>97</v>
      </c>
      <c r="Q7" s="89">
        <f t="shared" si="0"/>
        <v>772.9</v>
      </c>
      <c r="R7" s="70">
        <v>0</v>
      </c>
      <c r="S7" s="90">
        <f>L7+IFERROR(VLOOKUP($E:$E,'（居民）工资表-9月'!$E:$S,15,0),0)</f>
        <v>82000</v>
      </c>
      <c r="T7" s="91">
        <f>5000+IFERROR(VLOOKUP($E:$E,'（居民）工资表-9月'!$E:$T,16,0),0)</f>
        <v>45000</v>
      </c>
      <c r="U7" s="91">
        <f>Q7+IFERROR(VLOOKUP($E:$E,'（居民）工资表-9月'!$E:$U,17,0),0)</f>
        <v>5016.87</v>
      </c>
      <c r="V7" s="70"/>
      <c r="W7" s="70"/>
      <c r="X7" s="70"/>
      <c r="Y7" s="70"/>
      <c r="Z7" s="70"/>
      <c r="AA7" s="70"/>
      <c r="AB7" s="90">
        <f t="shared" si="1"/>
        <v>0</v>
      </c>
      <c r="AC7" s="90">
        <f>R7+IFERROR(VLOOKUP($E:$E,'（居民）工资表-9月'!$E:$AC,25,0),0)</f>
        <v>0</v>
      </c>
      <c r="AD7" s="95">
        <f t="shared" si="2"/>
        <v>31983.13</v>
      </c>
      <c r="AE7" s="96">
        <f>ROUND(MAX((AD7)*{0.03;0.1;0.2;0.25;0.3;0.35;0.45}-{0;2520;16920;31920;52920;85920;181920},0),2)</f>
        <v>959.49</v>
      </c>
      <c r="AF7" s="97">
        <f>IFERROR(VLOOKUP(E:E,'（居民）工资表-9月'!E:AF,28,0)+VLOOKUP(E:E,'（居民）工资表-9月'!E:AG,29,0),0)</f>
        <v>862.68</v>
      </c>
      <c r="AG7" s="97">
        <f t="shared" si="3"/>
        <v>96.8100000000001</v>
      </c>
      <c r="AH7" s="107">
        <f t="shared" si="4"/>
        <v>8130.29</v>
      </c>
      <c r="AI7" s="108"/>
      <c r="AJ7" s="107">
        <f t="shared" si="5"/>
        <v>8130.29</v>
      </c>
      <c r="AK7" s="109"/>
      <c r="AL7" s="107">
        <f t="shared" si="6"/>
        <v>8227.1</v>
      </c>
      <c r="AM7" s="109"/>
      <c r="AN7" s="109"/>
      <c r="AO7" s="109"/>
      <c r="AP7" s="109"/>
      <c r="AQ7" s="109"/>
      <c r="AR7" s="116" t="str">
        <f t="shared" si="7"/>
        <v>正确</v>
      </c>
      <c r="AS7" s="116" t="str">
        <f t="shared" si="8"/>
        <v>不</v>
      </c>
      <c r="AT7" s="116" t="str">
        <f t="shared" si="9"/>
        <v>重复</v>
      </c>
      <c r="AV7" s="12" t="s">
        <v>190</v>
      </c>
      <c r="AW7" s="12" t="s">
        <v>51</v>
      </c>
    </row>
    <row r="8" s="12" customFormat="1" ht="18" customHeight="1" spans="1:49">
      <c r="A8" s="36">
        <v>5</v>
      </c>
      <c r="B8" s="37" t="s">
        <v>184</v>
      </c>
      <c r="C8" s="37" t="s">
        <v>129</v>
      </c>
      <c r="D8" s="37" t="s">
        <v>120</v>
      </c>
      <c r="E8" s="352" t="s">
        <v>130</v>
      </c>
      <c r="F8" s="38" t="s">
        <v>185</v>
      </c>
      <c r="G8" s="39">
        <v>19356875630</v>
      </c>
      <c r="H8" s="40"/>
      <c r="I8" s="40"/>
      <c r="J8" s="69"/>
      <c r="K8" s="40"/>
      <c r="L8" s="70">
        <v>10500</v>
      </c>
      <c r="M8" s="71">
        <v>504.56</v>
      </c>
      <c r="N8" s="71">
        <v>132.14</v>
      </c>
      <c r="O8" s="71">
        <v>31.54</v>
      </c>
      <c r="P8" s="71">
        <v>344</v>
      </c>
      <c r="Q8" s="89">
        <f t="shared" si="0"/>
        <v>1012.24</v>
      </c>
      <c r="R8" s="70">
        <v>0</v>
      </c>
      <c r="S8" s="90">
        <f>L8+IFERROR(VLOOKUP($E:$E,'（居民）工资表-9月'!$E:$S,15,0),0)</f>
        <v>97500</v>
      </c>
      <c r="T8" s="91">
        <f>5000+IFERROR(VLOOKUP($E:$E,'（居民）工资表-9月'!$E:$T,16,0),0)</f>
        <v>45000</v>
      </c>
      <c r="U8" s="91">
        <f>Q8+IFERROR(VLOOKUP($E:$E,'（居民）工资表-9月'!$E:$U,17,0),0)</f>
        <v>7210.08</v>
      </c>
      <c r="V8" s="70"/>
      <c r="W8" s="70"/>
      <c r="X8" s="70"/>
      <c r="Y8" s="70"/>
      <c r="Z8" s="70"/>
      <c r="AA8" s="70"/>
      <c r="AB8" s="90">
        <f t="shared" si="1"/>
        <v>0</v>
      </c>
      <c r="AC8" s="90">
        <f>R8+IFERROR(VLOOKUP($E:$E,'（居民）工资表-9月'!$E:$AC,25,0),0)</f>
        <v>0</v>
      </c>
      <c r="AD8" s="95">
        <f t="shared" si="2"/>
        <v>45289.92</v>
      </c>
      <c r="AE8" s="96">
        <f>ROUND(MAX((AD8)*{0.03;0.1;0.2;0.25;0.3;0.35;0.45}-{0;2520;16920;31920;52920;85920;181920},0),2)</f>
        <v>2008.99</v>
      </c>
      <c r="AF8" s="97">
        <f>IFERROR(VLOOKUP(E:E,'（居民）工资表-9月'!E:AF,28,0)+VLOOKUP(E:E,'（居民）工资表-9月'!E:AG,29,0),0)</f>
        <v>1560.22</v>
      </c>
      <c r="AG8" s="97">
        <f t="shared" si="3"/>
        <v>448.77</v>
      </c>
      <c r="AH8" s="107">
        <f t="shared" si="4"/>
        <v>9038.99</v>
      </c>
      <c r="AI8" s="108"/>
      <c r="AJ8" s="107">
        <f t="shared" si="5"/>
        <v>9038.99</v>
      </c>
      <c r="AK8" s="109"/>
      <c r="AL8" s="107">
        <f t="shared" si="6"/>
        <v>9487.76</v>
      </c>
      <c r="AM8" s="109"/>
      <c r="AN8" s="109"/>
      <c r="AO8" s="109"/>
      <c r="AP8" s="109"/>
      <c r="AQ8" s="109"/>
      <c r="AR8" s="116" t="str">
        <f t="shared" si="7"/>
        <v>正确</v>
      </c>
      <c r="AS8" s="116" t="str">
        <f t="shared" si="8"/>
        <v>不</v>
      </c>
      <c r="AT8" s="116" t="str">
        <f t="shared" si="9"/>
        <v>重复</v>
      </c>
      <c r="AV8" s="12" t="s">
        <v>190</v>
      </c>
      <c r="AW8" s="12" t="s">
        <v>51</v>
      </c>
    </row>
    <row r="9" s="12" customFormat="1" ht="18" customHeight="1" spans="1:49">
      <c r="A9" s="36">
        <v>6</v>
      </c>
      <c r="B9" s="37" t="s">
        <v>184</v>
      </c>
      <c r="C9" s="37" t="s">
        <v>131</v>
      </c>
      <c r="D9" s="37" t="s">
        <v>120</v>
      </c>
      <c r="E9" s="352" t="s">
        <v>132</v>
      </c>
      <c r="F9" s="38" t="s">
        <v>185</v>
      </c>
      <c r="G9" s="39">
        <v>13973652684</v>
      </c>
      <c r="H9" s="40"/>
      <c r="I9" s="40"/>
      <c r="J9" s="69"/>
      <c r="K9" s="40"/>
      <c r="L9" s="70">
        <v>6500</v>
      </c>
      <c r="M9" s="71">
        <v>324.24</v>
      </c>
      <c r="N9" s="71">
        <v>105.82</v>
      </c>
      <c r="O9" s="71">
        <v>12.16</v>
      </c>
      <c r="P9" s="71">
        <v>100</v>
      </c>
      <c r="Q9" s="89">
        <f t="shared" si="0"/>
        <v>542.22</v>
      </c>
      <c r="R9" s="70">
        <v>0</v>
      </c>
      <c r="S9" s="90">
        <f>L9+IFERROR(VLOOKUP($E:$E,'（居民）工资表-9月'!$E:$S,15,0),0)</f>
        <v>58500</v>
      </c>
      <c r="T9" s="91">
        <f>5000+IFERROR(VLOOKUP($E:$E,'（居民）工资表-9月'!$E:$T,16,0),0)</f>
        <v>45000</v>
      </c>
      <c r="U9" s="91">
        <f>Q9+IFERROR(VLOOKUP($E:$E,'（居民）工资表-9月'!$E:$U,17,0),0)</f>
        <v>4759.6</v>
      </c>
      <c r="V9" s="70"/>
      <c r="W9" s="70"/>
      <c r="X9" s="70"/>
      <c r="Y9" s="70"/>
      <c r="Z9" s="70"/>
      <c r="AA9" s="70"/>
      <c r="AB9" s="90">
        <f t="shared" si="1"/>
        <v>0</v>
      </c>
      <c r="AC9" s="90">
        <f>R9+IFERROR(VLOOKUP($E:$E,'（居民）工资表-9月'!$E:$AC,25,0),0)</f>
        <v>0</v>
      </c>
      <c r="AD9" s="95">
        <f t="shared" si="2"/>
        <v>8740.4</v>
      </c>
      <c r="AE9" s="96">
        <f>ROUND(MAX((AD9)*{0.03;0.1;0.2;0.25;0.3;0.35;0.45}-{0;2520;16920;31920;52920;85920;181920},0),2)</f>
        <v>262.21</v>
      </c>
      <c r="AF9" s="97">
        <f>IFERROR(VLOOKUP(E:E,'（居民）工资表-9月'!E:AF,28,0)+VLOOKUP(E:E,'（居民）工资表-9月'!E:AG,29,0),0)</f>
        <v>233.48</v>
      </c>
      <c r="AG9" s="97">
        <f t="shared" si="3"/>
        <v>28.73</v>
      </c>
      <c r="AH9" s="107">
        <f t="shared" si="4"/>
        <v>5929.05</v>
      </c>
      <c r="AI9" s="108"/>
      <c r="AJ9" s="107">
        <f t="shared" si="5"/>
        <v>5929.05</v>
      </c>
      <c r="AK9" s="109"/>
      <c r="AL9" s="107">
        <f t="shared" si="6"/>
        <v>5957.78</v>
      </c>
      <c r="AM9" s="109"/>
      <c r="AN9" s="109"/>
      <c r="AO9" s="109"/>
      <c r="AP9" s="109"/>
      <c r="AQ9" s="109"/>
      <c r="AR9" s="116" t="str">
        <f t="shared" si="7"/>
        <v>正确</v>
      </c>
      <c r="AS9" s="116" t="str">
        <f t="shared" si="8"/>
        <v>不</v>
      </c>
      <c r="AT9" s="116" t="str">
        <f t="shared" si="9"/>
        <v>重复</v>
      </c>
      <c r="AV9" s="12" t="s">
        <v>191</v>
      </c>
      <c r="AW9" s="12" t="s">
        <v>51</v>
      </c>
    </row>
    <row r="10" s="12" customFormat="1" ht="18" customHeight="1" spans="1:49">
      <c r="A10" s="36">
        <v>7</v>
      </c>
      <c r="B10" s="37" t="s">
        <v>184</v>
      </c>
      <c r="C10" s="37" t="s">
        <v>192</v>
      </c>
      <c r="D10" s="37" t="s">
        <v>120</v>
      </c>
      <c r="E10" s="352" t="s">
        <v>193</v>
      </c>
      <c r="F10" s="38" t="s">
        <v>187</v>
      </c>
      <c r="G10" s="39" t="s">
        <v>194</v>
      </c>
      <c r="H10" s="40"/>
      <c r="I10" s="40"/>
      <c r="J10" s="69"/>
      <c r="K10" s="40"/>
      <c r="L10" s="70">
        <v>4447.97</v>
      </c>
      <c r="M10" s="71">
        <v>401.04</v>
      </c>
      <c r="N10" s="71">
        <v>122.26</v>
      </c>
      <c r="O10" s="71">
        <v>25.07</v>
      </c>
      <c r="P10" s="71">
        <v>116</v>
      </c>
      <c r="Q10" s="89">
        <f t="shared" si="0"/>
        <v>664.37</v>
      </c>
      <c r="R10" s="70">
        <v>0</v>
      </c>
      <c r="S10" s="90">
        <f>L10+IFERROR(VLOOKUP($E:$E,'（居民）工资表-9月'!$E:$S,15,0),0)</f>
        <v>40389.01</v>
      </c>
      <c r="T10" s="91">
        <f>5000+IFERROR(VLOOKUP($E:$E,'（居民）工资表-9月'!$E:$T,16,0),0)</f>
        <v>45000</v>
      </c>
      <c r="U10" s="91">
        <f>Q10+IFERROR(VLOOKUP($E:$E,'（居民）工资表-9月'!$E:$U,17,0),0)</f>
        <v>5813.78</v>
      </c>
      <c r="V10" s="70"/>
      <c r="W10" s="70"/>
      <c r="X10" s="70"/>
      <c r="Y10" s="70"/>
      <c r="Z10" s="70"/>
      <c r="AA10" s="70"/>
      <c r="AB10" s="90">
        <f t="shared" si="1"/>
        <v>0</v>
      </c>
      <c r="AC10" s="90">
        <f>R10+IFERROR(VLOOKUP($E:$E,'（居民）工资表-9月'!$E:$AC,25,0),0)</f>
        <v>0</v>
      </c>
      <c r="AD10" s="95">
        <f t="shared" si="2"/>
        <v>-10424.77</v>
      </c>
      <c r="AE10" s="96">
        <f>ROUND(MAX((AD10)*{0.03;0.1;0.2;0.25;0.3;0.35;0.45}-{0;2520;16920;31920;52920;85920;181920},0),2)</f>
        <v>0</v>
      </c>
      <c r="AF10" s="97">
        <f>IFERROR(VLOOKUP(E:E,'（居民）工资表-9月'!E:AF,28,0)+VLOOKUP(E:E,'（居民）工资表-9月'!E:AG,29,0),0)</f>
        <v>0</v>
      </c>
      <c r="AG10" s="97">
        <f t="shared" si="3"/>
        <v>0</v>
      </c>
      <c r="AH10" s="107">
        <f t="shared" si="4"/>
        <v>3783.6</v>
      </c>
      <c r="AI10" s="108"/>
      <c r="AJ10" s="107">
        <f t="shared" si="5"/>
        <v>3783.6</v>
      </c>
      <c r="AK10" s="109"/>
      <c r="AL10" s="107">
        <f t="shared" si="6"/>
        <v>3783.6</v>
      </c>
      <c r="AM10" s="109"/>
      <c r="AN10" s="109"/>
      <c r="AO10" s="109"/>
      <c r="AP10" s="109"/>
      <c r="AQ10" s="109"/>
      <c r="AR10" s="116" t="str">
        <f t="shared" si="7"/>
        <v>正确</v>
      </c>
      <c r="AS10" s="116" t="str">
        <f t="shared" si="8"/>
        <v>不</v>
      </c>
      <c r="AT10" s="116" t="str">
        <f t="shared" si="9"/>
        <v>重复</v>
      </c>
      <c r="AV10" s="12" t="s">
        <v>195</v>
      </c>
      <c r="AW10" s="12" t="s">
        <v>224</v>
      </c>
    </row>
    <row r="11" s="12" customFormat="1" ht="18" customHeight="1" spans="1:49">
      <c r="A11" s="36">
        <v>8</v>
      </c>
      <c r="B11" s="37" t="s">
        <v>184</v>
      </c>
      <c r="C11" s="37" t="s">
        <v>133</v>
      </c>
      <c r="D11" s="37" t="s">
        <v>120</v>
      </c>
      <c r="E11" s="352" t="s">
        <v>134</v>
      </c>
      <c r="F11" s="38" t="s">
        <v>185</v>
      </c>
      <c r="G11" s="39">
        <v>18356553626</v>
      </c>
      <c r="H11" s="40"/>
      <c r="I11" s="40"/>
      <c r="J11" s="69"/>
      <c r="K11" s="40"/>
      <c r="L11" s="70">
        <v>9000</v>
      </c>
      <c r="M11" s="71">
        <v>504.56</v>
      </c>
      <c r="N11" s="71">
        <v>166.14</v>
      </c>
      <c r="O11" s="71">
        <v>31.54</v>
      </c>
      <c r="P11" s="71">
        <v>97</v>
      </c>
      <c r="Q11" s="89">
        <f t="shared" ref="Q11:Q19" si="10">ROUND(SUM(M11:P11),2)</f>
        <v>799.24</v>
      </c>
      <c r="R11" s="70">
        <v>0</v>
      </c>
      <c r="S11" s="90">
        <f>L11+IFERROR(VLOOKUP($E:$E,'（居民）工资表-9月'!$E:$S,15,0),0)</f>
        <v>79500</v>
      </c>
      <c r="T11" s="91">
        <f>5000+IFERROR(VLOOKUP($E:$E,'（居民）工资表-9月'!$E:$T,16,0),0)</f>
        <v>45000</v>
      </c>
      <c r="U11" s="91">
        <f>Q11+IFERROR(VLOOKUP($E:$E,'（居民）工资表-9月'!$E:$U,17,0),0)</f>
        <v>5293.08</v>
      </c>
      <c r="V11" s="70"/>
      <c r="W11" s="70"/>
      <c r="X11" s="70"/>
      <c r="Y11" s="70"/>
      <c r="Z11" s="70"/>
      <c r="AA11" s="70"/>
      <c r="AB11" s="90">
        <f t="shared" ref="AB11:AB19" si="11">ROUND(SUM(V11:AA11),2)</f>
        <v>0</v>
      </c>
      <c r="AC11" s="90">
        <f>R11+IFERROR(VLOOKUP($E:$E,'（居民）工资表-9月'!$E:$AC,25,0),0)</f>
        <v>0</v>
      </c>
      <c r="AD11" s="95">
        <f t="shared" ref="AD11:AD19" si="12">ROUND(S11-T11-U11-AB11-AC11,2)</f>
        <v>29206.92</v>
      </c>
      <c r="AE11" s="96">
        <f>ROUND(MAX((AD11)*{0.03;0.1;0.2;0.25;0.3;0.35;0.45}-{0;2520;16920;31920;52920;85920;181920},0),2)</f>
        <v>876.21</v>
      </c>
      <c r="AF11" s="97">
        <f>IFERROR(VLOOKUP(E:E,'（居民）工资表-9月'!E:AF,28,0)+VLOOKUP(E:E,'（居民）工资表-9月'!E:AG,29,0),0)</f>
        <v>780.18</v>
      </c>
      <c r="AG11" s="97">
        <f t="shared" ref="AG11:AG19" si="13">IF((AE11-AF11)&lt;0,0,AE11-AF11)</f>
        <v>96.0300000000001</v>
      </c>
      <c r="AH11" s="107">
        <f t="shared" ref="AH11:AH19" si="14">ROUND(IF((L11-Q11-AG11)&lt;0,0,(L11-Q11-AG11)),2)</f>
        <v>8104.73</v>
      </c>
      <c r="AI11" s="108"/>
      <c r="AJ11" s="107">
        <f t="shared" ref="AJ11:AJ19" si="15">AH11+AI11</f>
        <v>8104.73</v>
      </c>
      <c r="AK11" s="109"/>
      <c r="AL11" s="107">
        <f t="shared" ref="AL11:AL19" si="16">AJ11+AG11+AK11</f>
        <v>8200.76</v>
      </c>
      <c r="AM11" s="109"/>
      <c r="AN11" s="109"/>
      <c r="AO11" s="109"/>
      <c r="AP11" s="109"/>
      <c r="AQ11" s="109"/>
      <c r="AR11" s="116" t="str">
        <f t="shared" ref="AR11:AR19" si="17">IF(LEN(E11)=18,IF(RIGHT(E11,1)="X",IF(CHOOSE(MOD(SUM(LEFT(RIGHT(E11,18))*7+LEFT(RIGHT(E11,17))*9+LEFT(RIGHT(E11,16))*10+LEFT(RIGHT(E11,15))*5+LEFT(RIGHT(E11,14))*8+LEFT(RIGHT(E11,13))*4+LEFT(RIGHT(E11,12))*2+LEFT(RIGHT(E11,11))*1+LEFT(RIGHT(E11,10))*6+LEFT(RIGHT(E11,9))*3+LEFT(RIGHT(E11,8))*7+LEFT(RIGHT(E11,7))*9+LEFT(RIGHT(E11,6))*10+LEFT(RIGHT(E11,5))*5+LEFT(RIGHT(E11,4))*8+LEFT(RIGHT(E11,3))*4+LEFT(RIGHT(E11,2))*2),11)+1,1,0,"X",9,8,7,6,5,4,3,2)=LEFT(RIGHT(E11,1)),"正确","错误"),IF(CHOOSE(MOD(SUM(LEFT(RIGHT(E11,18))*7+LEFT(RIGHT(E11,17))*9+LEFT(RIGHT(E11,16))*10+LEFT(RIGHT(E11,15))*5+LEFT(RIGHT(E11,14))*8+LEFT(RIGHT(E11,13))*4+LEFT(RIGHT(E11,12))*2+LEFT(RIGHT(E11,11))*1+LEFT(RIGHT(E11,10))*6+LEFT(RIGHT(E11,9))*3+LEFT(RIGHT(E11,8))*7+LEFT(RIGHT(E11,7))*9+LEFT(RIGHT(E11,6))*10+LEFT(RIGHT(E11,5))*5+LEFT(RIGHT(E11,4))*8+LEFT(RIGHT(E11,3))*4+LEFT(RIGHT(E11,2))*2),11)+1,1,0,"X",9,8,7,6,5,4,3,2)=LEFT(RIGHT(E11,1))*1,"正确","错误")),IF(LEN(E11)=15,"老号，请注意！",IF(LEN(E11)=0,"未填写身份证号码","位数不对！")))</f>
        <v>正确</v>
      </c>
      <c r="AS11" s="116" t="str">
        <f t="shared" ref="AS11:AS19" si="18">IF(SUMPRODUCT(N(E$1:E$7=E11))&gt;1,"重复","不")</f>
        <v>不</v>
      </c>
      <c r="AT11" s="116" t="str">
        <f t="shared" ref="AT11:AT19" si="19">IF(SUMPRODUCT(N(AO$1:AO$7=AO11))&gt;1,"重复","不")</f>
        <v>重复</v>
      </c>
      <c r="AV11" s="12" t="s">
        <v>197</v>
      </c>
      <c r="AW11" s="12" t="s">
        <v>198</v>
      </c>
    </row>
    <row r="12" s="12" customFormat="1" ht="18" customHeight="1" spans="1:49">
      <c r="A12" s="36">
        <v>9</v>
      </c>
      <c r="B12" s="37" t="s">
        <v>184</v>
      </c>
      <c r="C12" s="37" t="s">
        <v>135</v>
      </c>
      <c r="D12" s="37" t="s">
        <v>120</v>
      </c>
      <c r="E12" s="352" t="s">
        <v>136</v>
      </c>
      <c r="F12" s="38" t="s">
        <v>185</v>
      </c>
      <c r="G12" s="39">
        <v>18326897140</v>
      </c>
      <c r="H12" s="40"/>
      <c r="I12" s="40"/>
      <c r="J12" s="69"/>
      <c r="K12" s="40"/>
      <c r="L12" s="70">
        <v>7500</v>
      </c>
      <c r="M12" s="71">
        <v>504.56</v>
      </c>
      <c r="N12" s="71">
        <v>132.14</v>
      </c>
      <c r="O12" s="71">
        <v>31.54</v>
      </c>
      <c r="P12" s="71">
        <v>344</v>
      </c>
      <c r="Q12" s="89">
        <f t="shared" si="10"/>
        <v>1012.24</v>
      </c>
      <c r="R12" s="70">
        <v>0</v>
      </c>
      <c r="S12" s="90">
        <f>L12+IFERROR(VLOOKUP($E:$E,'（居民）工资表-9月'!$E:$S,15,0),0)</f>
        <v>66000</v>
      </c>
      <c r="T12" s="91">
        <f>5000+IFERROR(VLOOKUP($E:$E,'（居民）工资表-9月'!$E:$T,16,0),0)</f>
        <v>45000</v>
      </c>
      <c r="U12" s="91">
        <f>Q12+IFERROR(VLOOKUP($E:$E,'（居民）工资表-9月'!$E:$U,17,0),0)</f>
        <v>7210.08</v>
      </c>
      <c r="V12" s="70"/>
      <c r="W12" s="70"/>
      <c r="X12" s="70"/>
      <c r="Y12" s="70"/>
      <c r="Z12" s="70"/>
      <c r="AA12" s="70"/>
      <c r="AB12" s="90">
        <f t="shared" si="11"/>
        <v>0</v>
      </c>
      <c r="AC12" s="90">
        <f>R12+IFERROR(VLOOKUP($E:$E,'（居民）工资表-9月'!$E:$AC,25,0),0)</f>
        <v>0</v>
      </c>
      <c r="AD12" s="95">
        <f t="shared" si="12"/>
        <v>13789.92</v>
      </c>
      <c r="AE12" s="96">
        <f>ROUND(MAX((AD12)*{0.03;0.1;0.2;0.25;0.3;0.35;0.45}-{0;2520;16920;31920;52920;85920;181920},0),2)</f>
        <v>413.7</v>
      </c>
      <c r="AF12" s="97">
        <f>IFERROR(VLOOKUP(E:E,'（居民）工资表-9月'!E:AF,28,0)+VLOOKUP(E:E,'（居民）工资表-9月'!E:AG,29,0),0)</f>
        <v>369.06</v>
      </c>
      <c r="AG12" s="97">
        <f t="shared" si="13"/>
        <v>44.64</v>
      </c>
      <c r="AH12" s="107">
        <f t="shared" si="14"/>
        <v>6443.12</v>
      </c>
      <c r="AI12" s="108"/>
      <c r="AJ12" s="107">
        <f t="shared" si="15"/>
        <v>6443.12</v>
      </c>
      <c r="AK12" s="109"/>
      <c r="AL12" s="107">
        <f t="shared" si="16"/>
        <v>6487.76</v>
      </c>
      <c r="AM12" s="109"/>
      <c r="AN12" s="109"/>
      <c r="AO12" s="109"/>
      <c r="AP12" s="109"/>
      <c r="AQ12" s="109"/>
      <c r="AR12" s="116" t="str">
        <f t="shared" si="17"/>
        <v>正确</v>
      </c>
      <c r="AS12" s="116" t="str">
        <f t="shared" si="18"/>
        <v>不</v>
      </c>
      <c r="AT12" s="116" t="str">
        <f t="shared" si="19"/>
        <v>重复</v>
      </c>
      <c r="AV12" s="12" t="s">
        <v>190</v>
      </c>
      <c r="AW12" s="12" t="s">
        <v>51</v>
      </c>
    </row>
    <row r="13" s="12" customFormat="1" ht="18" customHeight="1" spans="1:49">
      <c r="A13" s="36">
        <v>10</v>
      </c>
      <c r="B13" s="37" t="s">
        <v>184</v>
      </c>
      <c r="C13" s="37" t="s">
        <v>137</v>
      </c>
      <c r="D13" s="37" t="s">
        <v>120</v>
      </c>
      <c r="E13" s="352" t="s">
        <v>138</v>
      </c>
      <c r="F13" s="38" t="s">
        <v>185</v>
      </c>
      <c r="G13" s="39">
        <v>17201857014</v>
      </c>
      <c r="H13" s="40"/>
      <c r="I13" s="40"/>
      <c r="J13" s="69"/>
      <c r="K13" s="40"/>
      <c r="L13" s="70">
        <v>8000</v>
      </c>
      <c r="M13" s="71">
        <v>504.56</v>
      </c>
      <c r="N13" s="71">
        <v>132.14</v>
      </c>
      <c r="O13" s="71">
        <v>41.24</v>
      </c>
      <c r="P13" s="71">
        <v>344</v>
      </c>
      <c r="Q13" s="89">
        <f t="shared" si="10"/>
        <v>1021.94</v>
      </c>
      <c r="R13" s="70">
        <v>0</v>
      </c>
      <c r="S13" s="90">
        <f>L13+IFERROR(VLOOKUP($E:$E,'（居民）工资表-9月'!$E:$S,15,0),0)</f>
        <v>69000</v>
      </c>
      <c r="T13" s="91">
        <f>5000+IFERROR(VLOOKUP($E:$E,'（居民）工资表-9月'!$E:$T,16,0),0)</f>
        <v>45000</v>
      </c>
      <c r="U13" s="91">
        <f>Q13+IFERROR(VLOOKUP($E:$E,'（居民）工资表-9月'!$E:$U,17,0),0)</f>
        <v>7219.78</v>
      </c>
      <c r="V13" s="70"/>
      <c r="W13" s="70"/>
      <c r="X13" s="70"/>
      <c r="Y13" s="70"/>
      <c r="Z13" s="70"/>
      <c r="AA13" s="70"/>
      <c r="AB13" s="90">
        <f t="shared" si="11"/>
        <v>0</v>
      </c>
      <c r="AC13" s="90">
        <f>R13+IFERROR(VLOOKUP($E:$E,'（居民）工资表-9月'!$E:$AC,25,0),0)</f>
        <v>0</v>
      </c>
      <c r="AD13" s="95">
        <f t="shared" si="12"/>
        <v>16780.22</v>
      </c>
      <c r="AE13" s="96">
        <f>ROUND(MAX((AD13)*{0.03;0.1;0.2;0.25;0.3;0.35;0.45}-{0;2520;16920;31920;52920;85920;181920},0),2)</f>
        <v>503.41</v>
      </c>
      <c r="AF13" s="97">
        <f>IFERROR(VLOOKUP(E:E,'（居民）工资表-9月'!E:AF,28,0)+VLOOKUP(E:E,'（居民）工资表-9月'!E:AG,29,0),0)</f>
        <v>444.06</v>
      </c>
      <c r="AG13" s="97">
        <f t="shared" si="13"/>
        <v>59.35</v>
      </c>
      <c r="AH13" s="107">
        <f t="shared" si="14"/>
        <v>6918.71</v>
      </c>
      <c r="AI13" s="108"/>
      <c r="AJ13" s="107">
        <f t="shared" si="15"/>
        <v>6918.71</v>
      </c>
      <c r="AK13" s="109"/>
      <c r="AL13" s="107">
        <f t="shared" si="16"/>
        <v>6978.06</v>
      </c>
      <c r="AM13" s="109"/>
      <c r="AN13" s="109"/>
      <c r="AO13" s="109"/>
      <c r="AP13" s="109"/>
      <c r="AQ13" s="109"/>
      <c r="AR13" s="116" t="str">
        <f t="shared" si="17"/>
        <v>正确</v>
      </c>
      <c r="AS13" s="116" t="str">
        <f t="shared" si="18"/>
        <v>不</v>
      </c>
      <c r="AT13" s="116" t="str">
        <f t="shared" si="19"/>
        <v>重复</v>
      </c>
      <c r="AV13" s="12" t="s">
        <v>190</v>
      </c>
      <c r="AW13" s="12" t="s">
        <v>51</v>
      </c>
    </row>
    <row r="14" s="12" customFormat="1" ht="18" customHeight="1" spans="1:49">
      <c r="A14" s="36">
        <v>11</v>
      </c>
      <c r="B14" s="37" t="s">
        <v>184</v>
      </c>
      <c r="C14" s="37" t="s">
        <v>139</v>
      </c>
      <c r="D14" s="37" t="s">
        <v>120</v>
      </c>
      <c r="E14" s="352" t="s">
        <v>140</v>
      </c>
      <c r="F14" s="38" t="s">
        <v>187</v>
      </c>
      <c r="G14" s="39"/>
      <c r="H14" s="40"/>
      <c r="I14" s="40"/>
      <c r="J14" s="69"/>
      <c r="K14" s="40"/>
      <c r="L14" s="70">
        <v>6000</v>
      </c>
      <c r="M14" s="71">
        <v>504.56</v>
      </c>
      <c r="N14" s="71">
        <v>126.14</v>
      </c>
      <c r="O14" s="71">
        <v>31.54</v>
      </c>
      <c r="P14" s="71">
        <v>103</v>
      </c>
      <c r="Q14" s="89">
        <f t="shared" si="10"/>
        <v>765.24</v>
      </c>
      <c r="R14" s="70">
        <v>0</v>
      </c>
      <c r="S14" s="90">
        <f>L14+IFERROR(VLOOKUP($E:$E,'（居民）工资表-9月'!$E:$S,15,0),0)</f>
        <v>54000</v>
      </c>
      <c r="T14" s="91">
        <f>5000+IFERROR(VLOOKUP($E:$E,'（居民）工资表-9月'!$E:$T,16,0),0)</f>
        <v>45000</v>
      </c>
      <c r="U14" s="91">
        <f>Q14+IFERROR(VLOOKUP($E:$E,'（居民）工资表-9月'!$E:$U,17,0),0)</f>
        <v>4987.08</v>
      </c>
      <c r="V14" s="70"/>
      <c r="W14" s="70"/>
      <c r="X14" s="70"/>
      <c r="Y14" s="70"/>
      <c r="Z14" s="70"/>
      <c r="AA14" s="70"/>
      <c r="AB14" s="90">
        <f t="shared" si="11"/>
        <v>0</v>
      </c>
      <c r="AC14" s="90">
        <f>R14+IFERROR(VLOOKUP($E:$E,'（居民）工资表-9月'!$E:$AC,25,0),0)</f>
        <v>0</v>
      </c>
      <c r="AD14" s="95">
        <f t="shared" si="12"/>
        <v>4012.92</v>
      </c>
      <c r="AE14" s="96">
        <f>ROUND(MAX((AD14)*{0.03;0.1;0.2;0.25;0.3;0.35;0.45}-{0;2520;16920;31920;52920;85920;181920},0),2)</f>
        <v>120.39</v>
      </c>
      <c r="AF14" s="97">
        <f>IFERROR(VLOOKUP(E:E,'（居民）工资表-9月'!E:AF,28,0)+VLOOKUP(E:E,'（居民）工资表-9月'!E:AG,29,0),0)</f>
        <v>113.34</v>
      </c>
      <c r="AG14" s="97">
        <f t="shared" si="13"/>
        <v>7.05</v>
      </c>
      <c r="AH14" s="107">
        <f t="shared" si="14"/>
        <v>5227.71</v>
      </c>
      <c r="AI14" s="108"/>
      <c r="AJ14" s="107">
        <f t="shared" si="15"/>
        <v>5227.71</v>
      </c>
      <c r="AK14" s="109"/>
      <c r="AL14" s="107">
        <f t="shared" si="16"/>
        <v>5234.76</v>
      </c>
      <c r="AM14" s="109"/>
      <c r="AN14" s="109"/>
      <c r="AO14" s="109"/>
      <c r="AP14" s="109"/>
      <c r="AQ14" s="109"/>
      <c r="AR14" s="116" t="str">
        <f t="shared" si="17"/>
        <v>正确</v>
      </c>
      <c r="AS14" s="116" t="str">
        <f t="shared" si="18"/>
        <v>不</v>
      </c>
      <c r="AT14" s="116" t="str">
        <f t="shared" si="19"/>
        <v>重复</v>
      </c>
      <c r="AV14" s="12" t="s">
        <v>190</v>
      </c>
      <c r="AW14" s="12" t="s">
        <v>51</v>
      </c>
    </row>
    <row r="15" s="12" customFormat="1" ht="18" customHeight="1" spans="1:49">
      <c r="A15" s="36">
        <v>12</v>
      </c>
      <c r="B15" s="37" t="s">
        <v>184</v>
      </c>
      <c r="C15" s="37" t="s">
        <v>141</v>
      </c>
      <c r="D15" s="37" t="s">
        <v>120</v>
      </c>
      <c r="E15" s="352" t="s">
        <v>142</v>
      </c>
      <c r="F15" s="38" t="s">
        <v>185</v>
      </c>
      <c r="G15" s="39">
        <v>15056587375</v>
      </c>
      <c r="H15" s="40"/>
      <c r="I15" s="40"/>
      <c r="J15" s="69"/>
      <c r="K15" s="40"/>
      <c r="L15" s="70">
        <v>10000</v>
      </c>
      <c r="M15" s="71">
        <v>504.56</v>
      </c>
      <c r="N15" s="71">
        <v>139.8</v>
      </c>
      <c r="O15" s="71">
        <v>31.54</v>
      </c>
      <c r="P15" s="71">
        <v>97</v>
      </c>
      <c r="Q15" s="89">
        <f t="shared" si="10"/>
        <v>772.9</v>
      </c>
      <c r="R15" s="70">
        <v>0</v>
      </c>
      <c r="S15" s="90">
        <f>L15+IFERROR(VLOOKUP($E:$E,'（居民）工资表-9月'!$E:$S,15,0),0)</f>
        <v>89904.76</v>
      </c>
      <c r="T15" s="91">
        <f>5000+IFERROR(VLOOKUP($E:$E,'（居民）工资表-9月'!$E:$T,16,0),0)</f>
        <v>45000</v>
      </c>
      <c r="U15" s="91">
        <f>Q15+IFERROR(VLOOKUP($E:$E,'（居民）工资表-9月'!$E:$U,17,0),0)</f>
        <v>5016.87</v>
      </c>
      <c r="V15" s="70"/>
      <c r="W15" s="70"/>
      <c r="X15" s="70"/>
      <c r="Y15" s="70"/>
      <c r="Z15" s="70"/>
      <c r="AA15" s="70"/>
      <c r="AB15" s="90">
        <f t="shared" si="11"/>
        <v>0</v>
      </c>
      <c r="AC15" s="90">
        <f>R15+IFERROR(VLOOKUP($E:$E,'（居民）工资表-9月'!$E:$AC,25,0),0)</f>
        <v>0</v>
      </c>
      <c r="AD15" s="95">
        <f t="shared" si="12"/>
        <v>39887.89</v>
      </c>
      <c r="AE15" s="96">
        <f>ROUND(MAX((AD15)*{0.03;0.1;0.2;0.25;0.3;0.35;0.45}-{0;2520;16920;31920;52920;85920;181920},0),2)</f>
        <v>1468.79</v>
      </c>
      <c r="AF15" s="97">
        <f>IFERROR(VLOOKUP(E:E,'（居民）工资表-9月'!E:AF,28,0)+VLOOKUP(E:E,'（居民）工资表-9月'!E:AG,29,0),0)</f>
        <v>1069.82</v>
      </c>
      <c r="AG15" s="97">
        <f t="shared" si="13"/>
        <v>398.97</v>
      </c>
      <c r="AH15" s="107">
        <f t="shared" si="14"/>
        <v>8828.13</v>
      </c>
      <c r="AI15" s="108"/>
      <c r="AJ15" s="107">
        <f t="shared" si="15"/>
        <v>8828.13</v>
      </c>
      <c r="AK15" s="109"/>
      <c r="AL15" s="107">
        <f t="shared" si="16"/>
        <v>9227.1</v>
      </c>
      <c r="AM15" s="109"/>
      <c r="AN15" s="109"/>
      <c r="AO15" s="109"/>
      <c r="AP15" s="109"/>
      <c r="AQ15" s="109"/>
      <c r="AR15" s="116" t="str">
        <f t="shared" si="17"/>
        <v>正确</v>
      </c>
      <c r="AS15" s="116" t="str">
        <f t="shared" si="18"/>
        <v>不</v>
      </c>
      <c r="AT15" s="116" t="str">
        <f t="shared" si="19"/>
        <v>重复</v>
      </c>
      <c r="AV15" s="12" t="s">
        <v>190</v>
      </c>
      <c r="AW15" s="12" t="s">
        <v>51</v>
      </c>
    </row>
    <row r="16" s="12" customFormat="1" ht="18" customHeight="1" spans="1:49">
      <c r="A16" s="36">
        <v>13</v>
      </c>
      <c r="B16" s="37" t="s">
        <v>184</v>
      </c>
      <c r="C16" s="37" t="s">
        <v>204</v>
      </c>
      <c r="D16" s="37" t="s">
        <v>120</v>
      </c>
      <c r="E16" s="37" t="s">
        <v>205</v>
      </c>
      <c r="F16" s="38" t="s">
        <v>185</v>
      </c>
      <c r="G16" s="39">
        <v>13711361074</v>
      </c>
      <c r="H16" s="40"/>
      <c r="I16" s="40"/>
      <c r="J16" s="69"/>
      <c r="K16" s="40"/>
      <c r="L16" s="70">
        <v>7560.35</v>
      </c>
      <c r="M16" s="71">
        <v>337.92</v>
      </c>
      <c r="N16" s="71">
        <v>91.48</v>
      </c>
      <c r="O16" s="71">
        <v>12.67</v>
      </c>
      <c r="P16" s="71">
        <v>110.5</v>
      </c>
      <c r="Q16" s="89">
        <f t="shared" si="10"/>
        <v>552.57</v>
      </c>
      <c r="R16" s="70">
        <v>0</v>
      </c>
      <c r="S16" s="90">
        <f>L16+IFERROR(VLOOKUP($E:$E,'（居民）工资表-9月'!$E:$S,15,0),0)</f>
        <v>35910.65</v>
      </c>
      <c r="T16" s="91">
        <f>5000+IFERROR(VLOOKUP($E:$E,'（居民）工资表-9月'!$E:$T,16,0),0)</f>
        <v>30000</v>
      </c>
      <c r="U16" s="91">
        <f>Q16+IFERROR(VLOOKUP($E:$E,'（居民）工资表-9月'!$E:$U,17,0),0)</f>
        <v>3867.99</v>
      </c>
      <c r="V16" s="70"/>
      <c r="W16" s="70"/>
      <c r="X16" s="70"/>
      <c r="Y16" s="70"/>
      <c r="Z16" s="70"/>
      <c r="AA16" s="70"/>
      <c r="AB16" s="90">
        <f t="shared" si="11"/>
        <v>0</v>
      </c>
      <c r="AC16" s="90">
        <f>R16+IFERROR(VLOOKUP($E:$E,'（居民）工资表-9月'!$E:$AC,25,0),0)</f>
        <v>0</v>
      </c>
      <c r="AD16" s="95">
        <f t="shared" si="12"/>
        <v>2042.66</v>
      </c>
      <c r="AE16" s="96">
        <f>ROUND(MAX((AD16)*{0.03;0.1;0.2;0.25;0.3;0.35;0.45}-{0;2520;16920;31920;52920;85920;181920},0),2)</f>
        <v>61.28</v>
      </c>
      <c r="AF16" s="97">
        <f>IFERROR(VLOOKUP(E:E,'（居民）工资表-9月'!E:AF,28,0)+VLOOKUP(E:E,'（居民）工资表-9月'!E:AG,29,0),0)</f>
        <v>1.05</v>
      </c>
      <c r="AG16" s="97">
        <f t="shared" si="13"/>
        <v>60.23</v>
      </c>
      <c r="AH16" s="107">
        <f t="shared" si="14"/>
        <v>6947.55</v>
      </c>
      <c r="AI16" s="108"/>
      <c r="AJ16" s="107">
        <f t="shared" si="15"/>
        <v>6947.55</v>
      </c>
      <c r="AK16" s="109"/>
      <c r="AL16" s="107">
        <f t="shared" si="16"/>
        <v>7007.78</v>
      </c>
      <c r="AM16" s="109"/>
      <c r="AN16" s="109"/>
      <c r="AO16" s="109"/>
      <c r="AP16" s="109"/>
      <c r="AQ16" s="109"/>
      <c r="AR16" s="116" t="str">
        <f t="shared" si="17"/>
        <v>正确</v>
      </c>
      <c r="AS16" s="116" t="str">
        <f t="shared" si="18"/>
        <v>不</v>
      </c>
      <c r="AT16" s="116" t="str">
        <f t="shared" si="19"/>
        <v>重复</v>
      </c>
      <c r="AV16" s="12" t="s">
        <v>190</v>
      </c>
      <c r="AW16" s="12" t="s">
        <v>51</v>
      </c>
    </row>
    <row r="17" s="12" customFormat="1" ht="18" customHeight="1" spans="1:46">
      <c r="A17" s="36"/>
      <c r="B17" s="37"/>
      <c r="C17" s="128"/>
      <c r="D17" s="37"/>
      <c r="E17" s="37"/>
      <c r="F17" s="38"/>
      <c r="G17" s="39"/>
      <c r="H17" s="40"/>
      <c r="I17" s="40"/>
      <c r="J17" s="69"/>
      <c r="K17" s="40"/>
      <c r="L17" s="70"/>
      <c r="M17" s="71"/>
      <c r="N17" s="71"/>
      <c r="O17" s="71"/>
      <c r="P17" s="71"/>
      <c r="Q17" s="89"/>
      <c r="R17" s="70"/>
      <c r="S17" s="90"/>
      <c r="T17" s="91"/>
      <c r="U17" s="91"/>
      <c r="V17" s="70"/>
      <c r="W17" s="70"/>
      <c r="X17" s="70"/>
      <c r="Y17" s="70"/>
      <c r="Z17" s="70"/>
      <c r="AA17" s="70"/>
      <c r="AB17" s="90"/>
      <c r="AC17" s="90"/>
      <c r="AD17" s="95"/>
      <c r="AE17" s="96"/>
      <c r="AF17" s="97"/>
      <c r="AG17" s="97"/>
      <c r="AH17" s="107"/>
      <c r="AI17" s="108"/>
      <c r="AJ17" s="107"/>
      <c r="AK17" s="109"/>
      <c r="AL17" s="107"/>
      <c r="AM17" s="109"/>
      <c r="AN17" s="109"/>
      <c r="AO17" s="109"/>
      <c r="AP17" s="109"/>
      <c r="AQ17" s="109"/>
      <c r="AR17" s="116"/>
      <c r="AS17" s="116"/>
      <c r="AT17" s="116"/>
    </row>
    <row r="18" s="13" customFormat="1" ht="18" customHeight="1" spans="1:46">
      <c r="A18" s="41"/>
      <c r="B18" s="42" t="s">
        <v>143</v>
      </c>
      <c r="C18" s="42"/>
      <c r="D18" s="43"/>
      <c r="E18" s="44"/>
      <c r="F18" s="45"/>
      <c r="G18" s="46"/>
      <c r="H18" s="45"/>
      <c r="I18" s="72"/>
      <c r="J18" s="73"/>
      <c r="K18" s="72"/>
      <c r="L18" s="74">
        <f>SUM(L4:L17)</f>
        <v>122668.32</v>
      </c>
      <c r="M18" s="74">
        <f>SUM(M4:M17)</f>
        <v>5953.13</v>
      </c>
      <c r="N18" s="74">
        <f>SUM(N4:N17)</f>
        <v>1641.6</v>
      </c>
      <c r="O18" s="74">
        <f>SUM(O4:O17)</f>
        <v>334.82</v>
      </c>
      <c r="P18" s="74">
        <f>SUM(P4:P17)</f>
        <v>2232.9</v>
      </c>
      <c r="Q18" s="74">
        <f t="shared" ref="Q18:AL18" si="20">SUM(Q4:Q17)</f>
        <v>10162.45</v>
      </c>
      <c r="R18" s="74">
        <f t="shared" si="20"/>
        <v>0</v>
      </c>
      <c r="S18" s="74">
        <f t="shared" si="20"/>
        <v>1069004.42</v>
      </c>
      <c r="T18" s="74">
        <f t="shared" si="20"/>
        <v>570000</v>
      </c>
      <c r="U18" s="74">
        <f t="shared" si="20"/>
        <v>76564.69</v>
      </c>
      <c r="V18" s="74">
        <f t="shared" si="20"/>
        <v>10000</v>
      </c>
      <c r="W18" s="74">
        <f t="shared" si="20"/>
        <v>0</v>
      </c>
      <c r="X18" s="74">
        <f t="shared" si="20"/>
        <v>10000</v>
      </c>
      <c r="Y18" s="74">
        <f t="shared" si="20"/>
        <v>0</v>
      </c>
      <c r="Z18" s="74">
        <f t="shared" si="20"/>
        <v>4000</v>
      </c>
      <c r="AA18" s="74">
        <f t="shared" si="20"/>
        <v>0</v>
      </c>
      <c r="AB18" s="74">
        <f t="shared" si="20"/>
        <v>24000</v>
      </c>
      <c r="AC18" s="74">
        <f t="shared" si="20"/>
        <v>0</v>
      </c>
      <c r="AD18" s="74">
        <f t="shared" si="20"/>
        <v>398439.73</v>
      </c>
      <c r="AE18" s="74">
        <f t="shared" si="20"/>
        <v>33219.76</v>
      </c>
      <c r="AF18" s="74">
        <f t="shared" si="20"/>
        <v>27721.93</v>
      </c>
      <c r="AG18" s="74">
        <f t="shared" si="20"/>
        <v>6073.05</v>
      </c>
      <c r="AH18" s="74">
        <f t="shared" si="20"/>
        <v>106432.82</v>
      </c>
      <c r="AI18" s="74">
        <f t="shared" si="20"/>
        <v>0</v>
      </c>
      <c r="AJ18" s="74">
        <f t="shared" si="20"/>
        <v>106432.82</v>
      </c>
      <c r="AK18" s="74">
        <f t="shared" si="20"/>
        <v>0</v>
      </c>
      <c r="AL18" s="74">
        <f t="shared" si="20"/>
        <v>112505.87</v>
      </c>
      <c r="AM18" s="110"/>
      <c r="AN18" s="110"/>
      <c r="AO18" s="110"/>
      <c r="AP18" s="110"/>
      <c r="AQ18" s="110"/>
      <c r="AR18" s="45"/>
      <c r="AS18" s="45"/>
      <c r="AT18" s="118"/>
    </row>
    <row r="21" spans="30:30">
      <c r="AD21" s="101"/>
    </row>
    <row r="22" ht="18.75" customHeight="1" spans="2:30">
      <c r="B22" s="47" t="s">
        <v>144</v>
      </c>
      <c r="C22" s="47" t="s">
        <v>145</v>
      </c>
      <c r="D22" s="47" t="s">
        <v>22</v>
      </c>
      <c r="E22" s="47" t="s">
        <v>23</v>
      </c>
      <c r="AD22" s="10"/>
    </row>
    <row r="23" ht="18.75" customHeight="1" spans="2:5">
      <c r="B23" s="48">
        <f>AJ18</f>
        <v>106432.82</v>
      </c>
      <c r="C23" s="48">
        <f>AG18</f>
        <v>6073.05</v>
      </c>
      <c r="D23" s="48">
        <f>AK18</f>
        <v>0</v>
      </c>
      <c r="E23" s="48">
        <f>B23+C23+D23</f>
        <v>112505.87</v>
      </c>
    </row>
    <row r="24" spans="2:5">
      <c r="B24" s="49"/>
      <c r="C24" s="49"/>
      <c r="D24" s="49"/>
      <c r="E24" s="49"/>
    </row>
    <row r="25" s="14" customFormat="1" spans="1:35">
      <c r="A25" s="51" t="s">
        <v>206</v>
      </c>
      <c r="B25" s="52" t="s">
        <v>207</v>
      </c>
      <c r="C25" s="50"/>
      <c r="D25" s="50"/>
      <c r="E25" s="50"/>
      <c r="G25" s="53"/>
      <c r="J25" s="75"/>
      <c r="M25" s="76"/>
      <c r="AI25" s="112"/>
    </row>
    <row r="26" s="14" customFormat="1" spans="1:35">
      <c r="A26" s="54"/>
      <c r="B26" s="55" t="s">
        <v>208</v>
      </c>
      <c r="C26" s="50"/>
      <c r="D26" s="50"/>
      <c r="E26" s="50"/>
      <c r="G26" s="53"/>
      <c r="J26" s="75"/>
      <c r="M26" s="76"/>
      <c r="AI26" s="112"/>
    </row>
    <row r="27" s="14" customFormat="1" spans="1:35">
      <c r="A27" s="52"/>
      <c r="B27" s="55" t="s">
        <v>209</v>
      </c>
      <c r="C27" s="56"/>
      <c r="D27" s="56"/>
      <c r="E27" s="56"/>
      <c r="F27" s="56"/>
      <c r="G27" s="56"/>
      <c r="H27" s="56"/>
      <c r="I27" s="56"/>
      <c r="J27" s="77"/>
      <c r="K27" s="56"/>
      <c r="L27" s="56"/>
      <c r="M27" s="78"/>
      <c r="N27" s="56"/>
      <c r="O27" s="56"/>
      <c r="P27" s="56"/>
      <c r="AI27" s="112"/>
    </row>
    <row r="28" s="14" customFormat="1" customHeight="1" spans="1:35">
      <c r="A28" s="55"/>
      <c r="B28" s="55" t="s">
        <v>210</v>
      </c>
      <c r="C28" s="57"/>
      <c r="D28" s="57"/>
      <c r="E28" s="57"/>
      <c r="F28" s="57"/>
      <c r="G28" s="57"/>
      <c r="H28" s="57"/>
      <c r="I28" s="79"/>
      <c r="J28" s="80"/>
      <c r="K28" s="79"/>
      <c r="L28" s="79"/>
      <c r="M28" s="81"/>
      <c r="N28" s="79"/>
      <c r="O28" s="79"/>
      <c r="P28" s="79"/>
      <c r="AI28" s="112"/>
    </row>
    <row r="29" s="14" customFormat="1" customHeight="1" spans="1:35">
      <c r="A29" s="55"/>
      <c r="B29" s="55" t="s">
        <v>211</v>
      </c>
      <c r="C29" s="57"/>
      <c r="D29" s="57"/>
      <c r="E29" s="57"/>
      <c r="F29" s="57"/>
      <c r="G29" s="57"/>
      <c r="H29" s="57"/>
      <c r="I29" s="57"/>
      <c r="J29" s="82"/>
      <c r="K29" s="57"/>
      <c r="L29" s="79"/>
      <c r="M29" s="81"/>
      <c r="N29" s="79"/>
      <c r="O29" s="79"/>
      <c r="P29" s="79"/>
      <c r="AI29" s="112"/>
    </row>
    <row r="30" s="14" customFormat="1" customHeight="1" spans="1:35">
      <c r="A30" s="55"/>
      <c r="B30" s="55" t="s">
        <v>212</v>
      </c>
      <c r="C30" s="57"/>
      <c r="D30" s="57"/>
      <c r="E30" s="57"/>
      <c r="F30" s="57"/>
      <c r="G30" s="57"/>
      <c r="H30" s="57"/>
      <c r="I30" s="79"/>
      <c r="J30" s="80"/>
      <c r="K30" s="79"/>
      <c r="L30" s="79"/>
      <c r="M30" s="81"/>
      <c r="N30" s="79"/>
      <c r="O30" s="79"/>
      <c r="P30" s="79"/>
      <c r="AI30" s="112"/>
    </row>
    <row r="32" ht="11.25" customHeight="1" spans="2:2">
      <c r="B32" s="58" t="s">
        <v>213</v>
      </c>
    </row>
    <row r="33" spans="2:2">
      <c r="B33" s="59" t="s">
        <v>214</v>
      </c>
    </row>
    <row r="34" spans="2:2">
      <c r="B34" s="59" t="s">
        <v>215</v>
      </c>
    </row>
  </sheetData>
  <autoFilter xmlns:etc="http://www.wps.cn/officeDocument/2017/etCustomData" ref="A3:AT18" etc:filterBottomFollowUsedRange="0">
    <extLst/>
  </autoFilter>
  <mergeCells count="39">
    <mergeCell ref="M1:P1"/>
    <mergeCell ref="M2:P2"/>
    <mergeCell ref="V2:AA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Q2:Q3"/>
    <mergeCell ref="R2:R3"/>
    <mergeCell ref="S2:S3"/>
    <mergeCell ref="T2:T3"/>
    <mergeCell ref="U2:U3"/>
    <mergeCell ref="AB2:AB3"/>
    <mergeCell ref="AC2:AC3"/>
    <mergeCell ref="AD2:AD3"/>
    <mergeCell ref="AE2:AE3"/>
    <mergeCell ref="AF2:AF3"/>
    <mergeCell ref="AG2:AG3"/>
    <mergeCell ref="AH2:AH3"/>
    <mergeCell ref="AI2:AI3"/>
    <mergeCell ref="AJ2:AJ3"/>
    <mergeCell ref="AK2:AK3"/>
    <mergeCell ref="AL2:AL3"/>
    <mergeCell ref="AM2:AM3"/>
    <mergeCell ref="AN2:AN3"/>
    <mergeCell ref="AO2:AO3"/>
    <mergeCell ref="AP2:AP3"/>
    <mergeCell ref="AQ2:AQ3"/>
    <mergeCell ref="AR2:AR3"/>
    <mergeCell ref="AS2:AS3"/>
    <mergeCell ref="AT2:AT3"/>
  </mergeCells>
  <conditionalFormatting sqref="C17">
    <cfRule type="duplicateValues" dxfId="4" priority="1"/>
  </conditionalFormatting>
  <conditionalFormatting sqref="B30">
    <cfRule type="duplicateValues" dxfId="4" priority="3" stopIfTrue="1"/>
  </conditionalFormatting>
  <conditionalFormatting sqref="B25:B29">
    <cfRule type="duplicateValues" dxfId="4" priority="4" stopIfTrue="1"/>
  </conditionalFormatting>
  <conditionalFormatting sqref="B33:B34">
    <cfRule type="duplicateValues" dxfId="4" priority="2" stopIfTrue="1"/>
  </conditionalFormatting>
  <conditionalFormatting sqref="C22:C24">
    <cfRule type="duplicateValues" dxfId="4" priority="5" stopIfTrue="1"/>
    <cfRule type="expression" dxfId="5" priority="6" stopIfTrue="1">
      <formula>AND(COUNTIF($B$18:$B$65454,C22)+COUNTIF($B$1:$B$3,C22)&gt;1,NOT(ISBLANK(C22)))</formula>
    </cfRule>
    <cfRule type="expression" dxfId="5" priority="7" stopIfTrue="1">
      <formula>AND(COUNTIF($B$29:$B$65405,C22)+COUNTIF($B$1:$B$28,C22)&gt;1,NOT(ISBLANK(C22)))</formula>
    </cfRule>
    <cfRule type="expression" dxfId="5" priority="8" stopIfTrue="1">
      <formula>AND(COUNTIF($B$18:$B$65443,C22)+COUNTIF($B$1:$B$3,C22)&gt;1,NOT(ISBLANK(C22)))</formula>
    </cfRule>
  </conditionalFormatting>
  <pageMargins left="0.235416666666667" right="0.235416666666667" top="0.747916666666667" bottom="0.747916666666667" header="0.313888888888889" footer="0.313888888888889"/>
  <pageSetup paperSize="9" scale="56" fitToWidth="2" orientation="landscape"/>
  <headerFooter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3 0 " > < c o m m e n t   s : r e f = " F 1 "   r g b C l r = " E F C 7 5 4 " / > < c o m m e n t   s : r e f = " G 1 "   r g b C l r = " E F C 7 5 4 " / > < c o m m e n t   s : r e f = " H 1 "   r g b C l r = " E F C 7 5 4 " / > < c o m m e n t   s : r e f = " K 1 "   r g b C l r = " E F C 7 5 4 " / > < c o m m e n t   s : r e f = " F 1 8 "   r g b C l r = " E F C 7 5 4 " / > < c o m m e n t   s : r e f = " G 1 8 "   r g b C l r = " E F C 7 5 4 " / > < c o m m e n t   s : r e f = " J 1 8 "   r g b C l r = " E F C 7 5 4 " / > < c o m m e n t   s : r e f = " Q 1 8 "   r g b C l r = " E F C 7 5 4 " / > < c o m m e n t   s : r e f = " K 1 9 "   r g b C l r = " E F C 7 5 4 " / > < c o m m e n t   s : r e f = " R 1 9 "   r g b C l r = " E F C 7 5 4 " / > < / c o m m e n t L i s t > < c o m m e n t L i s t   s h e e t S t i d = " 2 9 " > < c o m m e n t   s : r e f = " E 1 "   r g b C l r = " B 3 C 8 8 8 " / > < c o m m e n t   s : r e f = " F 1 "   r g b C l r = " B 3 C 8 8 8 " / > < c o m m e n t   s : r e f = " G 1 "   r g b C l r = " B 3 C 8 8 8 " / > < c o m m e n t   s : r e f = " H 1 "   r g b C l r = " B 3 C 8 8 8 " / > < c o m m e n t   s : r e f = " O 1 "   r g b C l r = " B 3 C 8 8 8 " / > < c o m m e n t   s : r e f = " P 1 "   r g b C l r = " B 3 C 8 8 8 " / > < c o m m e n t   s : r e f = " S 1 "   r g b C l r = " B 3 C 8 8 8 " / > < c o m m e n t   s : r e f = " Z 1 "   r g b C l r = " B 3 C 8 8 8 " / > < c o m m e n t   s : r e f = " A L 1 "   r g b C l r = " B 3 C 8 8 8 " / > < c o m m e n t   s : r e f = " A M 1 "   r g b C l r = " B 3 C 8 8 8 " / > < c o m m e n t   s : r e f = " A N 1 "   r g b C l r = " B 3 C 8 8 8 " / > < c o m m e n t   s : r e f = " A O 1 "   r g b C l r = " B 3 C 8 8 8 " / > < c o m m e n t   s : r e f = " T 2 "   r g b C l r = " B 3 C 8 8 8 " / > < c o m m e n t   s : r e f = " A A 2 "   r g b C l r = " B 3 C 8 8 8 " / > < / c o m m e n t L i s t > < c o m m e n t L i s t   s h e e t S t i d = " 2 3 " / > < c o m m e n t L i s t   s h e e t S t i d = " 2 4 " / > < c o m m e n t L i s t   s h e e t S t i d = " 1 " / > < c o m m e n t L i s t   s h e e t S t i d = " 2 5 " / > < c o m m e n t L i s t   s h e e t S t i d = " 1 5 " / > < c o m m e n t L i s t   s h e e t S t i d = " 1 6 " / > < c o m m e n t L i s t   s h e e t S t i d = " 1 7 " / > < c o m m e n t L i s t   s h e e t S t i d = " 1 8 " /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社保</vt:lpstr>
      <vt:lpstr>付款通知</vt:lpstr>
      <vt:lpstr>年终奖</vt:lpstr>
      <vt:lpstr>（居民）工资表-7月</vt:lpstr>
      <vt:lpstr>（居民）工资表-5月</vt:lpstr>
      <vt:lpstr>（居民）工资表-6月</vt:lpstr>
      <vt:lpstr>（居民）工资表-8月</vt:lpstr>
      <vt:lpstr>（居民）工资表-9月</vt:lpstr>
      <vt:lpstr>（居民）工资表-10月</vt:lpstr>
      <vt:lpstr>（居民）工资表-11月</vt:lpstr>
      <vt:lpstr>（居民）工资表-1月</vt:lpstr>
      <vt:lpstr>（居民）工资表-12月</vt:lpstr>
      <vt:lpstr>（居民）工资表-2月</vt:lpstr>
      <vt:lpstr>（居民）工资表-3月</vt:lpstr>
      <vt:lpstr>（居民）工资表-4月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AutoBVT</dc:creator>
  <cp:lastModifiedBy>乔鑫凝</cp:lastModifiedBy>
  <dcterms:created xsi:type="dcterms:W3CDTF">2018-08-01T08:19:00Z</dcterms:created>
  <cp:lastPrinted>2019-02-02T09:30:00Z</cp:lastPrinted>
  <dcterms:modified xsi:type="dcterms:W3CDTF">2025-02-25T02:18:21Z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1</vt:lpwstr>
  </property>
  <property fmtid="{D5CDD505-2E9C-101B-9397-08002B2CF9AE}" pid="3" name="KSOProductBuildVer">
    <vt:lpwstr>2052-12.1.0.20305</vt:lpwstr>
  </property>
  <property fmtid="{D5CDD505-2E9C-101B-9397-08002B2CF9AE}" pid="4" name="ICV">
    <vt:lpwstr>119FB38074F8438C913C69DF65013CD5_13</vt:lpwstr>
  </property>
  <property fmtid="{D5CDD505-2E9C-101B-9397-08002B2CF9AE}" pid="5" name="KSOReadingLayout">
    <vt:bool>true</vt:bool>
  </property>
</Properties>
</file>