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225" tabRatio="609" firstSheet="1" activeTab="1"/>
  </bookViews>
  <sheets>
    <sheet name="社保" sheetId="27" state="hidden" r:id="rId1"/>
    <sheet name="付款通知" sheetId="26" r:id="rId2"/>
    <sheet name="年终奖" sheetId="28" r:id="rId3"/>
    <sheet name="（居民）工资表-7月" sheetId="20" state="hidden" r:id="rId4"/>
    <sheet name="（居民）工资表-5月" sheetId="18" state="hidden" r:id="rId5"/>
    <sheet name="（居民）工资表-6月" sheetId="19" state="hidden" r:id="rId6"/>
    <sheet name="（居民）工资表-8月" sheetId="21" state="hidden" r:id="rId7"/>
    <sheet name="（居民）工资表-9月" sheetId="22" state="hidden" r:id="rId8"/>
    <sheet name="（居民）工资表-10月" sheetId="23" state="hidden" r:id="rId9"/>
    <sheet name="（居民）工资表-11月" sheetId="24" state="hidden" r:id="rId10"/>
    <sheet name="（居民）工资表-1月" sheetId="1" state="hidden" r:id="rId11"/>
    <sheet name="（居民）工资表-12月" sheetId="25" state="hidden" r:id="rId12"/>
    <sheet name="（居民）工资表-2月" sheetId="15" state="hidden" r:id="rId13"/>
    <sheet name="（居民）工资表-3月" sheetId="16" state="hidden" r:id="rId14"/>
    <sheet name="（居民）工资表-4月" sheetId="17" state="hidden" r:id="rId15"/>
    <sheet name="Sheet1" sheetId="14" state="hidden" r:id="rId16"/>
  </sheets>
  <externalReferences>
    <externalReference r:id="rId18"/>
    <externalReference r:id="rId19"/>
    <externalReference r:id="rId20"/>
  </externalReferences>
  <definedNames>
    <definedName name="_xlnm._FilterDatabase" localSheetId="3" hidden="1">'（居民）工资表-7月'!$A$3:$AL$20</definedName>
    <definedName name="_xlnm._FilterDatabase" localSheetId="4" hidden="1">'（居民）工资表-5月'!$A$3:$AT$20</definedName>
    <definedName name="_xlnm._FilterDatabase" localSheetId="7" hidden="1">'（居民）工资表-9月'!$A$3:$AT$18</definedName>
    <definedName name="_xlnm._FilterDatabase" localSheetId="8" hidden="1">'（居民）工资表-10月'!$A$3:$AT$18</definedName>
    <definedName name="_xlnm._FilterDatabase" localSheetId="9" hidden="1">'（居民）工资表-11月'!$A$3:$AT$18</definedName>
    <definedName name="_xlnm._FilterDatabase" localSheetId="11" hidden="1">'（居民）工资表-12月'!$A$3:$AT$18</definedName>
    <definedName name="_xlnm._FilterDatabase" localSheetId="12" hidden="1">'（居民）工资表-2月'!$A$3:$AT$19</definedName>
    <definedName name="_xlnm._FilterDatabase" localSheetId="13" hidden="1">'（居民）工资表-3月'!$A$3:$AT$19</definedName>
    <definedName name="_xlnm._FilterDatabase" localSheetId="14" hidden="1">'（居民）工资表-4月'!$A$3:$AT$20</definedName>
    <definedName name="_xlnm._FilterDatabase" localSheetId="6" hidden="1">'（居民）工资表-8月'!$A$3:$AT$20</definedName>
    <definedName name="_xlnm._FilterDatabase" localSheetId="5" hidden="1">'（居民）工资表-6月'!$A$3:$AV$18</definedName>
    <definedName name="_xlnm._FilterDatabase" localSheetId="10" hidden="1">'（居民）工资表-1月'!$A$3:$AV$19</definedName>
    <definedName name="_xlnm.Print_Area" localSheetId="8">'（居民）工资表-10月'!$A$1:$AT$24</definedName>
    <definedName name="_xlnm.Print_Area" localSheetId="9">'（居民）工资表-11月'!$A$1:$AT$24</definedName>
    <definedName name="_xlnm.Print_Area" localSheetId="11">'（居民）工资表-12月'!$A$1:$AT$24</definedName>
    <definedName name="_xlnm.Print_Area" localSheetId="10">'（居民）工资表-1月'!$A$1:$AT$25</definedName>
    <definedName name="_xlnm.Print_Area" localSheetId="12">'（居民）工资表-2月'!$A$1:$AT$24</definedName>
    <definedName name="_xlnm.Print_Area" localSheetId="13">'（居民）工资表-3月'!$A$1:$AT$25</definedName>
    <definedName name="_xlnm.Print_Area" localSheetId="14">'（居民）工资表-4月'!$A$1:$AT$26</definedName>
    <definedName name="_xlnm.Print_Area" localSheetId="4">'（居民）工资表-5月'!$A$1:$AT$26</definedName>
    <definedName name="_xlnm.Print_Area" localSheetId="5">'（居民）工资表-6月'!$A$1:$AT$26</definedName>
    <definedName name="_xlnm.Print_Area" localSheetId="3">'（居民）工资表-7月'!$A$1:$AL$26</definedName>
    <definedName name="_xlnm.Print_Area" localSheetId="6">'（居民）工资表-8月'!$A$1:$AT$26</definedName>
    <definedName name="_xlnm.Print_Area" localSheetId="7">'（居民）工资表-9月'!$A$1:$AT$24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<sst xmlns="http://schemas.openxmlformats.org/spreadsheetml/2006/main" count="2124" uniqueCount="254">
  <si>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</si>
  <si>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</si>
  <si>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</si>
  <si>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</si>
  <si>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</si>
  <si>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</si>
  <si>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</si>
  <si>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</si>
  <si>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</si>
  <si>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</si>
  <si>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</si>
  <si>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</si>
  <si>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</si>
  <si>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</si>
  <si>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</si>
  <si>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</si>
  <si>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</si>
  <si>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</si>
  <si>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</si>
  <si>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</si>
  <si>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</si>
  <si>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</si>
  <si>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</si>
  <si>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</si>
  <si>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</si>
  <si>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</si>
  <si>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</si>
  <si>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</si>
  <si>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</si>
  <si>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</si>
  <si>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</si>
  <si>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</si>
  <si>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</si>
  <si>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</si>
  <si>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</si>
  <si>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</si>
  <si>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</si>
  <si>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</si>
  <si>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</si>
  <si>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</si>
  <si>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</si>
  <si>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</si>
  <si>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</si>
  <si>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</si>
  <si>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</si>
  <si>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</si>
  <si>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</si>
  <si>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</si>
  <si>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</si>
  <si>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</si>
  <si>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</si>
  <si>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</si>
  <si>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</si>
  <si>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</si>
  <si>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</si>
  <si>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</si>
  <si>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</si>
  <si>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</si>
  <si>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</si>
  <si>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</si>
  <si>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</si>
  <si>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</si>
  <si>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</si>
  <si>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</si>
  <si>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</si>
  <si>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</si>
  <si>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</si>
  <si>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</si>
  <si>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</si>
  <si>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根据贵公司与我公司所签订的服务协议，请贵公司在2025年2月8日之前按照下列表格内容支付相关款项.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</si>
  <si>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</si>
  <si>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</si>
  <si>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</si>
  <si>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</si>
  <si>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</si>
  <si>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</si>
  <si>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</si>
  <si>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</si>
  <si>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</si>
  <si>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</si>
  <si>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</si>
  <si>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</si>
  <si>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</si>
  <si>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</si>
  <si>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</si>
  <si>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</si>
  <si>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</si>
  <si>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</si>
  <si>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</si>
  <si>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</si>
  <si>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</si>
  <si>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</si>
  <si>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</si>
  <si>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</si>
  <si>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</si>
  <si>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</si>
  <si>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</si>
  <si>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</si>
  <si>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</si>
  <si>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</si>
  <si>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</si>
  <si>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</si>
  <si>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</si>
  <si>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>代扣代缴个人所得税明细申报表 （年终奖个税）</t>
  </si>
  <si>
    <t>征期</t>
  </si>
  <si>
    <t>申请单编号</t>
  </si>
  <si>
    <t>支付内容</t>
  </si>
  <si>
    <t>纳税人姓名</t>
  </si>
  <si>
    <t>身份证照类型</t>
  </si>
  <si>
    <t>身份证件号码</t>
  </si>
  <si>
    <t>联系电话</t>
  </si>
  <si>
    <t>任职受雇日期</t>
  </si>
  <si>
    <t>全年一次性奖金收入</t>
  </si>
  <si>
    <t>奖金除以12</t>
  </si>
  <si>
    <t>税率(%)</t>
  </si>
  <si>
    <t>速算扣除数</t>
  </si>
  <si>
    <t>应扣个税</t>
  </si>
  <si>
    <t>实发奖金</t>
  </si>
  <si>
    <t>供应商</t>
  </si>
  <si>
    <t>年终奖</t>
  </si>
  <si>
    <t>身份证</t>
  </si>
  <si>
    <t>梁敏霞</t>
  </si>
  <si>
    <t>440883199611084547</t>
  </si>
  <si>
    <t>冯玉</t>
  </si>
  <si>
    <t>370724197703022770</t>
  </si>
  <si>
    <t>13564614685</t>
  </si>
  <si>
    <t>徐明龙</t>
  </si>
  <si>
    <t>340311199902251816</t>
  </si>
  <si>
    <t>15255242118</t>
  </si>
  <si>
    <t>陈佳文</t>
  </si>
  <si>
    <t>34122719960403561X</t>
  </si>
  <si>
    <t>龙治旺</t>
  </si>
  <si>
    <t>43070219881009051X</t>
  </si>
  <si>
    <t>汤祥文</t>
  </si>
  <si>
    <t>340222198505126017</t>
  </si>
  <si>
    <t>杨旭</t>
  </si>
  <si>
    <t>341202199607081913</t>
  </si>
  <si>
    <t>任志伟</t>
  </si>
  <si>
    <t>341221199109161530</t>
  </si>
  <si>
    <t>张莉</t>
  </si>
  <si>
    <t>340122198910212909</t>
  </si>
  <si>
    <t>倪绍帅</t>
  </si>
  <si>
    <t>341225199804264377</t>
  </si>
  <si>
    <t>合计</t>
  </si>
  <si>
    <t>实发工资</t>
  </si>
  <si>
    <t>个税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</si>
  <si>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</si>
  <si>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</si>
  <si>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</si>
  <si>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</si>
  <si>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</si>
  <si>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</si>
  <si>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</si>
  <si>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</si>
  <si>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</si>
  <si>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</si>
  <si>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</si>
  <si>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</si>
  <si>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</si>
  <si>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</si>
  <si>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</si>
  <si>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</si>
  <si>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</si>
  <si>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</si>
  <si>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</si>
  <si>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</si>
  <si>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</si>
  <si>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</si>
  <si>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</si>
  <si>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</si>
  <si>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</si>
  <si>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</si>
  <si>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</si>
  <si>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</si>
  <si>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</si>
  <si>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</si>
  <si>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</si>
  <si>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</si>
  <si>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</si>
  <si>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</si>
  <si>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</si>
  <si>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</si>
  <si>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</si>
  <si>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</si>
  <si>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</si>
  <si>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男</t>
  </si>
  <si>
    <t>长春</t>
  </si>
  <si>
    <t>女</t>
  </si>
  <si>
    <t>上海</t>
  </si>
  <si>
    <t>傲云</t>
  </si>
  <si>
    <t>合肥</t>
  </si>
  <si>
    <t>长沙</t>
  </si>
  <si>
    <t>孙海娟</t>
  </si>
  <si>
    <t>150428198211155123</t>
  </si>
  <si>
    <t>13875812115</t>
  </si>
  <si>
    <t>重庆</t>
  </si>
  <si>
    <t>重庆外商</t>
  </si>
  <si>
    <t>天津</t>
  </si>
  <si>
    <t>天津易铭天</t>
  </si>
  <si>
    <t>朱必丰</t>
  </si>
  <si>
    <t>64222319950423161X</t>
  </si>
  <si>
    <t>18409625963</t>
  </si>
  <si>
    <t>周阳阳</t>
  </si>
  <si>
    <t>34031119950415085X</t>
  </si>
  <si>
    <t>吕阳</t>
  </si>
  <si>
    <t>420704199405100011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</si>
  <si>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</si>
  <si>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</si>
  <si>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</si>
  <si>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</si>
  <si>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</si>
  <si>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</si>
  <si>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</si>
  <si>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</si>
  <si>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</si>
  <si>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</si>
  <si>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</si>
  <si>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</si>
  <si>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</si>
  <si>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</si>
  <si>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</si>
  <si>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</si>
  <si>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</si>
  <si>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</si>
  <si>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重庆易铭天</t>
  </si>
  <si>
    <t>残障金</t>
  </si>
  <si>
    <t>个人所得税预扣率表一（居民个人工资、薪金预扣预缴适用）</t>
  </si>
  <si>
    <t>级数</t>
  </si>
  <si>
    <t>累计预扣预缴应纳税所得额</t>
  </si>
  <si>
    <t>税率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</si>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</sst>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0" fillId="11" borderId="48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90" fillId="0" borderId="49" applyNumberFormat="0" applyFill="0" applyAlignment="0" applyProtection="0">
      <alignment vertical="center"/>
    </xf>
    <xf numFmtId="0" fontId="91" fillId="0" borderId="50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12" borderId="51" applyNumberFormat="0" applyAlignment="0" applyProtection="0">
      <alignment vertical="center"/>
    </xf>
    <xf numFmtId="0" fontId="93" fillId="13" borderId="52" applyNumberFormat="0" applyAlignment="0" applyProtection="0">
      <alignment vertical="center"/>
    </xf>
    <xf numFmtId="0" fontId="94" fillId="13" borderId="51" applyNumberFormat="0" applyAlignment="0" applyProtection="0">
      <alignment vertical="center"/>
    </xf>
    <xf numFmtId="0" fontId="95" fillId="14" borderId="53" applyNumberFormat="0" applyAlignment="0" applyProtection="0">
      <alignment vertical="center"/>
    </xf>
    <xf numFmtId="0" fontId="96" fillId="0" borderId="54" applyNumberFormat="0" applyFill="0" applyAlignment="0" applyProtection="0">
      <alignment vertical="center"/>
    </xf>
    <xf numFmtId="0" fontId="97" fillId="0" borderId="55" applyNumberFormat="0" applyFill="0" applyAlignment="0" applyProtection="0">
      <alignment vertical="center"/>
    </xf>
    <xf numFmtId="0" fontId="98" fillId="15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1" fillId="18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1" fillId="21" borderId="0" applyNumberFormat="0" applyBorder="0" applyAlignment="0" applyProtection="0">
      <alignment vertical="center"/>
    </xf>
    <xf numFmtId="0" fontId="101" fillId="22" borderId="0" applyNumberFormat="0" applyBorder="0" applyAlignment="0" applyProtection="0">
      <alignment vertical="center"/>
    </xf>
    <xf numFmtId="0" fontId="102" fillId="23" borderId="0" applyNumberFormat="0" applyBorder="0" applyAlignment="0" applyProtection="0">
      <alignment vertical="center"/>
    </xf>
    <xf numFmtId="0" fontId="102" fillId="24" borderId="0" applyNumberFormat="0" applyBorder="0" applyAlignment="0" applyProtection="0">
      <alignment vertical="center"/>
    </xf>
    <xf numFmtId="0" fontId="101" fillId="25" borderId="0" applyNumberFormat="0" applyBorder="0" applyAlignment="0" applyProtection="0">
      <alignment vertical="center"/>
    </xf>
    <xf numFmtId="0" fontId="101" fillId="26" borderId="0" applyNumberFormat="0" applyBorder="0" applyAlignment="0" applyProtection="0">
      <alignment vertical="center"/>
    </xf>
    <xf numFmtId="0" fontId="102" fillId="27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101" fillId="28" borderId="0" applyNumberFormat="0" applyBorder="0" applyAlignment="0" applyProtection="0">
      <alignment vertical="center"/>
    </xf>
    <xf numFmtId="0" fontId="101" fillId="29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1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3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6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102" fillId="38" borderId="0" applyNumberFormat="0" applyBorder="0" applyAlignment="0" applyProtection="0">
      <alignment vertical="center"/>
    </xf>
    <xf numFmtId="0" fontId="101" fillId="39" borderId="0" applyNumberFormat="0" applyBorder="0" applyAlignment="0" applyProtection="0">
      <alignment vertical="center"/>
    </xf>
    <xf numFmtId="0" fontId="103" fillId="40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103" fillId="40" borderId="0" applyNumberFormat="0" applyBorder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41" fillId="0" borderId="0">
      <alignment vertical="center"/>
    </xf>
    <xf numFmtId="0" fontId="105" fillId="0" borderId="57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6" fillId="0" borderId="0"/>
    <xf numFmtId="0" fontId="107" fillId="41" borderId="59" applyNumberFormat="0" applyAlignment="0" applyProtection="0">
      <alignment vertical="center"/>
    </xf>
    <xf numFmtId="0" fontId="103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3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10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3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9" fillId="0" borderId="0"/>
    <xf numFmtId="0" fontId="6" fillId="46" borderId="60" applyNumberFormat="0" applyFont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106" fillId="0" borderId="0">
      <alignment vertical="center"/>
    </xf>
    <xf numFmtId="0" fontId="6" fillId="46" borderId="60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106" fillId="0" borderId="0">
      <alignment vertical="center"/>
    </xf>
    <xf numFmtId="0" fontId="104" fillId="41" borderId="56" applyNumberFormat="0" applyAlignment="0" applyProtection="0">
      <alignment vertical="center"/>
    </xf>
    <xf numFmtId="0" fontId="106" fillId="0" borderId="0"/>
    <xf numFmtId="0" fontId="110" fillId="51" borderId="61" applyNumberFormat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41" fillId="0" borderId="0"/>
    <xf numFmtId="0" fontId="6" fillId="45" borderId="0" applyNumberFormat="0" applyBorder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41" fillId="0" borderId="0"/>
    <xf numFmtId="0" fontId="112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41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6" fillId="0" borderId="0">
      <alignment vertical="center"/>
    </xf>
    <xf numFmtId="0" fontId="113" fillId="53" borderId="0" applyNumberFormat="0" applyBorder="0" applyAlignment="0" applyProtection="0">
      <alignment vertical="center"/>
    </xf>
    <xf numFmtId="0" fontId="41" fillId="0" borderId="0"/>
    <xf numFmtId="0" fontId="6" fillId="42" borderId="0" applyNumberFormat="0" applyBorder="0" applyAlignment="0" applyProtection="0">
      <alignment vertical="center"/>
    </xf>
    <xf numFmtId="0" fontId="106" fillId="0" borderId="0"/>
    <xf numFmtId="0" fontId="103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4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41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41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5" fillId="56" borderId="59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41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3" fillId="44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6" fillId="0" borderId="0"/>
    <xf numFmtId="0" fontId="104" fillId="41" borderId="56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0" fontId="113" fillId="5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3" fillId="5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3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6" fillId="0" borderId="0"/>
    <xf numFmtId="0" fontId="107" fillId="41" borderId="59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110" fillId="51" borderId="61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10" fillId="51" borderId="61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115" fillId="56" borderId="59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4" fillId="50" borderId="0" applyNumberFormat="0" applyBorder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5" fillId="56" borderId="59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7" fillId="41" borderId="59" applyNumberFormat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3" fillId="59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103" fillId="59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103" fillId="5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103" fillId="44" borderId="0" applyNumberFormat="0" applyBorder="0" applyAlignment="0" applyProtection="0">
      <alignment vertical="center"/>
    </xf>
    <xf numFmtId="0" fontId="103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60" applyNumberFormat="0" applyFont="0" applyAlignment="0" applyProtection="0">
      <alignment vertical="center"/>
    </xf>
    <xf numFmtId="0" fontId="10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3" fillId="44" borderId="0" applyNumberFormat="0" applyBorder="0" applyAlignment="0" applyProtection="0">
      <alignment vertical="center"/>
    </xf>
    <xf numFmtId="0" fontId="10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3" fillId="57" borderId="0" applyNumberFormat="0" applyBorder="0" applyAlignment="0" applyProtection="0">
      <alignment vertical="center"/>
    </xf>
    <xf numFmtId="0" fontId="103" fillId="40" borderId="0" applyNumberFormat="0" applyBorder="0" applyAlignment="0" applyProtection="0">
      <alignment vertical="center"/>
    </xf>
    <xf numFmtId="0" fontId="103" fillId="57" borderId="0" applyNumberFormat="0" applyBorder="0" applyAlignment="0" applyProtection="0">
      <alignment vertical="center"/>
    </xf>
    <xf numFmtId="0" fontId="103" fillId="57" borderId="0" applyNumberFormat="0" applyBorder="0" applyAlignment="0" applyProtection="0">
      <alignment vertical="center"/>
    </xf>
    <xf numFmtId="0" fontId="103" fillId="57" borderId="0" applyNumberFormat="0" applyBorder="0" applyAlignment="0" applyProtection="0">
      <alignment vertical="center"/>
    </xf>
    <xf numFmtId="0" fontId="103" fillId="57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106" fillId="0" borderId="0">
      <alignment vertical="center"/>
    </xf>
    <xf numFmtId="0" fontId="103" fillId="54" borderId="0" applyNumberFormat="0" applyBorder="0" applyAlignment="0" applyProtection="0">
      <alignment vertical="center"/>
    </xf>
    <xf numFmtId="0" fontId="103" fillId="54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103" fillId="54" borderId="0" applyNumberFormat="0" applyBorder="0" applyAlignment="0" applyProtection="0">
      <alignment vertical="center"/>
    </xf>
    <xf numFmtId="0" fontId="103" fillId="54" borderId="0" applyNumberFormat="0" applyBorder="0" applyAlignment="0" applyProtection="0">
      <alignment vertical="center"/>
    </xf>
    <xf numFmtId="0" fontId="103" fillId="54" borderId="0" applyNumberFormat="0" applyBorder="0" applyAlignment="0" applyProtection="0">
      <alignment vertical="center"/>
    </xf>
    <xf numFmtId="0" fontId="103" fillId="54" borderId="0" applyNumberFormat="0" applyBorder="0" applyAlignment="0" applyProtection="0">
      <alignment vertical="center"/>
    </xf>
    <xf numFmtId="0" fontId="103" fillId="43" borderId="0" applyNumberFormat="0" applyBorder="0" applyAlignment="0" applyProtection="0">
      <alignment vertical="center"/>
    </xf>
    <xf numFmtId="0" fontId="103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3" fillId="54" borderId="0" applyNumberFormat="0" applyBorder="0" applyAlignment="0" applyProtection="0">
      <alignment vertical="center"/>
    </xf>
    <xf numFmtId="0" fontId="103" fillId="43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03" fillId="43" borderId="0" applyNumberFormat="0" applyBorder="0" applyAlignment="0" applyProtection="0">
      <alignment vertical="center"/>
    </xf>
    <xf numFmtId="0" fontId="103" fillId="43" borderId="0" applyNumberFormat="0" applyBorder="0" applyAlignment="0" applyProtection="0">
      <alignment vertical="center"/>
    </xf>
    <xf numFmtId="0" fontId="103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3" fillId="53" borderId="0" applyNumberFormat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7" fillId="0" borderId="62" applyNumberFormat="0" applyFill="0" applyAlignment="0" applyProtection="0">
      <alignment vertical="center"/>
    </xf>
    <xf numFmtId="0" fontId="117" fillId="0" borderId="62" applyNumberFormat="0" applyFill="0" applyAlignment="0" applyProtection="0">
      <alignment vertical="center"/>
    </xf>
    <xf numFmtId="0" fontId="117" fillId="0" borderId="62" applyNumberFormat="0" applyFill="0" applyAlignment="0" applyProtection="0">
      <alignment vertical="center"/>
    </xf>
    <xf numFmtId="0" fontId="117" fillId="0" borderId="62" applyNumberFormat="0" applyFill="0" applyAlignment="0" applyProtection="0">
      <alignment vertical="center"/>
    </xf>
    <xf numFmtId="0" fontId="117" fillId="0" borderId="62" applyNumberFormat="0" applyFill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17" fillId="0" borderId="62" applyNumberFormat="0" applyFill="0" applyAlignment="0" applyProtection="0">
      <alignment vertical="center"/>
    </xf>
    <xf numFmtId="0" fontId="117" fillId="0" borderId="62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14" fillId="50" borderId="0" applyNumberFormat="0" applyBorder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6" fillId="0" borderId="0">
      <alignment vertical="center"/>
    </xf>
    <xf numFmtId="0" fontId="118" fillId="0" borderId="63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14" fillId="50" borderId="0" applyNumberFormat="0" applyBorder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19" fillId="0" borderId="0"/>
    <xf numFmtId="0" fontId="112" fillId="0" borderId="64" applyNumberFormat="0" applyFill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43" fontId="106" fillId="0" borderId="0" applyFon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3" fillId="47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03" fillId="47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3" fillId="40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13" fillId="53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13" fillId="53" borderId="0" applyNumberFormat="0" applyBorder="0" applyAlignment="0" applyProtection="0">
      <alignment vertical="center"/>
    </xf>
    <xf numFmtId="0" fontId="113" fillId="53" borderId="0" applyNumberFormat="0" applyBorder="0" applyAlignment="0" applyProtection="0">
      <alignment vertical="center"/>
    </xf>
    <xf numFmtId="0" fontId="113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>
      <alignment vertical="center"/>
    </xf>
    <xf numFmtId="0" fontId="106" fillId="0" borderId="0">
      <alignment vertical="center"/>
    </xf>
    <xf numFmtId="0" fontId="6" fillId="0" borderId="0">
      <alignment vertical="center"/>
    </xf>
    <xf numFmtId="0" fontId="103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1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5" fillId="56" borderId="59" applyNumberFormat="0" applyAlignment="0" applyProtection="0">
      <alignment vertical="center"/>
    </xf>
    <xf numFmtId="0" fontId="106" fillId="0" borderId="0">
      <alignment vertical="center"/>
    </xf>
    <xf numFmtId="0" fontId="119" fillId="0" borderId="0"/>
    <xf numFmtId="0" fontId="115" fillId="56" borderId="59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5" fillId="56" borderId="59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3" fillId="49" borderId="0" applyNumberFormat="0" applyBorder="0" applyAlignment="0" applyProtection="0">
      <alignment vertical="center"/>
    </xf>
    <xf numFmtId="0" fontId="6" fillId="0" borderId="0"/>
    <xf numFmtId="0" fontId="103" fillId="49" borderId="0" applyNumberFormat="0" applyBorder="0" applyAlignment="0" applyProtection="0">
      <alignment vertical="center"/>
    </xf>
    <xf numFmtId="0" fontId="106" fillId="0" borderId="0"/>
    <xf numFmtId="0" fontId="103" fillId="49" borderId="0" applyNumberFormat="0" applyBorder="0" applyAlignment="0" applyProtection="0">
      <alignment vertical="center"/>
    </xf>
    <xf numFmtId="0" fontId="106" fillId="0" borderId="0"/>
    <xf numFmtId="0" fontId="103" fillId="49" borderId="0" applyNumberFormat="0" applyBorder="0" applyAlignment="0" applyProtection="0">
      <alignment vertical="center"/>
    </xf>
    <xf numFmtId="0" fontId="106" fillId="0" borderId="0"/>
    <xf numFmtId="0" fontId="6" fillId="0" borderId="0">
      <alignment vertical="center"/>
    </xf>
    <xf numFmtId="0" fontId="6" fillId="0" borderId="0">
      <alignment vertical="center"/>
    </xf>
    <xf numFmtId="0" fontId="111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3" fillId="54" borderId="0" applyNumberFormat="0" applyBorder="0" applyAlignment="0" applyProtection="0">
      <alignment vertical="center"/>
    </xf>
    <xf numFmtId="0" fontId="106" fillId="0" borderId="0"/>
    <xf numFmtId="0" fontId="106" fillId="0" borderId="0"/>
    <xf numFmtId="0" fontId="6" fillId="0" borderId="0">
      <alignment vertical="center"/>
    </xf>
    <xf numFmtId="0" fontId="115" fillId="56" borderId="59" applyNumberFormat="0" applyAlignment="0" applyProtection="0">
      <alignment vertical="center"/>
    </xf>
    <xf numFmtId="0" fontId="106" fillId="0" borderId="0"/>
    <xf numFmtId="0" fontId="41" fillId="0" borderId="0">
      <alignment vertical="center"/>
    </xf>
    <xf numFmtId="0" fontId="103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6" fillId="0" borderId="0"/>
    <xf numFmtId="0" fontId="41" fillId="0" borderId="0"/>
    <xf numFmtId="0" fontId="54" fillId="0" borderId="58" applyNumberFormat="0" applyFill="0" applyAlignment="0" applyProtection="0">
      <alignment vertical="center"/>
    </xf>
    <xf numFmtId="0" fontId="103" fillId="59" borderId="0" applyNumberFormat="0" applyBorder="0" applyAlignment="0" applyProtection="0">
      <alignment vertical="center"/>
    </xf>
    <xf numFmtId="0" fontId="119" fillId="0" borderId="0"/>
    <xf numFmtId="0" fontId="63" fillId="0" borderId="0" applyNumberFormat="0" applyFill="0" applyBorder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114" fillId="50" borderId="0" applyNumberFormat="0" applyBorder="0" applyAlignment="0" applyProtection="0">
      <alignment vertical="center"/>
    </xf>
    <xf numFmtId="0" fontId="114" fillId="50" borderId="0" applyNumberFormat="0" applyBorder="0" applyAlignment="0" applyProtection="0">
      <alignment vertical="center"/>
    </xf>
    <xf numFmtId="0" fontId="114" fillId="50" borderId="0" applyNumberFormat="0" applyBorder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10" fillId="51" borderId="61" applyNumberFormat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110" fillId="51" borderId="61" applyNumberFormat="0" applyAlignment="0" applyProtection="0">
      <alignment vertical="center"/>
    </xf>
    <xf numFmtId="0" fontId="110" fillId="51" borderId="61" applyNumberFormat="0" applyAlignment="0" applyProtection="0">
      <alignment vertical="center"/>
    </xf>
    <xf numFmtId="0" fontId="110" fillId="51" borderId="61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43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0" fontId="103" fillId="47" borderId="0" applyNumberFormat="0" applyBorder="0" applyAlignment="0" applyProtection="0">
      <alignment vertical="center"/>
    </xf>
    <xf numFmtId="0" fontId="103" fillId="47" borderId="0" applyNumberFormat="0" applyBorder="0" applyAlignment="0" applyProtection="0">
      <alignment vertical="center"/>
    </xf>
    <xf numFmtId="0" fontId="103" fillId="47" borderId="0" applyNumberFormat="0" applyBorder="0" applyAlignment="0" applyProtection="0">
      <alignment vertical="center"/>
    </xf>
    <xf numFmtId="0" fontId="103" fillId="47" borderId="0" applyNumberFormat="0" applyBorder="0" applyAlignment="0" applyProtection="0">
      <alignment vertical="center"/>
    </xf>
    <xf numFmtId="0" fontId="103" fillId="40" borderId="0" applyNumberFormat="0" applyBorder="0" applyAlignment="0" applyProtection="0">
      <alignment vertical="center"/>
    </xf>
    <xf numFmtId="0" fontId="103" fillId="40" borderId="0" applyNumberFormat="0" applyBorder="0" applyAlignment="0" applyProtection="0">
      <alignment vertical="center"/>
    </xf>
    <xf numFmtId="0" fontId="103" fillId="40" borderId="0" applyNumberFormat="0" applyBorder="0" applyAlignment="0" applyProtection="0">
      <alignment vertical="center"/>
    </xf>
    <xf numFmtId="0" fontId="103" fillId="59" borderId="0" applyNumberFormat="0" applyBorder="0" applyAlignment="0" applyProtection="0">
      <alignment vertical="center"/>
    </xf>
    <xf numFmtId="0" fontId="115" fillId="56" borderId="59" applyNumberFormat="0" applyAlignment="0" applyProtection="0">
      <alignment vertical="center"/>
    </xf>
    <xf numFmtId="0" fontId="103" fillId="59" borderId="0" applyNumberFormat="0" applyBorder="0" applyAlignment="0" applyProtection="0">
      <alignment vertical="center"/>
    </xf>
    <xf numFmtId="0" fontId="103" fillId="59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103" fillId="49" borderId="0" applyNumberFormat="0" applyBorder="0" applyAlignment="0" applyProtection="0">
      <alignment vertical="center"/>
    </xf>
    <xf numFmtId="0" fontId="115" fillId="56" borderId="59" applyNumberFormat="0" applyAlignment="0" applyProtection="0">
      <alignment vertical="center"/>
    </xf>
    <xf numFmtId="0" fontId="103" fillId="54" borderId="0" applyNumberFormat="0" applyBorder="0" applyAlignment="0" applyProtection="0">
      <alignment vertical="center"/>
    </xf>
    <xf numFmtId="0" fontId="103" fillId="54" borderId="0" applyNumberFormat="0" applyBorder="0" applyAlignment="0" applyProtection="0">
      <alignment vertical="center"/>
    </xf>
    <xf numFmtId="0" fontId="103" fillId="54" borderId="0" applyNumberFormat="0" applyBorder="0" applyAlignment="0" applyProtection="0">
      <alignment vertical="center"/>
    </xf>
    <xf numFmtId="0" fontId="103" fillId="60" borderId="0" applyNumberFormat="0" applyBorder="0" applyAlignment="0" applyProtection="0">
      <alignment vertical="center"/>
    </xf>
    <xf numFmtId="0" fontId="103" fillId="60" borderId="0" applyNumberFormat="0" applyBorder="0" applyAlignment="0" applyProtection="0">
      <alignment vertical="center"/>
    </xf>
    <xf numFmtId="0" fontId="103" fillId="60" borderId="0" applyNumberFormat="0" applyBorder="0" applyAlignment="0" applyProtection="0">
      <alignment vertical="center"/>
    </xf>
    <xf numFmtId="0" fontId="103" fillId="60" borderId="0" applyNumberFormat="0" applyBorder="0" applyAlignment="0" applyProtection="0">
      <alignment vertical="center"/>
    </xf>
    <xf numFmtId="0" fontId="103" fillId="60" borderId="0" applyNumberFormat="0" applyBorder="0" applyAlignment="0" applyProtection="0">
      <alignment vertical="center"/>
    </xf>
    <xf numFmtId="0" fontId="103" fillId="60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104" fillId="41" borderId="56" applyNumberFormat="0" applyAlignment="0" applyProtection="0">
      <alignment vertical="center"/>
    </xf>
    <xf numFmtId="0" fontId="115" fillId="56" borderId="59" applyNumberFormat="0" applyAlignment="0" applyProtection="0">
      <alignment vertical="center"/>
    </xf>
    <xf numFmtId="0" fontId="109" fillId="0" borderId="0"/>
    <xf numFmtId="0" fontId="115" fillId="56" borderId="59" applyNumberFormat="0" applyAlignment="0" applyProtection="0">
      <alignment vertical="center"/>
    </xf>
    <xf numFmtId="0" fontId="109" fillId="0" borderId="0"/>
    <xf numFmtId="0" fontId="115" fillId="56" borderId="59" applyNumberFormat="0" applyAlignment="0" applyProtection="0">
      <alignment vertical="center"/>
    </xf>
    <xf numFmtId="0" fontId="115" fillId="56" borderId="59" applyNumberFormat="0" applyAlignment="0" applyProtection="0">
      <alignment vertical="center"/>
    </xf>
    <xf numFmtId="0" fontId="115" fillId="56" borderId="59" applyNumberFormat="0" applyAlignment="0" applyProtection="0">
      <alignment vertical="center"/>
    </xf>
    <xf numFmtId="0" fontId="26" fillId="0" borderId="0">
      <alignment vertical="center"/>
    </xf>
    <xf numFmtId="0" fontId="122" fillId="0" borderId="0" applyNumberFormat="0" applyFill="0" applyBorder="0" applyAlignment="0" applyProtection="0">
      <alignment vertical="center"/>
    </xf>
    <xf numFmtId="38" fontId="106" fillId="0" borderId="0" applyFont="0" applyFill="0" applyBorder="0" applyAlignment="0" applyProtection="0">
      <alignment vertical="center"/>
    </xf>
    <xf numFmtId="0" fontId="123" fillId="0" borderId="0"/>
    <xf numFmtId="0" fontId="41" fillId="0" borderId="0"/>
    <xf numFmtId="0" fontId="109" fillId="0" borderId="0"/>
    <xf numFmtId="0" fontId="109" fillId="0" borderId="0"/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  <xf numFmtId="0" fontId="6" fillId="46" borderId="60" applyNumberFormat="0" applyFont="0" applyAlignment="0" applyProtection="0">
      <alignment vertical="center"/>
    </xf>
  </cellStyleXfs>
  <cellXfs count="3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7" fillId="0" borderId="0" xfId="0" applyFont="1">
      <alignment vertical="center"/>
    </xf>
    <xf numFmtId="14" fontId="0" fillId="0" borderId="0" xfId="0" applyNumberFormat="1">
      <alignment vertical="center"/>
    </xf>
    <xf numFmtId="57" fontId="0" fillId="0" borderId="0" xfId="0" applyNumberFormat="1">
      <alignment vertical="center"/>
    </xf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49" fontId="0" fillId="7" borderId="12" xfId="0" applyNumberFormat="1" applyFill="1" applyBorder="1" applyAlignment="1">
      <alignment horizontal="center" vertical="center" wrapText="1"/>
    </xf>
    <xf numFmtId="49" fontId="0" fillId="7" borderId="11" xfId="0" applyNumberForma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7" borderId="0" xfId="0" applyFill="1" applyBorder="1">
      <alignment vertical="center"/>
    </xf>
    <xf numFmtId="0" fontId="0" fillId="0" borderId="0" xfId="0" applyNumberFormat="1">
      <alignment vertical="center"/>
    </xf>
    <xf numFmtId="0" fontId="28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49" fontId="0" fillId="3" borderId="0" xfId="0" applyNumberFormat="1" applyFill="1">
      <alignment vertical="center"/>
    </xf>
    <xf numFmtId="177" fontId="0" fillId="7" borderId="11" xfId="0" applyNumberForma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177" fontId="0" fillId="7" borderId="11" xfId="0" applyNumberFormat="1" applyFill="1" applyBorder="1">
      <alignment vertical="center"/>
    </xf>
    <xf numFmtId="0" fontId="0" fillId="7" borderId="11" xfId="0" applyFill="1" applyBorder="1">
      <alignment vertical="center"/>
    </xf>
    <xf numFmtId="0" fontId="0" fillId="7" borderId="13" xfId="0" applyFill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8" borderId="0" xfId="0" applyFont="1" applyFill="1" applyAlignment="1">
      <alignment vertical="center"/>
    </xf>
    <xf numFmtId="0" fontId="29" fillId="8" borderId="0" xfId="472" applyFont="1" applyFill="1" applyBorder="1" applyAlignment="1">
      <alignment horizontal="center" vertical="center"/>
    </xf>
    <xf numFmtId="0" fontId="30" fillId="8" borderId="0" xfId="472" applyNumberFormat="1" applyFont="1" applyFill="1" applyBorder="1" applyAlignment="1" applyProtection="1">
      <alignment horizontal="center" vertical="center"/>
      <protection locked="0"/>
    </xf>
    <xf numFmtId="0" fontId="30" fillId="8" borderId="0" xfId="472" applyNumberFormat="1" applyFont="1" applyFill="1" applyBorder="1" applyAlignment="1" applyProtection="1">
      <alignment horizontal="left" vertical="center"/>
      <protection locked="0"/>
    </xf>
    <xf numFmtId="0" fontId="31" fillId="8" borderId="0" xfId="472" applyNumberFormat="1" applyFont="1" applyFill="1" applyBorder="1" applyAlignment="1" applyProtection="1">
      <alignment horizontal="center" vertical="center"/>
      <protection locked="0"/>
    </xf>
    <xf numFmtId="0" fontId="32" fillId="8" borderId="0" xfId="472" applyNumberFormat="1" applyFont="1" applyFill="1" applyBorder="1" applyAlignment="1" applyProtection="1">
      <alignment horizontal="left" vertical="center"/>
      <protection locked="0"/>
    </xf>
    <xf numFmtId="0" fontId="26" fillId="8" borderId="0" xfId="0" applyFont="1" applyFill="1" applyBorder="1" applyAlignment="1" applyProtection="1">
      <alignment horizontal="right" vertical="center"/>
      <protection locked="0"/>
    </xf>
    <xf numFmtId="49" fontId="33" fillId="8" borderId="0" xfId="474" applyNumberFormat="1" applyFont="1" applyFill="1" applyBorder="1" applyAlignment="1" applyProtection="1">
      <alignment horizontal="left" vertical="center"/>
      <protection locked="0"/>
    </xf>
    <xf numFmtId="0" fontId="34" fillId="8" borderId="0" xfId="0" applyFont="1" applyFill="1" applyBorder="1" applyAlignment="1" applyProtection="1">
      <alignment horizontal="left" vertical="center"/>
      <protection locked="0"/>
    </xf>
    <xf numFmtId="0" fontId="35" fillId="8" borderId="0" xfId="472" applyFont="1" applyFill="1" applyBorder="1" applyAlignment="1">
      <alignment horizontal="right" vertical="center"/>
    </xf>
    <xf numFmtId="14" fontId="36" fillId="8" borderId="0" xfId="0" applyNumberFormat="1" applyFont="1" applyFill="1" applyBorder="1" applyAlignment="1" applyProtection="1">
      <alignment horizontal="left" vertical="center"/>
      <protection locked="0"/>
    </xf>
    <xf numFmtId="0" fontId="36" fillId="8" borderId="0" xfId="0" applyFont="1" applyFill="1" applyBorder="1" applyAlignment="1" applyProtection="1">
      <alignment horizontal="right" vertical="center"/>
      <protection locked="0"/>
    </xf>
    <xf numFmtId="0" fontId="37" fillId="8" borderId="0" xfId="0" applyFont="1" applyFill="1" applyBorder="1" applyAlignment="1">
      <alignment horizontal="left" vertical="center"/>
    </xf>
    <xf numFmtId="0" fontId="37" fillId="8" borderId="0" xfId="0" applyFont="1" applyFill="1" applyAlignment="1">
      <alignment horizontal="left" vertical="center"/>
    </xf>
    <xf numFmtId="0" fontId="32" fillId="8" borderId="0" xfId="472" applyNumberFormat="1" applyFont="1" applyFill="1" applyBorder="1" applyAlignment="1" applyProtection="1">
      <alignment horizontal="center" vertical="center"/>
      <protection locked="0"/>
    </xf>
    <xf numFmtId="0" fontId="37" fillId="8" borderId="0" xfId="0" applyFont="1" applyFill="1" applyBorder="1" applyAlignment="1" applyProtection="1">
      <alignment horizontal="left" vertical="center"/>
      <protection locked="0"/>
    </xf>
    <xf numFmtId="0" fontId="38" fillId="8" borderId="0" xfId="472" applyNumberFormat="1" applyFont="1" applyFill="1" applyBorder="1" applyAlignment="1" applyProtection="1">
      <alignment horizontal="center" vertical="center"/>
      <protection locked="0"/>
    </xf>
    <xf numFmtId="182" fontId="36" fillId="8" borderId="0" xfId="474" applyNumberFormat="1" applyFont="1" applyFill="1" applyBorder="1" applyAlignment="1" applyProtection="1">
      <alignment horizontal="left" vertical="center"/>
      <protection locked="0"/>
    </xf>
    <xf numFmtId="0" fontId="39" fillId="8" borderId="14" xfId="0" applyFont="1" applyFill="1" applyBorder="1" applyAlignment="1" applyProtection="1">
      <alignment horizontal="center" vertical="center"/>
      <protection locked="0"/>
    </xf>
    <xf numFmtId="0" fontId="39" fillId="8" borderId="15" xfId="0" applyFont="1" applyFill="1" applyBorder="1" applyAlignment="1" applyProtection="1">
      <alignment horizontal="center" vertical="center"/>
      <protection locked="0"/>
    </xf>
    <xf numFmtId="0" fontId="13" fillId="8" borderId="16" xfId="473" applyNumberFormat="1" applyFont="1" applyFill="1" applyBorder="1" applyAlignment="1" applyProtection="1">
      <alignment horizontal="left" vertical="center"/>
      <protection locked="0"/>
    </xf>
    <xf numFmtId="0" fontId="13" fillId="8" borderId="6" xfId="473" applyNumberFormat="1" applyFont="1" applyFill="1" applyBorder="1" applyAlignment="1" applyProtection="1">
      <alignment horizontal="left" vertical="center"/>
      <protection locked="0"/>
    </xf>
    <xf numFmtId="43" fontId="40" fillId="8" borderId="8" xfId="0" applyNumberFormat="1" applyFont="1" applyFill="1" applyBorder="1" applyAlignment="1" applyProtection="1">
      <alignment horizontal="left" vertical="center" shrinkToFit="1"/>
    </xf>
    <xf numFmtId="43" fontId="40" fillId="8" borderId="9" xfId="0" applyNumberFormat="1" applyFont="1" applyFill="1" applyBorder="1" applyAlignment="1" applyProtection="1">
      <alignment horizontal="left" vertical="center" shrinkToFit="1"/>
    </xf>
    <xf numFmtId="43" fontId="40" fillId="8" borderId="17" xfId="0" applyNumberFormat="1" applyFont="1" applyFill="1" applyBorder="1" applyAlignment="1" applyProtection="1">
      <alignment horizontal="left" vertical="center" shrinkToFit="1"/>
    </xf>
    <xf numFmtId="0" fontId="13" fillId="8" borderId="18" xfId="473" applyNumberFormat="1" applyFont="1" applyFill="1" applyBorder="1" applyAlignment="1" applyProtection="1">
      <alignment horizontal="left" vertical="center"/>
      <protection locked="0"/>
    </xf>
    <xf numFmtId="0" fontId="13" fillId="8" borderId="19" xfId="473" applyNumberFormat="1" applyFont="1" applyFill="1" applyBorder="1" applyAlignment="1" applyProtection="1">
      <alignment horizontal="left" vertical="center"/>
      <protection locked="0"/>
    </xf>
    <xf numFmtId="176" fontId="40" fillId="8" borderId="20" xfId="0" applyNumberFormat="1" applyFont="1" applyFill="1" applyBorder="1" applyAlignment="1" applyProtection="1">
      <alignment horizontal="right" vertical="center" shrinkToFit="1"/>
    </xf>
    <xf numFmtId="176" fontId="40" fillId="8" borderId="21" xfId="0" applyNumberFormat="1" applyFont="1" applyFill="1" applyBorder="1" applyAlignment="1" applyProtection="1">
      <alignment horizontal="right" vertical="center" shrinkToFit="1"/>
    </xf>
    <xf numFmtId="176" fontId="40" fillId="8" borderId="22" xfId="0" applyNumberFormat="1" applyFont="1" applyFill="1" applyBorder="1" applyAlignment="1" applyProtection="1">
      <alignment horizontal="right" vertical="center" shrinkToFit="1"/>
    </xf>
    <xf numFmtId="0" fontId="25" fillId="8" borderId="16" xfId="474" applyNumberFormat="1" applyFont="1" applyFill="1" applyBorder="1" applyAlignment="1" applyProtection="1">
      <alignment horizontal="left" vertical="center"/>
      <protection locked="0"/>
    </xf>
    <xf numFmtId="0" fontId="25" fillId="8" borderId="6" xfId="474" applyNumberFormat="1" applyFont="1" applyFill="1" applyBorder="1" applyAlignment="1" applyProtection="1">
      <alignment horizontal="left" vertical="center"/>
      <protection locked="0"/>
    </xf>
    <xf numFmtId="43" fontId="41" fillId="8" borderId="6" xfId="0" applyNumberFormat="1" applyFont="1" applyFill="1" applyBorder="1" applyAlignment="1" applyProtection="1">
      <alignment horizontal="left" vertical="center" shrinkToFit="1"/>
    </xf>
    <xf numFmtId="0" fontId="25" fillId="8" borderId="23" xfId="474" applyNumberFormat="1" applyFont="1" applyFill="1" applyBorder="1" applyAlignment="1" applyProtection="1">
      <alignment horizontal="left" vertical="center"/>
      <protection locked="0"/>
    </xf>
    <xf numFmtId="0" fontId="25" fillId="8" borderId="24" xfId="474" applyNumberFormat="1" applyFont="1" applyFill="1" applyBorder="1" applyAlignment="1" applyProtection="1">
      <alignment horizontal="left" vertical="center"/>
      <protection locked="0"/>
    </xf>
    <xf numFmtId="0" fontId="25" fillId="8" borderId="25" xfId="474" applyNumberFormat="1" applyFont="1" applyFill="1" applyBorder="1" applyAlignment="1" applyProtection="1">
      <alignment horizontal="left" vertical="center"/>
      <protection locked="0"/>
    </xf>
    <xf numFmtId="43" fontId="41" fillId="8" borderId="26" xfId="0" applyNumberFormat="1" applyFont="1" applyFill="1" applyBorder="1" applyAlignment="1" applyProtection="1">
      <alignment horizontal="left" vertical="center" shrinkToFit="1"/>
      <protection locked="0"/>
    </xf>
    <xf numFmtId="0" fontId="14" fillId="8" borderId="27" xfId="163" applyFont="1" applyFill="1" applyBorder="1" applyAlignment="1">
      <alignment vertical="center"/>
    </xf>
    <xf numFmtId="0" fontId="14" fillId="8" borderId="7" xfId="163" applyFont="1" applyFill="1" applyBorder="1" applyAlignment="1">
      <alignment vertical="center"/>
    </xf>
    <xf numFmtId="43" fontId="41" fillId="8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8" borderId="8" xfId="163" applyFont="1" applyFill="1" applyBorder="1" applyAlignment="1">
      <alignment horizontal="left" vertical="center"/>
    </xf>
    <xf numFmtId="0" fontId="14" fillId="8" borderId="9" xfId="163" applyFont="1" applyFill="1" applyBorder="1" applyAlignment="1">
      <alignment horizontal="left" vertical="center"/>
    </xf>
    <xf numFmtId="0" fontId="14" fillId="8" borderId="10" xfId="163" applyFont="1" applyFill="1" applyBorder="1" applyAlignment="1">
      <alignment horizontal="left" vertical="center"/>
    </xf>
    <xf numFmtId="43" fontId="41" fillId="8" borderId="28" xfId="0" applyNumberFormat="1" applyFont="1" applyFill="1" applyBorder="1" applyAlignment="1" applyProtection="1">
      <alignment horizontal="left" vertical="center" shrinkToFit="1"/>
      <protection locked="0"/>
    </xf>
    <xf numFmtId="0" fontId="14" fillId="8" borderId="29" xfId="163" applyFont="1" applyFill="1" applyBorder="1" applyAlignment="1">
      <alignment vertical="center"/>
    </xf>
    <xf numFmtId="0" fontId="14" fillId="8" borderId="30" xfId="163" applyFont="1" applyFill="1" applyBorder="1" applyAlignment="1">
      <alignment vertical="center"/>
    </xf>
    <xf numFmtId="43" fontId="41" fillId="8" borderId="30" xfId="474" applyNumberFormat="1" applyFont="1" applyFill="1" applyBorder="1" applyAlignment="1" applyProtection="1">
      <alignment horizontal="left" vertical="center" shrinkToFit="1"/>
      <protection locked="0"/>
    </xf>
    <xf numFmtId="183" fontId="25" fillId="8" borderId="31" xfId="474" applyNumberFormat="1" applyFont="1" applyFill="1" applyBorder="1" applyAlignment="1" applyProtection="1">
      <alignment horizontal="left" vertical="center"/>
      <protection locked="0"/>
    </xf>
    <xf numFmtId="183" fontId="25" fillId="8" borderId="32" xfId="474" applyNumberFormat="1" applyFont="1" applyFill="1" applyBorder="1" applyAlignment="1" applyProtection="1">
      <alignment horizontal="left" vertical="center"/>
      <protection locked="0"/>
    </xf>
    <xf numFmtId="183" fontId="25" fillId="8" borderId="33" xfId="474" applyNumberFormat="1" applyFont="1" applyFill="1" applyBorder="1" applyAlignment="1" applyProtection="1">
      <alignment horizontal="left" vertical="center"/>
      <protection locked="0"/>
    </xf>
    <xf numFmtId="43" fontId="41" fillId="8" borderId="34" xfId="474" applyNumberFormat="1" applyFont="1" applyFill="1" applyBorder="1" applyAlignment="1" applyProtection="1">
      <alignment horizontal="left" vertical="center" shrinkToFit="1"/>
      <protection locked="0"/>
    </xf>
    <xf numFmtId="184" fontId="42" fillId="8" borderId="0" xfId="474" applyNumberFormat="1" applyFont="1" applyFill="1" applyBorder="1" applyAlignment="1" applyProtection="1">
      <alignment horizontal="left" vertical="center"/>
      <protection locked="0"/>
    </xf>
    <xf numFmtId="0" fontId="43" fillId="0" borderId="14" xfId="403" applyFont="1" applyFill="1" applyBorder="1" applyAlignment="1">
      <alignment horizontal="center" vertical="center" wrapText="1"/>
    </xf>
    <xf numFmtId="0" fontId="43" fillId="0" borderId="35" xfId="403" applyFont="1" applyFill="1" applyBorder="1" applyAlignment="1">
      <alignment horizontal="center" vertical="center" wrapText="1"/>
    </xf>
    <xf numFmtId="181" fontId="43" fillId="0" borderId="35" xfId="403" applyNumberFormat="1" applyFont="1" applyFill="1" applyBorder="1" applyAlignment="1">
      <alignment horizontal="center" vertical="center" wrapText="1"/>
    </xf>
    <xf numFmtId="185" fontId="43" fillId="0" borderId="35" xfId="403" applyNumberFormat="1" applyFont="1" applyFill="1" applyBorder="1" applyAlignment="1">
      <alignment horizontal="center" vertical="center" wrapText="1"/>
    </xf>
    <xf numFmtId="0" fontId="43" fillId="0" borderId="36" xfId="403" applyFont="1" applyFill="1" applyBorder="1" applyAlignment="1">
      <alignment horizontal="center" vertical="center" wrapText="1"/>
    </xf>
    <xf numFmtId="0" fontId="44" fillId="0" borderId="27" xfId="403" applyFont="1" applyFill="1" applyBorder="1" applyAlignment="1">
      <alignment horizontal="center" vertical="center"/>
    </xf>
    <xf numFmtId="0" fontId="44" fillId="0" borderId="7" xfId="403" applyFont="1" applyFill="1" applyBorder="1" applyAlignment="1">
      <alignment horizontal="center" vertical="center"/>
    </xf>
    <xf numFmtId="43" fontId="44" fillId="0" borderId="7" xfId="403" applyNumberFormat="1" applyFont="1" applyFill="1" applyBorder="1" applyAlignment="1">
      <alignment horizontal="left" vertical="center"/>
    </xf>
    <xf numFmtId="181" fontId="44" fillId="0" borderId="7" xfId="403" applyNumberFormat="1" applyFont="1" applyFill="1" applyBorder="1" applyAlignment="1">
      <alignment horizontal="center" vertical="center"/>
    </xf>
    <xf numFmtId="185" fontId="44" fillId="0" borderId="7" xfId="403" applyNumberFormat="1" applyFont="1" applyFill="1" applyBorder="1" applyAlignment="1">
      <alignment horizontal="right" vertical="center"/>
    </xf>
    <xf numFmtId="0" fontId="44" fillId="0" borderId="28" xfId="403" applyFont="1" applyFill="1" applyBorder="1" applyAlignment="1">
      <alignment horizontal="left" vertical="center"/>
    </xf>
    <xf numFmtId="43" fontId="44" fillId="0" borderId="7" xfId="403" applyNumberFormat="1" applyFont="1" applyFill="1" applyBorder="1" applyAlignment="1">
      <alignment vertical="center"/>
    </xf>
    <xf numFmtId="43" fontId="44" fillId="0" borderId="7" xfId="403" applyNumberFormat="1" applyFont="1" applyFill="1" applyBorder="1" applyAlignment="1">
      <alignment horizontal="center" vertical="center"/>
    </xf>
    <xf numFmtId="0" fontId="44" fillId="0" borderId="28" xfId="403" applyFont="1" applyFill="1" applyBorder="1" applyAlignment="1">
      <alignment vertical="center" wrapText="1"/>
    </xf>
    <xf numFmtId="43" fontId="45" fillId="0" borderId="7" xfId="403" applyNumberFormat="1" applyFont="1" applyFill="1" applyBorder="1" applyAlignment="1">
      <alignment horizontal="center" vertical="center"/>
    </xf>
    <xf numFmtId="185" fontId="45" fillId="0" borderId="7" xfId="403" applyNumberFormat="1" applyFont="1" applyFill="1" applyBorder="1" applyAlignment="1">
      <alignment horizontal="right" vertical="center"/>
    </xf>
    <xf numFmtId="0" fontId="44" fillId="0" borderId="28" xfId="403" applyFont="1" applyFill="1" applyBorder="1" applyAlignment="1">
      <alignment vertical="center"/>
    </xf>
    <xf numFmtId="0" fontId="44" fillId="0" borderId="7" xfId="403" applyFont="1" applyFill="1" applyBorder="1" applyAlignment="1">
      <alignment horizontal="center" vertical="center" wrapText="1"/>
    </xf>
    <xf numFmtId="10" fontId="45" fillId="0" borderId="7" xfId="403" applyNumberFormat="1" applyFont="1" applyFill="1" applyBorder="1" applyAlignment="1">
      <alignment horizontal="center" vertical="center"/>
    </xf>
    <xf numFmtId="0" fontId="46" fillId="9" borderId="27" xfId="403" applyFont="1" applyFill="1" applyBorder="1" applyAlignment="1">
      <alignment horizontal="center" vertical="center"/>
    </xf>
    <xf numFmtId="0" fontId="46" fillId="9" borderId="7" xfId="403" applyFont="1" applyFill="1" applyBorder="1" applyAlignment="1">
      <alignment horizontal="center" vertical="center"/>
    </xf>
    <xf numFmtId="185" fontId="46" fillId="9" borderId="7" xfId="403" applyNumberFormat="1" applyFont="1" applyFill="1" applyBorder="1" applyAlignment="1">
      <alignment vertical="center"/>
    </xf>
    <xf numFmtId="0" fontId="44" fillId="9" borderId="28" xfId="403" applyFont="1" applyFill="1" applyBorder="1" applyAlignment="1">
      <alignment horizontal="left" vertical="center"/>
    </xf>
    <xf numFmtId="0" fontId="46" fillId="9" borderId="29" xfId="403" applyFont="1" applyFill="1" applyBorder="1" applyAlignment="1">
      <alignment horizontal="center" vertical="center"/>
    </xf>
    <xf numFmtId="0" fontId="46" fillId="9" borderId="30" xfId="403" applyFont="1" applyFill="1" applyBorder="1" applyAlignment="1">
      <alignment horizontal="center" vertical="center"/>
    </xf>
    <xf numFmtId="185" fontId="46" fillId="9" borderId="30" xfId="403" applyNumberFormat="1" applyFont="1" applyFill="1" applyBorder="1" applyAlignment="1">
      <alignment vertical="center"/>
    </xf>
    <xf numFmtId="0" fontId="44" fillId="9" borderId="34" xfId="403" applyFont="1" applyFill="1" applyBorder="1" applyAlignment="1">
      <alignment horizontal="left" vertical="center"/>
    </xf>
    <xf numFmtId="182" fontId="36" fillId="8" borderId="0" xfId="474" applyNumberFormat="1" applyFont="1" applyFill="1" applyBorder="1" applyAlignment="1" applyProtection="1">
      <alignment horizontal="right" vertical="center"/>
      <protection locked="0"/>
    </xf>
    <xf numFmtId="0" fontId="20" fillId="8" borderId="0" xfId="472" applyFont="1" applyFill="1" applyBorder="1" applyAlignment="1">
      <alignment horizontal="right" vertical="center"/>
    </xf>
    <xf numFmtId="14" fontId="33" fillId="8" borderId="0" xfId="0" applyNumberFormat="1" applyFont="1" applyFill="1" applyBorder="1" applyAlignment="1" applyProtection="1">
      <alignment horizontal="left" vertical="center"/>
      <protection locked="0"/>
    </xf>
    <xf numFmtId="0" fontId="47" fillId="8" borderId="0" xfId="472" applyNumberFormat="1" applyFont="1" applyFill="1" applyBorder="1" applyAlignment="1" applyProtection="1">
      <alignment horizontal="right" vertical="center"/>
      <protection locked="0"/>
    </xf>
    <xf numFmtId="0" fontId="48" fillId="8" borderId="0" xfId="472" applyNumberFormat="1" applyFont="1" applyFill="1" applyBorder="1" applyAlignment="1" applyProtection="1">
      <alignment horizontal="left" vertical="center"/>
      <protection locked="0"/>
    </xf>
    <xf numFmtId="0" fontId="49" fillId="8" borderId="0" xfId="472" applyNumberFormat="1" applyFont="1" applyFill="1" applyBorder="1" applyAlignment="1" applyProtection="1">
      <alignment horizontal="right" vertical="center"/>
      <protection locked="0"/>
    </xf>
    <xf numFmtId="0" fontId="50" fillId="8" borderId="0" xfId="472" applyNumberFormat="1" applyFont="1" applyFill="1" applyBorder="1" applyAlignment="1" applyProtection="1">
      <alignment horizontal="left" vertical="center"/>
      <protection locked="0"/>
    </xf>
    <xf numFmtId="0" fontId="51" fillId="8" borderId="0" xfId="472" applyNumberFormat="1" applyFont="1" applyFill="1" applyBorder="1" applyAlignment="1" applyProtection="1">
      <alignment vertical="center"/>
      <protection locked="0"/>
    </xf>
    <xf numFmtId="0" fontId="52" fillId="8" borderId="0" xfId="472" applyNumberFormat="1" applyFont="1" applyFill="1" applyBorder="1" applyAlignment="1" applyProtection="1">
      <alignment horizontal="left" vertical="center"/>
      <protection locked="0"/>
    </xf>
    <xf numFmtId="0" fontId="53" fillId="8" borderId="0" xfId="472" applyNumberFormat="1" applyFont="1" applyFill="1" applyBorder="1" applyAlignment="1" applyProtection="1">
      <alignment vertical="center"/>
      <protection locked="0"/>
    </xf>
    <xf numFmtId="0" fontId="53" fillId="8" borderId="0" xfId="472" applyNumberFormat="1" applyFont="1" applyFill="1" applyBorder="1" applyAlignment="1" applyProtection="1">
      <alignment horizontal="left" vertical="center"/>
      <protection locked="0"/>
    </xf>
    <xf numFmtId="0" fontId="54" fillId="8" borderId="0" xfId="472" applyNumberFormat="1" applyFont="1" applyFill="1" applyBorder="1" applyAlignment="1" applyProtection="1">
      <alignment vertical="center"/>
      <protection locked="0"/>
    </xf>
    <xf numFmtId="0" fontId="55" fillId="8" borderId="0" xfId="144" applyNumberFormat="1" applyFont="1" applyFill="1" applyBorder="1" applyAlignment="1">
      <alignment vertical="center"/>
    </xf>
    <xf numFmtId="0" fontId="55" fillId="8" borderId="0" xfId="144" applyNumberFormat="1" applyFont="1" applyFill="1" applyBorder="1" applyAlignment="1">
      <alignment horizontal="left" vertical="center"/>
    </xf>
    <xf numFmtId="0" fontId="37" fillId="8" borderId="0" xfId="144" applyFont="1" applyFill="1" applyBorder="1" applyAlignment="1">
      <alignment vertical="center"/>
    </xf>
    <xf numFmtId="0" fontId="52" fillId="8" borderId="0" xfId="472" applyNumberFormat="1" applyFont="1" applyFill="1" applyBorder="1" applyAlignment="1" applyProtection="1">
      <alignment horizontal="right" vertical="center"/>
      <protection locked="0"/>
    </xf>
    <xf numFmtId="0" fontId="55" fillId="8" borderId="0" xfId="144" applyNumberFormat="1" applyFont="1" applyFill="1" applyBorder="1" applyAlignment="1">
      <alignment vertical="center" wrapText="1"/>
    </xf>
    <xf numFmtId="0" fontId="55" fillId="8" borderId="0" xfId="144" applyNumberFormat="1" applyFont="1" applyFill="1" applyBorder="1" applyAlignment="1">
      <alignment horizontal="left" vertical="center" wrapText="1"/>
    </xf>
    <xf numFmtId="0" fontId="37" fillId="8" borderId="0" xfId="144" applyFont="1" applyFill="1" applyBorder="1" applyAlignment="1">
      <alignment vertical="center" wrapText="1"/>
    </xf>
    <xf numFmtId="49" fontId="56" fillId="8" borderId="0" xfId="472" applyNumberFormat="1" applyFont="1" applyFill="1" applyBorder="1" applyAlignment="1" applyProtection="1">
      <alignment vertical="center"/>
      <protection locked="0"/>
    </xf>
    <xf numFmtId="0" fontId="57" fillId="8" borderId="0" xfId="0" applyFont="1" applyFill="1" applyBorder="1" applyAlignment="1">
      <alignment vertical="center"/>
    </xf>
    <xf numFmtId="0" fontId="58" fillId="8" borderId="0" xfId="0" applyFont="1" applyFill="1" applyAlignment="1">
      <alignment vertical="center"/>
    </xf>
    <xf numFmtId="49" fontId="42" fillId="8" borderId="0" xfId="474" applyNumberFormat="1" applyFont="1" applyFill="1" applyBorder="1" applyAlignment="1" applyProtection="1">
      <alignment horizontal="left" vertical="center"/>
      <protection locked="0"/>
    </xf>
    <xf numFmtId="49" fontId="35" fillId="8" borderId="0" xfId="472" applyNumberFormat="1" applyFont="1" applyFill="1" applyBorder="1" applyAlignment="1" applyProtection="1">
      <alignment horizontal="left" vertical="center"/>
      <protection locked="0"/>
    </xf>
    <xf numFmtId="49" fontId="20" fillId="8" borderId="0" xfId="472" applyNumberFormat="1" applyFont="1" applyFill="1" applyBorder="1" applyAlignment="1" applyProtection="1">
      <alignment horizontal="left" vertical="center"/>
      <protection locked="0"/>
    </xf>
    <xf numFmtId="49" fontId="36" fillId="8" borderId="0" xfId="474" applyNumberFormat="1" applyFont="1" applyFill="1" applyBorder="1" applyAlignment="1" applyProtection="1">
      <alignment horizontal="left" vertical="center"/>
      <protection locked="0"/>
    </xf>
    <xf numFmtId="49" fontId="26" fillId="8" borderId="0" xfId="474" applyNumberFormat="1" applyFont="1" applyFill="1" applyBorder="1" applyAlignment="1" applyProtection="1">
      <alignment horizontal="left" vertical="center"/>
      <protection locked="0"/>
    </xf>
    <xf numFmtId="0" fontId="14" fillId="8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6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4" fillId="0" borderId="0" xfId="0" applyFont="1" applyFill="1" applyAlignment="1">
      <alignment vertical="center"/>
    </xf>
    <xf numFmtId="0" fontId="19" fillId="10" borderId="7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/>
    <xf numFmtId="0" fontId="21" fillId="10" borderId="7" xfId="0" applyFont="1" applyFill="1" applyBorder="1" applyAlignment="1">
      <alignment horizontal="center" vertical="center" wrapText="1"/>
    </xf>
    <xf numFmtId="0" fontId="65" fillId="0" borderId="7" xfId="0" applyFont="1" applyFill="1" applyBorder="1" applyAlignment="1">
      <alignment horizontal="center"/>
    </xf>
    <xf numFmtId="49" fontId="65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5" fillId="0" borderId="7" xfId="0" applyNumberFormat="1" applyFont="1" applyFill="1" applyBorder="1" applyAlignment="1">
      <alignment horizontal="center"/>
    </xf>
    <xf numFmtId="0" fontId="66" fillId="0" borderId="7" xfId="0" applyFont="1" applyFill="1" applyBorder="1" applyAlignment="1">
      <alignment horizontal="center" vertical="center"/>
    </xf>
    <xf numFmtId="49" fontId="67" fillId="0" borderId="7" xfId="0" applyNumberFormat="1" applyFont="1" applyFill="1" applyBorder="1" applyAlignment="1">
      <alignment horizontal="center" vertical="center"/>
    </xf>
    <xf numFmtId="0" fontId="68" fillId="0" borderId="7" xfId="0" applyFont="1" applyFill="1" applyBorder="1" applyAlignment="1">
      <alignment horizontal="center"/>
    </xf>
    <xf numFmtId="49" fontId="68" fillId="0" borderId="7" xfId="0" applyNumberFormat="1" applyFont="1" applyFill="1" applyBorder="1" applyAlignment="1">
      <alignment horizontal="center" vertical="center"/>
    </xf>
    <xf numFmtId="0" fontId="69" fillId="0" borderId="7" xfId="0" applyFont="1" applyFill="1" applyBorder="1" applyAlignment="1" applyProtection="1">
      <alignment horizontal="center" vertical="center"/>
      <protection locked="0"/>
    </xf>
    <xf numFmtId="49" fontId="68" fillId="0" borderId="7" xfId="0" applyNumberFormat="1" applyFont="1" applyFill="1" applyBorder="1" applyAlignment="1">
      <alignment horizontal="center"/>
    </xf>
    <xf numFmtId="0" fontId="70" fillId="0" borderId="7" xfId="0" applyFont="1" applyFill="1" applyBorder="1" applyAlignment="1">
      <alignment horizontal="center" vertical="center"/>
    </xf>
    <xf numFmtId="49" fontId="71" fillId="0" borderId="7" xfId="0" applyNumberFormat="1" applyFont="1" applyFill="1" applyBorder="1" applyAlignment="1">
      <alignment horizontal="center" vertical="center"/>
    </xf>
    <xf numFmtId="0" fontId="72" fillId="0" borderId="37" xfId="0" applyFont="1" applyFill="1" applyBorder="1" applyAlignment="1">
      <alignment horizontal="center"/>
    </xf>
    <xf numFmtId="49" fontId="72" fillId="0" borderId="37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2" fillId="0" borderId="6" xfId="0" applyNumberFormat="1" applyFont="1" applyFill="1" applyBorder="1" applyAlignment="1">
      <alignment horizontal="center"/>
    </xf>
    <xf numFmtId="49" fontId="73" fillId="0" borderId="38" xfId="0" applyNumberFormat="1" applyFont="1" applyFill="1" applyBorder="1" applyAlignment="1">
      <alignment horizontal="center" vertical="center"/>
    </xf>
    <xf numFmtId="0" fontId="74" fillId="0" borderId="6" xfId="0" applyFont="1" applyFill="1" applyBorder="1" applyAlignment="1">
      <alignment horizontal="center" vertical="center"/>
    </xf>
    <xf numFmtId="49" fontId="75" fillId="0" borderId="6" xfId="0" applyNumberFormat="1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/>
    </xf>
    <xf numFmtId="0" fontId="19" fillId="10" borderId="39" xfId="0" applyFont="1" applyFill="1" applyBorder="1" applyAlignment="1">
      <alignment horizontal="left" vertical="center"/>
    </xf>
    <xf numFmtId="4" fontId="19" fillId="10" borderId="40" xfId="0" applyNumberFormat="1" applyFont="1" applyFill="1" applyBorder="1" applyAlignment="1">
      <alignment horizontal="right" vertical="center"/>
    </xf>
    <xf numFmtId="4" fontId="19" fillId="10" borderId="6" xfId="0" applyNumberFormat="1" applyFont="1" applyFill="1" applyBorder="1" applyAlignment="1">
      <alignment horizontal="right" vertical="center"/>
    </xf>
    <xf numFmtId="4" fontId="19" fillId="10" borderId="38" xfId="0" applyNumberFormat="1" applyFont="1" applyFill="1" applyBorder="1" applyAlignment="1">
      <alignment horizontal="right" vertical="center"/>
    </xf>
    <xf numFmtId="0" fontId="19" fillId="10" borderId="41" xfId="0" applyFont="1" applyFill="1" applyBorder="1" applyAlignment="1">
      <alignment horizontal="left" vertical="center"/>
    </xf>
    <xf numFmtId="4" fontId="19" fillId="10" borderId="42" xfId="0" applyNumberFormat="1" applyFont="1" applyFill="1" applyBorder="1" applyAlignment="1">
      <alignment horizontal="right" vertical="center"/>
    </xf>
    <xf numFmtId="4" fontId="19" fillId="10" borderId="43" xfId="0" applyNumberFormat="1" applyFont="1" applyFill="1" applyBorder="1" applyAlignment="1">
      <alignment horizontal="right" vertical="center"/>
    </xf>
    <xf numFmtId="4" fontId="19" fillId="10" borderId="44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4" fillId="0" borderId="0" xfId="0" applyFont="1" applyFill="1" applyAlignment="1">
      <alignment vertical="center"/>
    </xf>
    <xf numFmtId="0" fontId="22" fillId="10" borderId="7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72" fillId="0" borderId="38" xfId="0" applyFont="1" applyFill="1" applyBorder="1" applyAlignment="1">
      <alignment horizontal="center"/>
    </xf>
    <xf numFmtId="0" fontId="73" fillId="0" borderId="38" xfId="0" applyFont="1" applyFill="1" applyBorder="1" applyAlignment="1">
      <alignment horizontal="center"/>
    </xf>
    <xf numFmtId="4" fontId="19" fillId="10" borderId="45" xfId="0" applyNumberFormat="1" applyFont="1" applyFill="1" applyBorder="1" applyAlignment="1">
      <alignment horizontal="right" vertical="center"/>
    </xf>
    <xf numFmtId="0" fontId="72" fillId="3" borderId="38" xfId="0" applyFont="1" applyFill="1" applyBorder="1" applyAlignment="1">
      <alignment horizontal="center"/>
    </xf>
    <xf numFmtId="0" fontId="73" fillId="3" borderId="38" xfId="0" applyFont="1" applyFill="1" applyBorder="1" applyAlignment="1">
      <alignment horizontal="center"/>
    </xf>
    <xf numFmtId="0" fontId="68" fillId="3" borderId="7" xfId="0" applyFont="1" applyFill="1" applyBorder="1" applyAlignment="1">
      <alignment horizontal="center"/>
    </xf>
    <xf numFmtId="0" fontId="59" fillId="0" borderId="7" xfId="0" applyFont="1" applyFill="1" applyBorder="1" applyAlignment="1">
      <alignment vertical="center"/>
    </xf>
    <xf numFmtId="0" fontId="60" fillId="0" borderId="7" xfId="0" applyFont="1" applyFill="1" applyBorder="1" applyAlignment="1">
      <alignment vertical="center"/>
    </xf>
    <xf numFmtId="0" fontId="61" fillId="0" borderId="38" xfId="0" applyFont="1" applyFill="1" applyBorder="1" applyAlignment="1">
      <alignment vertical="center"/>
    </xf>
    <xf numFmtId="0" fontId="19" fillId="10" borderId="7" xfId="0" applyNumberFormat="1" applyFont="1" applyFill="1" applyBorder="1" applyAlignment="1">
      <alignment horizontal="center" vertical="center" wrapText="1"/>
    </xf>
    <xf numFmtId="0" fontId="20" fillId="10" borderId="7" xfId="0" applyNumberFormat="1" applyFont="1" applyFill="1" applyBorder="1" applyAlignment="1">
      <alignment horizontal="center" vertical="center" wrapText="1"/>
    </xf>
    <xf numFmtId="186" fontId="76" fillId="0" borderId="7" xfId="0" applyNumberFormat="1" applyFont="1" applyFill="1" applyBorder="1" applyAlignment="1">
      <alignment horizontal="left" vertical="center"/>
    </xf>
    <xf numFmtId="0" fontId="65" fillId="0" borderId="7" xfId="0" applyNumberFormat="1" applyFont="1" applyFill="1" applyBorder="1" applyAlignment="1">
      <alignment horizontal="center"/>
    </xf>
    <xf numFmtId="186" fontId="77" fillId="0" borderId="7" xfId="0" applyNumberFormat="1" applyFont="1" applyFill="1" applyBorder="1" applyAlignment="1">
      <alignment horizontal="left" vertical="center"/>
    </xf>
    <xf numFmtId="0" fontId="68" fillId="0" borderId="7" xfId="0" applyNumberFormat="1" applyFont="1" applyFill="1" applyBorder="1" applyAlignment="1">
      <alignment horizontal="center"/>
    </xf>
    <xf numFmtId="49" fontId="72" fillId="0" borderId="38" xfId="0" applyNumberFormat="1" applyFont="1" applyFill="1" applyBorder="1" applyAlignment="1">
      <alignment horizontal="center" vertical="center"/>
    </xf>
    <xf numFmtId="186" fontId="78" fillId="0" borderId="38" xfId="0" applyNumberFormat="1" applyFont="1" applyFill="1" applyBorder="1" applyAlignment="1">
      <alignment horizontal="left" vertical="center"/>
    </xf>
    <xf numFmtId="0" fontId="72" fillId="0" borderId="38" xfId="0" applyNumberFormat="1" applyFont="1" applyFill="1" applyBorder="1" applyAlignment="1">
      <alignment horizontal="center"/>
    </xf>
    <xf numFmtId="0" fontId="19" fillId="10" borderId="45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9" fillId="10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4" fillId="0" borderId="10" xfId="0" applyNumberFormat="1" applyFont="1" applyFill="1" applyBorder="1" applyAlignment="1">
      <alignment horizontal="center"/>
    </xf>
    <xf numFmtId="4" fontId="80" fillId="0" borderId="7" xfId="0" applyNumberFormat="1" applyFont="1" applyFill="1" applyBorder="1" applyAlignment="1">
      <alignment horizontal="center" vertical="center" wrapText="1"/>
    </xf>
    <xf numFmtId="0" fontId="80" fillId="0" borderId="7" xfId="0" applyNumberFormat="1" applyFont="1" applyFill="1" applyBorder="1" applyAlignment="1">
      <alignment horizontal="center" vertical="center" wrapText="1"/>
    </xf>
    <xf numFmtId="49" fontId="81" fillId="0" borderId="10" xfId="0" applyNumberFormat="1" applyFont="1" applyFill="1" applyBorder="1" applyAlignment="1">
      <alignment horizontal="center"/>
    </xf>
    <xf numFmtId="4" fontId="20" fillId="0" borderId="38" xfId="0" applyNumberFormat="1" applyFont="1" applyFill="1" applyBorder="1" applyAlignment="1">
      <alignment horizontal="center" vertical="center" wrapText="1"/>
    </xf>
    <xf numFmtId="4" fontId="20" fillId="0" borderId="37" xfId="0" applyNumberFormat="1" applyFont="1" applyFill="1" applyBorder="1" applyAlignment="1">
      <alignment horizontal="center" vertical="center" wrapText="1"/>
    </xf>
    <xf numFmtId="0" fontId="20" fillId="0" borderId="38" xfId="0" applyNumberFormat="1" applyFont="1" applyFill="1" applyBorder="1" applyAlignment="1">
      <alignment horizontal="center" vertical="center" wrapText="1"/>
    </xf>
    <xf numFmtId="49" fontId="82" fillId="0" borderId="10" xfId="0" applyNumberFormat="1" applyFont="1" applyFill="1" applyBorder="1" applyAlignment="1">
      <alignment horizontal="center"/>
    </xf>
    <xf numFmtId="4" fontId="79" fillId="10" borderId="7" xfId="0" applyNumberFormat="1" applyFont="1" applyFill="1" applyBorder="1" applyAlignment="1">
      <alignment horizontal="right" vertical="center"/>
    </xf>
    <xf numFmtId="4" fontId="19" fillId="10" borderId="38" xfId="0" applyNumberFormat="1" applyFont="1" applyFill="1" applyBorder="1" applyAlignment="1">
      <alignment horizontal="center" vertical="center"/>
    </xf>
    <xf numFmtId="4" fontId="79" fillId="10" borderId="4" xfId="0" applyNumberFormat="1" applyFont="1" applyFill="1" applyBorder="1" applyAlignment="1">
      <alignment horizontal="right" vertical="center"/>
    </xf>
    <xf numFmtId="0" fontId="64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5" fillId="0" borderId="46" xfId="0" applyFont="1" applyFill="1" applyBorder="1" applyAlignment="1">
      <alignment horizontal="center"/>
    </xf>
    <xf numFmtId="0" fontId="65" fillId="0" borderId="47" xfId="0" applyFont="1" applyFill="1" applyBorder="1" applyAlignment="1">
      <alignment horizontal="center"/>
    </xf>
    <xf numFmtId="49" fontId="65" fillId="0" borderId="47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83" fillId="0" borderId="0" xfId="0" applyFont="1" applyFill="1" applyAlignment="1">
      <alignment vertical="center"/>
    </xf>
    <xf numFmtId="49" fontId="67" fillId="0" borderId="7" xfId="0" applyNumberFormat="1" applyFont="1" applyFill="1" applyBorder="1" applyAlignment="1" quotePrefix="1">
      <alignment horizontal="center" vertical="center"/>
    </xf>
    <xf numFmtId="49" fontId="71" fillId="0" borderId="7" xfId="0" applyNumberFormat="1" applyFont="1" applyFill="1" applyBorder="1" applyAlignment="1" quotePrefix="1">
      <alignment horizontal="center" vertical="center"/>
    </xf>
    <xf numFmtId="0" fontId="0" fillId="0" borderId="0" xfId="0" applyNumberFormat="1" quotePrefix="1">
      <alignment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7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12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 t="str">
            <v>创联/易才/天津代缴</v>
          </cell>
          <cell r="D2">
            <v>4447.97</v>
          </cell>
          <cell r="E2">
            <v>401.04</v>
          </cell>
          <cell r="F2">
            <v>25.07</v>
          </cell>
        </row>
        <row r="3">
          <cell r="B3" t="str">
            <v>赵亮</v>
          </cell>
          <cell r="C3" t="str">
            <v>创联/易才/四平</v>
          </cell>
          <cell r="D3">
            <v>8000</v>
          </cell>
          <cell r="E3">
            <v>344.57</v>
          </cell>
          <cell r="F3">
            <v>12.92</v>
          </cell>
        </row>
        <row r="4">
          <cell r="B4" t="str">
            <v>梁敏霞</v>
          </cell>
          <cell r="C4" t="str">
            <v>创联/易才/广州</v>
          </cell>
          <cell r="D4">
            <v>6100</v>
          </cell>
          <cell r="E4">
            <v>422.72</v>
          </cell>
          <cell r="F4">
            <v>4.6</v>
          </cell>
        </row>
        <row r="5">
          <cell r="B5" t="str">
            <v>徐明龙</v>
          </cell>
          <cell r="C5" t="str">
            <v>创联/湖南（蚌埠）易才</v>
          </cell>
          <cell r="D5">
            <v>9000</v>
          </cell>
          <cell r="E5">
            <v>338.16</v>
          </cell>
          <cell r="F5">
            <v>21.14</v>
          </cell>
        </row>
        <row r="6">
          <cell r="B6" t="str">
            <v>陈佳文</v>
          </cell>
          <cell r="C6" t="str">
            <v>创联/湖南（阜阳）易才</v>
          </cell>
          <cell r="D6">
            <v>10500</v>
          </cell>
          <cell r="E6">
            <v>338.16</v>
          </cell>
          <cell r="F6">
            <v>21.14</v>
          </cell>
        </row>
        <row r="7">
          <cell r="B7" t="str">
            <v>龙治旺</v>
          </cell>
          <cell r="C7" t="str">
            <v>创联/湖南（常德）易才</v>
          </cell>
          <cell r="D7">
            <v>6500</v>
          </cell>
          <cell r="E7">
            <v>322.16</v>
          </cell>
          <cell r="F7">
            <v>12.08</v>
          </cell>
        </row>
        <row r="8">
          <cell r="B8" t="str">
            <v>冯玉</v>
          </cell>
          <cell r="C8" t="str">
            <v>创联/易才/上海</v>
          </cell>
          <cell r="D8">
            <v>30060</v>
          </cell>
          <cell r="E8">
            <v>590.72</v>
          </cell>
          <cell r="F8">
            <v>36.92</v>
          </cell>
        </row>
        <row r="9">
          <cell r="B9" t="str">
            <v>汤祥文</v>
          </cell>
          <cell r="C9" t="str">
            <v>创联/湖南（芜湖）易才</v>
          </cell>
          <cell r="D9">
            <v>9000</v>
          </cell>
          <cell r="E9">
            <v>338.16</v>
          </cell>
          <cell r="F9">
            <v>21.14</v>
          </cell>
        </row>
        <row r="10">
          <cell r="B10" t="str">
            <v>杨旭</v>
          </cell>
          <cell r="C10" t="str">
            <v>创联/湖南（阜阳）易才</v>
          </cell>
          <cell r="D10">
            <v>7500</v>
          </cell>
          <cell r="E10">
            <v>338.16</v>
          </cell>
          <cell r="F10">
            <v>21.14</v>
          </cell>
        </row>
        <row r="11">
          <cell r="B11" t="str">
            <v>任志伟</v>
          </cell>
          <cell r="C11" t="str">
            <v>创联/湖南（阜阳）易才</v>
          </cell>
          <cell r="D11">
            <v>8000</v>
          </cell>
          <cell r="E11">
            <v>338.16</v>
          </cell>
          <cell r="F11">
            <v>21.14</v>
          </cell>
        </row>
        <row r="12">
          <cell r="B12" t="str">
            <v>张莉</v>
          </cell>
          <cell r="C12" t="str">
            <v>创联/湖南（合肥）易才</v>
          </cell>
          <cell r="D12">
            <v>6000</v>
          </cell>
          <cell r="E12">
            <v>338.16</v>
          </cell>
          <cell r="F12">
            <v>21.14</v>
          </cell>
        </row>
        <row r="13">
          <cell r="B13" t="str">
            <v>倪绍帅</v>
          </cell>
          <cell r="C13" t="str">
            <v>创联/易才/蚌埠</v>
          </cell>
          <cell r="D13">
            <v>10000</v>
          </cell>
          <cell r="E13">
            <v>338.16</v>
          </cell>
          <cell r="F13">
            <v>21.14</v>
          </cell>
        </row>
        <row r="14">
          <cell r="B14" t="str">
            <v>吕阳</v>
          </cell>
          <cell r="C14" t="str">
            <v>创联/易才/武汉</v>
          </cell>
          <cell r="D14">
            <v>7600</v>
          </cell>
          <cell r="E14">
            <v>337.92</v>
          </cell>
          <cell r="F14">
            <v>12.67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68" customWidth="1"/>
    <col min="2" max="2" width="25" style="268" customWidth="1"/>
    <col min="3" max="3" width="7.36666666666667" style="268" customWidth="1"/>
    <col min="4" max="4" width="9.45" style="268" customWidth="1"/>
    <col min="5" max="5" width="8.26666666666667" style="268" customWidth="1"/>
    <col min="6" max="6" width="11.9083333333333" style="268" customWidth="1"/>
    <col min="7" max="7" width="16.3666666666667" style="268" customWidth="1"/>
    <col min="8" max="11" width="8.45" style="268" customWidth="1"/>
    <col min="12" max="12" width="9.09166666666667" style="268" customWidth="1"/>
    <col min="13" max="14" width="9.26666666666667" style="268" customWidth="1"/>
    <col min="15" max="15" width="7.45" style="268" customWidth="1"/>
    <col min="16" max="16" width="11.2666666666667" style="268" customWidth="1"/>
    <col min="17" max="17" width="9.09166666666667" style="268" customWidth="1"/>
    <col min="18" max="21" width="9.26666666666667" style="268" customWidth="1"/>
    <col min="22" max="22" width="9.09166666666667" style="268" customWidth="1"/>
    <col min="23" max="26" width="9.26666666666667" style="268" customWidth="1"/>
    <col min="27" max="28" width="9.09166666666667" style="268" customWidth="1"/>
    <col min="29" max="29" width="9" style="268" customWidth="1"/>
    <col min="30" max="30" width="9.09166666666667" style="268" customWidth="1"/>
    <col min="31" max="31" width="9.26666666666667" style="268" customWidth="1"/>
    <col min="32" max="32" width="8.90833333333333" style="268" customWidth="1"/>
    <col min="33" max="33" width="9.09166666666667" style="268" customWidth="1"/>
    <col min="34" max="34" width="9.26666666666667" style="268" customWidth="1"/>
    <col min="35" max="35" width="11.0916666666667" style="268" customWidth="1"/>
    <col min="36" max="36" width="9.26666666666667" style="268" customWidth="1"/>
    <col min="37" max="37" width="8.45" style="268" customWidth="1"/>
    <col min="38" max="38" width="9.09166666666667" style="268" hidden="1" customWidth="1"/>
    <col min="39" max="42" width="9.26666666666667" style="268" hidden="1" customWidth="1"/>
    <col min="43" max="43" width="9.90833333333333" style="268" customWidth="1"/>
    <col min="44" max="44" width="9.36666666666667" style="268" customWidth="1"/>
    <col min="45" max="45" width="10.2666666666667" style="269" customWidth="1"/>
    <col min="46" max="46" width="10" style="269" customWidth="1"/>
    <col min="47" max="49" width="9.26666666666667" style="269" customWidth="1"/>
    <col min="50" max="50" width="9.26666666666667" style="268" customWidth="1"/>
    <col min="51" max="51" width="5.90833333333333" style="268" customWidth="1"/>
    <col min="52" max="52" width="8.36666666666667" style="268" customWidth="1"/>
    <col min="53" max="53" width="5.90833333333333" style="268" customWidth="1"/>
    <col min="54" max="54" width="8.90833333333333" style="268" customWidth="1"/>
    <col min="55" max="55" width="10.9083333333333" style="268" customWidth="1"/>
    <col min="56" max="56" width="40.2666666666667" style="270" customWidth="1"/>
    <col min="57" max="57" width="10.6333333333333" style="268" customWidth="1"/>
    <col min="58" max="16384" width="9" style="268"/>
  </cols>
  <sheetData>
    <row r="1" s="262" customFormat="1" ht="22.5" customHeight="1" spans="1:56">
      <c r="A1" s="271" t="s">
        <v>0</v>
      </c>
      <c r="B1" s="272" t="s">
        <v>1</v>
      </c>
      <c r="C1" s="272" t="s">
        <v>2</v>
      </c>
      <c r="D1" s="271" t="s">
        <v>3</v>
      </c>
      <c r="E1" s="272" t="s">
        <v>4</v>
      </c>
      <c r="F1" s="272" t="s">
        <v>5</v>
      </c>
      <c r="G1" s="272" t="s">
        <v>6</v>
      </c>
      <c r="H1" s="272" t="s">
        <v>7</v>
      </c>
      <c r="I1" s="272" t="s">
        <v>8</v>
      </c>
      <c r="J1" s="272" t="s">
        <v>9</v>
      </c>
      <c r="K1" s="272" t="s">
        <v>10</v>
      </c>
      <c r="L1" s="305" t="s">
        <v>11</v>
      </c>
      <c r="M1" s="305"/>
      <c r="N1" s="305"/>
      <c r="O1" s="305"/>
      <c r="P1" s="305"/>
      <c r="Q1" s="305" t="s">
        <v>12</v>
      </c>
      <c r="R1" s="305"/>
      <c r="S1" s="305"/>
      <c r="T1" s="305"/>
      <c r="U1" s="305"/>
      <c r="V1" s="305" t="s">
        <v>13</v>
      </c>
      <c r="W1" s="305"/>
      <c r="X1" s="305"/>
      <c r="Y1" s="305"/>
      <c r="Z1" s="305"/>
      <c r="AA1" s="271" t="s">
        <v>14</v>
      </c>
      <c r="AB1" s="271"/>
      <c r="AC1" s="271"/>
      <c r="AD1" s="271" t="s">
        <v>15</v>
      </c>
      <c r="AE1" s="271"/>
      <c r="AF1" s="271"/>
      <c r="AG1" s="305" t="s">
        <v>16</v>
      </c>
      <c r="AH1" s="305"/>
      <c r="AI1" s="305"/>
      <c r="AJ1" s="305"/>
      <c r="AK1" s="305"/>
      <c r="AL1" s="271" t="s">
        <v>17</v>
      </c>
      <c r="AM1" s="271"/>
      <c r="AN1" s="271"/>
      <c r="AO1" s="271"/>
      <c r="AP1" s="271"/>
      <c r="AQ1" s="271" t="s">
        <v>18</v>
      </c>
      <c r="AR1" s="271"/>
      <c r="AS1" s="316" t="s">
        <v>19</v>
      </c>
      <c r="AT1" s="316"/>
      <c r="AU1" s="316"/>
      <c r="AV1" s="316"/>
      <c r="AW1" s="316"/>
      <c r="AX1" s="271" t="s">
        <v>20</v>
      </c>
      <c r="AY1" s="271"/>
      <c r="AZ1" s="271" t="s">
        <v>21</v>
      </c>
      <c r="BA1" s="271"/>
      <c r="BB1" s="271" t="s">
        <v>22</v>
      </c>
      <c r="BC1" s="271" t="s">
        <v>23</v>
      </c>
      <c r="BD1" s="327" t="s">
        <v>24</v>
      </c>
    </row>
    <row r="2" ht="22.5" customHeight="1" spans="1:56">
      <c r="A2" s="271"/>
      <c r="B2" s="273"/>
      <c r="C2" s="272"/>
      <c r="D2" s="271"/>
      <c r="E2" s="272"/>
      <c r="F2" s="274"/>
      <c r="G2" s="274"/>
      <c r="H2" s="272"/>
      <c r="I2" s="272"/>
      <c r="J2" s="272"/>
      <c r="K2" s="272"/>
      <c r="L2" s="306" t="s">
        <v>25</v>
      </c>
      <c r="M2" s="306" t="s">
        <v>26</v>
      </c>
      <c r="N2" s="306" t="s">
        <v>27</v>
      </c>
      <c r="O2" s="306" t="s">
        <v>28</v>
      </c>
      <c r="P2" s="306" t="s">
        <v>29</v>
      </c>
      <c r="Q2" s="306" t="s">
        <v>25</v>
      </c>
      <c r="R2" s="306" t="s">
        <v>26</v>
      </c>
      <c r="S2" s="306" t="s">
        <v>27</v>
      </c>
      <c r="T2" s="306" t="s">
        <v>28</v>
      </c>
      <c r="U2" s="306" t="s">
        <v>29</v>
      </c>
      <c r="V2" s="306" t="s">
        <v>25</v>
      </c>
      <c r="W2" s="306" t="s">
        <v>26</v>
      </c>
      <c r="X2" s="306" t="s">
        <v>27</v>
      </c>
      <c r="Y2" s="306" t="s">
        <v>28</v>
      </c>
      <c r="Z2" s="306" t="s">
        <v>29</v>
      </c>
      <c r="AA2" s="306" t="s">
        <v>25</v>
      </c>
      <c r="AB2" s="306" t="s">
        <v>30</v>
      </c>
      <c r="AC2" s="306" t="s">
        <v>31</v>
      </c>
      <c r="AD2" s="306" t="s">
        <v>25</v>
      </c>
      <c r="AE2" s="306" t="s">
        <v>30</v>
      </c>
      <c r="AF2" s="306" t="s">
        <v>31</v>
      </c>
      <c r="AG2" s="306" t="s">
        <v>25</v>
      </c>
      <c r="AH2" s="306" t="s">
        <v>26</v>
      </c>
      <c r="AI2" s="306" t="s">
        <v>27</v>
      </c>
      <c r="AJ2" s="306" t="s">
        <v>28</v>
      </c>
      <c r="AK2" s="306" t="s">
        <v>29</v>
      </c>
      <c r="AL2" s="306" t="s">
        <v>25</v>
      </c>
      <c r="AM2" s="306" t="s">
        <v>26</v>
      </c>
      <c r="AN2" s="306" t="s">
        <v>27</v>
      </c>
      <c r="AO2" s="306" t="s">
        <v>28</v>
      </c>
      <c r="AP2" s="306" t="s">
        <v>29</v>
      </c>
      <c r="AQ2" s="306" t="s">
        <v>32</v>
      </c>
      <c r="AR2" s="306" t="s">
        <v>33</v>
      </c>
      <c r="AS2" s="317" t="s">
        <v>34</v>
      </c>
      <c r="AT2" s="317" t="s">
        <v>35</v>
      </c>
      <c r="AU2" s="317" t="s">
        <v>36</v>
      </c>
      <c r="AV2" s="317" t="s">
        <v>37</v>
      </c>
      <c r="AW2" s="317" t="s">
        <v>38</v>
      </c>
      <c r="AX2" s="271"/>
      <c r="AY2" s="271"/>
      <c r="AZ2" s="271"/>
      <c r="BA2" s="271"/>
      <c r="BB2" s="271"/>
      <c r="BC2" s="271"/>
      <c r="BD2" s="327"/>
    </row>
    <row r="3" s="263" customFormat="1" ht="18" customHeight="1" spans="1:60">
      <c r="A3" s="275">
        <v>1</v>
      </c>
      <c r="B3" s="276" t="s">
        <v>39</v>
      </c>
      <c r="C3" s="277" t="s">
        <v>40</v>
      </c>
      <c r="D3" s="278" t="s">
        <v>41</v>
      </c>
      <c r="E3" s="276" t="s">
        <v>42</v>
      </c>
      <c r="F3" s="279" t="s">
        <v>43</v>
      </c>
      <c r="G3" s="280" t="s">
        <v>44</v>
      </c>
      <c r="H3" s="278" t="s">
        <v>45</v>
      </c>
      <c r="I3" s="278" t="s">
        <v>45</v>
      </c>
      <c r="J3" s="278" t="s">
        <v>46</v>
      </c>
      <c r="K3" s="278" t="s">
        <v>46</v>
      </c>
      <c r="L3" s="275">
        <v>3300</v>
      </c>
      <c r="M3" s="275">
        <v>0.16</v>
      </c>
      <c r="N3" s="275">
        <f t="shared" ref="N3:N8" si="0">ROUND(L3*M3,2)</f>
        <v>528</v>
      </c>
      <c r="O3" s="275">
        <v>0.08</v>
      </c>
      <c r="P3" s="275">
        <f t="shared" ref="P3:P8" si="1">ROUND(L3*O3,2)</f>
        <v>264</v>
      </c>
      <c r="Q3" s="275">
        <v>3300</v>
      </c>
      <c r="R3" s="275">
        <v>0.08</v>
      </c>
      <c r="S3" s="275">
        <f t="shared" ref="S3:S8" si="2">ROUND(Q3*R3,2)</f>
        <v>264</v>
      </c>
      <c r="T3" s="275">
        <v>0.02</v>
      </c>
      <c r="U3" s="275">
        <f t="shared" ref="U3:U8" si="3">ROUND(Q3*T3,2)</f>
        <v>66</v>
      </c>
      <c r="V3" s="275">
        <v>3300</v>
      </c>
      <c r="W3" s="275">
        <v>0.007</v>
      </c>
      <c r="X3" s="275">
        <f t="shared" ref="X3:X8" si="4">ROUND(V3*W3,2)</f>
        <v>23.1</v>
      </c>
      <c r="Y3" s="275">
        <v>0.003</v>
      </c>
      <c r="Z3" s="275">
        <f t="shared" ref="Z3:Z8" si="5">ROUND(V3*Y3,2)</f>
        <v>9.9</v>
      </c>
      <c r="AA3" s="275"/>
      <c r="AB3" s="275"/>
      <c r="AC3" s="275"/>
      <c r="AD3" s="275">
        <v>3300</v>
      </c>
      <c r="AE3" s="275">
        <v>0.002</v>
      </c>
      <c r="AF3" s="275">
        <f t="shared" ref="AF3:AF15" si="6">ROUND(AD3*AE3,2)</f>
        <v>6.6</v>
      </c>
      <c r="AG3" s="275">
        <v>3000</v>
      </c>
      <c r="AH3" s="275">
        <v>0.1</v>
      </c>
      <c r="AI3" s="275">
        <f>ROUND(AG3*AH3,2)</f>
        <v>300</v>
      </c>
      <c r="AJ3" s="275">
        <v>0.06</v>
      </c>
      <c r="AK3" s="275">
        <f>ROUND(AG3*AJ3,2)</f>
        <v>180</v>
      </c>
      <c r="AL3" s="313"/>
      <c r="AM3" s="275"/>
      <c r="AN3" s="275"/>
      <c r="AO3" s="275"/>
      <c r="AP3" s="276" t="s">
        <v>47</v>
      </c>
      <c r="AQ3" s="318">
        <v>5</v>
      </c>
      <c r="AR3" s="275"/>
      <c r="AS3" s="319">
        <f t="shared" ref="AS3:AS15" si="7">N3+S3+X3+AC3+AF3+AN3+AQ3</f>
        <v>826.7</v>
      </c>
      <c r="AT3" s="319">
        <f t="shared" ref="AT3:AT15" si="8">P3+U3+Z3</f>
        <v>339.9</v>
      </c>
      <c r="AU3" s="319">
        <f t="shared" ref="AU3:AU15" si="9">AI3</f>
        <v>300</v>
      </c>
      <c r="AV3" s="319">
        <f t="shared" ref="AV3:AV15" si="10">AK3</f>
        <v>180</v>
      </c>
      <c r="AW3" s="319">
        <f t="shared" ref="AW3:AW15" si="11">AV3+AS3+AT3+AU3</f>
        <v>1646.6</v>
      </c>
      <c r="AX3" s="328">
        <f t="shared" ref="AX3:AX15" si="12">AS3+AT3</f>
        <v>1166.6</v>
      </c>
      <c r="AY3" s="328"/>
      <c r="AZ3" s="328">
        <f t="shared" ref="AZ3:AZ8" si="13">AU3+AV3</f>
        <v>480</v>
      </c>
      <c r="BA3" s="328"/>
      <c r="BB3" s="329">
        <v>80</v>
      </c>
      <c r="BC3" s="328">
        <f t="shared" ref="BC3:BC15" si="14">AX3+AZ3+BB3</f>
        <v>1726.6</v>
      </c>
      <c r="BD3" s="330"/>
      <c r="BE3" s="344"/>
      <c r="BF3" s="345"/>
      <c r="BG3" s="345"/>
      <c r="BH3" s="346" t="s">
        <v>47</v>
      </c>
    </row>
    <row r="4" s="263" customFormat="1" ht="18" customHeight="1" spans="1:60">
      <c r="A4" s="275"/>
      <c r="B4" s="276" t="s">
        <v>39</v>
      </c>
      <c r="C4" s="277" t="s">
        <v>40</v>
      </c>
      <c r="D4" s="278" t="s">
        <v>41</v>
      </c>
      <c r="E4" s="276" t="s">
        <v>42</v>
      </c>
      <c r="F4" s="279" t="s">
        <v>43</v>
      </c>
      <c r="G4" s="280" t="s">
        <v>44</v>
      </c>
      <c r="H4" s="278" t="s">
        <v>45</v>
      </c>
      <c r="I4" s="278" t="s">
        <v>45</v>
      </c>
      <c r="J4" s="278" t="s">
        <v>48</v>
      </c>
      <c r="K4" s="278" t="s">
        <v>48</v>
      </c>
      <c r="L4" s="275">
        <v>3300</v>
      </c>
      <c r="M4" s="275">
        <v>0.16</v>
      </c>
      <c r="N4" s="275">
        <f t="shared" si="0"/>
        <v>528</v>
      </c>
      <c r="O4" s="275">
        <v>0.08</v>
      </c>
      <c r="P4" s="275">
        <f t="shared" si="1"/>
        <v>264</v>
      </c>
      <c r="Q4" s="275">
        <v>3300</v>
      </c>
      <c r="R4" s="275">
        <v>0.08</v>
      </c>
      <c r="S4" s="275">
        <f t="shared" si="2"/>
        <v>264</v>
      </c>
      <c r="T4" s="275">
        <v>0.02</v>
      </c>
      <c r="U4" s="275">
        <f t="shared" si="3"/>
        <v>66</v>
      </c>
      <c r="V4" s="275">
        <v>3300</v>
      </c>
      <c r="W4" s="275">
        <v>0.007</v>
      </c>
      <c r="X4" s="275">
        <f t="shared" si="4"/>
        <v>23.1</v>
      </c>
      <c r="Y4" s="275">
        <v>0.003</v>
      </c>
      <c r="Z4" s="275">
        <f t="shared" si="5"/>
        <v>9.9</v>
      </c>
      <c r="AA4" s="275"/>
      <c r="AB4" s="275"/>
      <c r="AC4" s="275"/>
      <c r="AD4" s="275">
        <v>3300</v>
      </c>
      <c r="AE4" s="275">
        <v>0.002</v>
      </c>
      <c r="AF4" s="275">
        <f t="shared" si="6"/>
        <v>6.6</v>
      </c>
      <c r="AG4" s="275">
        <v>3000</v>
      </c>
      <c r="AH4" s="275">
        <v>0.1</v>
      </c>
      <c r="AI4" s="275">
        <f>ROUND(AG4*AH4,2)</f>
        <v>300</v>
      </c>
      <c r="AJ4" s="275">
        <v>0.06</v>
      </c>
      <c r="AK4" s="275">
        <f>ROUND(AG4*AJ4,2)</f>
        <v>180</v>
      </c>
      <c r="AL4" s="313"/>
      <c r="AM4" s="275"/>
      <c r="AN4" s="275"/>
      <c r="AO4" s="275"/>
      <c r="AP4" s="276" t="s">
        <v>47</v>
      </c>
      <c r="AQ4" s="318">
        <v>5</v>
      </c>
      <c r="AR4" s="275"/>
      <c r="AS4" s="319">
        <f t="shared" si="7"/>
        <v>826.7</v>
      </c>
      <c r="AT4" s="319">
        <f t="shared" si="8"/>
        <v>339.9</v>
      </c>
      <c r="AU4" s="319">
        <f t="shared" si="9"/>
        <v>300</v>
      </c>
      <c r="AV4" s="319">
        <f t="shared" si="10"/>
        <v>180</v>
      </c>
      <c r="AW4" s="319">
        <f t="shared" si="11"/>
        <v>1646.6</v>
      </c>
      <c r="AX4" s="328">
        <f t="shared" si="12"/>
        <v>1166.6</v>
      </c>
      <c r="AY4" s="328"/>
      <c r="AZ4" s="328">
        <f t="shared" si="13"/>
        <v>480</v>
      </c>
      <c r="BA4" s="328"/>
      <c r="BB4" s="329">
        <v>80</v>
      </c>
      <c r="BC4" s="328">
        <f t="shared" si="14"/>
        <v>1726.6</v>
      </c>
      <c r="BD4" s="330"/>
      <c r="BE4" s="344"/>
      <c r="BF4" s="345"/>
      <c r="BG4" s="345"/>
      <c r="BH4" s="346" t="s">
        <v>47</v>
      </c>
    </row>
    <row r="5" s="263" customFormat="1" ht="18" customHeight="1" spans="1:60">
      <c r="A5" s="275"/>
      <c r="B5" s="276" t="s">
        <v>39</v>
      </c>
      <c r="C5" s="277" t="s">
        <v>40</v>
      </c>
      <c r="D5" s="278" t="s">
        <v>41</v>
      </c>
      <c r="E5" s="276" t="s">
        <v>42</v>
      </c>
      <c r="F5" s="279" t="s">
        <v>43</v>
      </c>
      <c r="G5" s="280" t="s">
        <v>44</v>
      </c>
      <c r="H5" s="278" t="s">
        <v>45</v>
      </c>
      <c r="I5" s="278" t="s">
        <v>45</v>
      </c>
      <c r="J5" s="278" t="s">
        <v>49</v>
      </c>
      <c r="K5" s="278" t="s">
        <v>49</v>
      </c>
      <c r="L5" s="275">
        <v>3300</v>
      </c>
      <c r="M5" s="275">
        <v>0.16</v>
      </c>
      <c r="N5" s="275">
        <f t="shared" si="0"/>
        <v>528</v>
      </c>
      <c r="O5" s="275">
        <v>0.08</v>
      </c>
      <c r="P5" s="275">
        <f t="shared" si="1"/>
        <v>264</v>
      </c>
      <c r="Q5" s="275">
        <v>3300</v>
      </c>
      <c r="R5" s="275">
        <v>0.08</v>
      </c>
      <c r="S5" s="275">
        <f t="shared" si="2"/>
        <v>264</v>
      </c>
      <c r="T5" s="275">
        <v>0.02</v>
      </c>
      <c r="U5" s="275">
        <f t="shared" si="3"/>
        <v>66</v>
      </c>
      <c r="V5" s="275">
        <v>3300</v>
      </c>
      <c r="W5" s="275">
        <v>0.007</v>
      </c>
      <c r="X5" s="275">
        <f t="shared" si="4"/>
        <v>23.1</v>
      </c>
      <c r="Y5" s="275">
        <v>0.003</v>
      </c>
      <c r="Z5" s="275">
        <f t="shared" si="5"/>
        <v>9.9</v>
      </c>
      <c r="AA5" s="275"/>
      <c r="AB5" s="275"/>
      <c r="AC5" s="275"/>
      <c r="AD5" s="275">
        <v>3300</v>
      </c>
      <c r="AE5" s="275">
        <v>0.002</v>
      </c>
      <c r="AF5" s="275">
        <f t="shared" si="6"/>
        <v>6.6</v>
      </c>
      <c r="AG5" s="275">
        <v>3000</v>
      </c>
      <c r="AH5" s="275">
        <v>0.1</v>
      </c>
      <c r="AI5" s="275">
        <f>ROUND(AG5*AH5,2)</f>
        <v>300</v>
      </c>
      <c r="AJ5" s="275">
        <v>0.06</v>
      </c>
      <c r="AK5" s="275">
        <f>ROUND(AG5*AJ5,2)</f>
        <v>180</v>
      </c>
      <c r="AL5" s="313"/>
      <c r="AM5" s="275"/>
      <c r="AN5" s="275"/>
      <c r="AO5" s="275"/>
      <c r="AP5" s="276" t="s">
        <v>47</v>
      </c>
      <c r="AQ5" s="318">
        <v>5</v>
      </c>
      <c r="AR5" s="275"/>
      <c r="AS5" s="319">
        <f t="shared" si="7"/>
        <v>826.7</v>
      </c>
      <c r="AT5" s="319">
        <f t="shared" si="8"/>
        <v>339.9</v>
      </c>
      <c r="AU5" s="319">
        <f t="shared" si="9"/>
        <v>300</v>
      </c>
      <c r="AV5" s="319">
        <f t="shared" si="10"/>
        <v>180</v>
      </c>
      <c r="AW5" s="319">
        <f t="shared" si="11"/>
        <v>1646.6</v>
      </c>
      <c r="AX5" s="328">
        <f t="shared" si="12"/>
        <v>1166.6</v>
      </c>
      <c r="AY5" s="328"/>
      <c r="AZ5" s="328">
        <f t="shared" si="13"/>
        <v>480</v>
      </c>
      <c r="BA5" s="328"/>
      <c r="BB5" s="329">
        <v>80</v>
      </c>
      <c r="BC5" s="328">
        <f t="shared" si="14"/>
        <v>1726.6</v>
      </c>
      <c r="BD5" s="330"/>
      <c r="BE5" s="344"/>
      <c r="BF5" s="345"/>
      <c r="BG5" s="345"/>
      <c r="BH5" s="346" t="s">
        <v>47</v>
      </c>
    </row>
    <row r="6" s="263" customFormat="1" ht="18" customHeight="1" spans="1:60">
      <c r="A6" s="275">
        <v>2</v>
      </c>
      <c r="B6" s="276" t="s">
        <v>39</v>
      </c>
      <c r="C6" s="277" t="s">
        <v>50</v>
      </c>
      <c r="D6" s="278" t="s">
        <v>41</v>
      </c>
      <c r="E6" s="276" t="s">
        <v>51</v>
      </c>
      <c r="F6" s="279" t="s">
        <v>52</v>
      </c>
      <c r="G6" s="349" t="s">
        <v>53</v>
      </c>
      <c r="H6" s="278" t="s">
        <v>45</v>
      </c>
      <c r="I6" s="278" t="s">
        <v>54</v>
      </c>
      <c r="J6" s="278" t="s">
        <v>46</v>
      </c>
      <c r="K6" s="278" t="s">
        <v>54</v>
      </c>
      <c r="L6" s="275">
        <v>3803</v>
      </c>
      <c r="M6" s="275">
        <v>0.14</v>
      </c>
      <c r="N6" s="275">
        <f t="shared" si="0"/>
        <v>532.42</v>
      </c>
      <c r="O6" s="275">
        <v>0.08</v>
      </c>
      <c r="P6" s="275">
        <f t="shared" si="1"/>
        <v>304.24</v>
      </c>
      <c r="Q6" s="275">
        <v>6175</v>
      </c>
      <c r="R6" s="275">
        <v>0.055</v>
      </c>
      <c r="S6" s="275">
        <f t="shared" si="2"/>
        <v>339.63</v>
      </c>
      <c r="T6" s="275">
        <v>0.02</v>
      </c>
      <c r="U6" s="275">
        <f t="shared" si="3"/>
        <v>123.5</v>
      </c>
      <c r="V6" s="275">
        <v>3803</v>
      </c>
      <c r="W6" s="275">
        <v>0.0032</v>
      </c>
      <c r="X6" s="275">
        <f t="shared" si="4"/>
        <v>12.17</v>
      </c>
      <c r="Y6" s="275">
        <v>0.002</v>
      </c>
      <c r="Z6" s="275">
        <f t="shared" si="5"/>
        <v>7.61</v>
      </c>
      <c r="AA6" s="275">
        <v>6175</v>
      </c>
      <c r="AB6" s="275">
        <v>0.0085</v>
      </c>
      <c r="AC6" s="275">
        <f t="shared" ref="AC6:AC8" si="15">ROUND(AA6*AB6,2)</f>
        <v>52.49</v>
      </c>
      <c r="AD6" s="275">
        <v>3803</v>
      </c>
      <c r="AE6" s="275">
        <v>0.0016</v>
      </c>
      <c r="AF6" s="275">
        <f t="shared" si="6"/>
        <v>6.08</v>
      </c>
      <c r="AG6" s="275"/>
      <c r="AH6" s="275"/>
      <c r="AI6" s="275"/>
      <c r="AJ6" s="275"/>
      <c r="AK6" s="275"/>
      <c r="AL6" s="313"/>
      <c r="AM6" s="275"/>
      <c r="AN6" s="275"/>
      <c r="AO6" s="275"/>
      <c r="AP6" s="276"/>
      <c r="AQ6" s="318">
        <v>26.76</v>
      </c>
      <c r="AR6" s="275"/>
      <c r="AS6" s="319">
        <f t="shared" si="7"/>
        <v>969.55</v>
      </c>
      <c r="AT6" s="319">
        <f t="shared" si="8"/>
        <v>435.35</v>
      </c>
      <c r="AU6" s="319">
        <f t="shared" si="9"/>
        <v>0</v>
      </c>
      <c r="AV6" s="319">
        <f t="shared" si="10"/>
        <v>0</v>
      </c>
      <c r="AW6" s="319">
        <f t="shared" si="11"/>
        <v>1404.9</v>
      </c>
      <c r="AX6" s="328">
        <f t="shared" si="12"/>
        <v>1404.9</v>
      </c>
      <c r="AY6" s="328"/>
      <c r="AZ6" s="328">
        <f t="shared" si="13"/>
        <v>0</v>
      </c>
      <c r="BA6" s="328"/>
      <c r="BB6" s="329">
        <v>80</v>
      </c>
      <c r="BC6" s="328">
        <f t="shared" si="14"/>
        <v>1484.9</v>
      </c>
      <c r="BD6" s="330"/>
      <c r="BE6" s="347"/>
      <c r="BF6" s="347"/>
      <c r="BG6" s="347"/>
      <c r="BH6" s="347"/>
    </row>
    <row r="7" s="263" customFormat="1" ht="18" customHeight="1" spans="1:60">
      <c r="A7" s="275"/>
      <c r="B7" s="276" t="s">
        <v>39</v>
      </c>
      <c r="C7" s="277" t="s">
        <v>50</v>
      </c>
      <c r="D7" s="278" t="s">
        <v>41</v>
      </c>
      <c r="E7" s="276" t="s">
        <v>51</v>
      </c>
      <c r="F7" s="279" t="s">
        <v>52</v>
      </c>
      <c r="G7" s="349" t="s">
        <v>53</v>
      </c>
      <c r="H7" s="278" t="s">
        <v>45</v>
      </c>
      <c r="I7" s="278" t="s">
        <v>54</v>
      </c>
      <c r="J7" s="278" t="s">
        <v>48</v>
      </c>
      <c r="K7" s="278" t="s">
        <v>54</v>
      </c>
      <c r="L7" s="275">
        <v>3803</v>
      </c>
      <c r="M7" s="275">
        <v>0.14</v>
      </c>
      <c r="N7" s="275">
        <f t="shared" si="0"/>
        <v>532.42</v>
      </c>
      <c r="O7" s="275">
        <v>0.08</v>
      </c>
      <c r="P7" s="275">
        <f t="shared" si="1"/>
        <v>304.24</v>
      </c>
      <c r="Q7" s="275">
        <v>6175</v>
      </c>
      <c r="R7" s="275">
        <v>0.055</v>
      </c>
      <c r="S7" s="275">
        <f t="shared" si="2"/>
        <v>339.63</v>
      </c>
      <c r="T7" s="275">
        <v>0.02</v>
      </c>
      <c r="U7" s="275">
        <f t="shared" si="3"/>
        <v>123.5</v>
      </c>
      <c r="V7" s="275">
        <v>3803</v>
      </c>
      <c r="W7" s="275">
        <v>0.0032</v>
      </c>
      <c r="X7" s="275">
        <f t="shared" si="4"/>
        <v>12.17</v>
      </c>
      <c r="Y7" s="275">
        <v>0.002</v>
      </c>
      <c r="Z7" s="275">
        <f t="shared" si="5"/>
        <v>7.61</v>
      </c>
      <c r="AA7" s="275">
        <v>6175</v>
      </c>
      <c r="AB7" s="275">
        <v>0.0085</v>
      </c>
      <c r="AC7" s="275">
        <f t="shared" si="15"/>
        <v>52.49</v>
      </c>
      <c r="AD7" s="275">
        <v>3803</v>
      </c>
      <c r="AE7" s="275">
        <v>0.0016</v>
      </c>
      <c r="AF7" s="275">
        <f t="shared" si="6"/>
        <v>6.08</v>
      </c>
      <c r="AG7" s="275"/>
      <c r="AH7" s="275"/>
      <c r="AI7" s="275"/>
      <c r="AJ7" s="275"/>
      <c r="AK7" s="275"/>
      <c r="AL7" s="313"/>
      <c r="AM7" s="275"/>
      <c r="AN7" s="275"/>
      <c r="AO7" s="275"/>
      <c r="AP7" s="276"/>
      <c r="AQ7" s="318">
        <v>26.76</v>
      </c>
      <c r="AR7" s="275"/>
      <c r="AS7" s="319">
        <f t="shared" si="7"/>
        <v>969.55</v>
      </c>
      <c r="AT7" s="319">
        <f t="shared" si="8"/>
        <v>435.35</v>
      </c>
      <c r="AU7" s="319">
        <f t="shared" si="9"/>
        <v>0</v>
      </c>
      <c r="AV7" s="319">
        <f t="shared" si="10"/>
        <v>0</v>
      </c>
      <c r="AW7" s="319">
        <f t="shared" si="11"/>
        <v>1404.9</v>
      </c>
      <c r="AX7" s="328">
        <f t="shared" si="12"/>
        <v>1404.9</v>
      </c>
      <c r="AY7" s="328"/>
      <c r="AZ7" s="328">
        <f t="shared" si="13"/>
        <v>0</v>
      </c>
      <c r="BA7" s="328"/>
      <c r="BB7" s="329">
        <v>80</v>
      </c>
      <c r="BC7" s="328">
        <f t="shared" si="14"/>
        <v>1484.9</v>
      </c>
      <c r="BD7" s="330"/>
      <c r="BE7" s="347"/>
      <c r="BF7" s="347"/>
      <c r="BG7" s="347"/>
      <c r="BH7" s="347"/>
    </row>
    <row r="8" s="263" customFormat="1" ht="18" customHeight="1" spans="1:60">
      <c r="A8" s="275"/>
      <c r="B8" s="276" t="s">
        <v>39</v>
      </c>
      <c r="C8" s="277" t="s">
        <v>50</v>
      </c>
      <c r="D8" s="278" t="s">
        <v>41</v>
      </c>
      <c r="E8" s="276" t="s">
        <v>51</v>
      </c>
      <c r="F8" s="279" t="s">
        <v>52</v>
      </c>
      <c r="G8" s="349" t="s">
        <v>53</v>
      </c>
      <c r="H8" s="278" t="s">
        <v>45</v>
      </c>
      <c r="I8" s="278" t="s">
        <v>54</v>
      </c>
      <c r="J8" s="278" t="s">
        <v>49</v>
      </c>
      <c r="K8" s="278" t="s">
        <v>54</v>
      </c>
      <c r="L8" s="275">
        <v>3803</v>
      </c>
      <c r="M8" s="275">
        <v>0.14</v>
      </c>
      <c r="N8" s="275">
        <f t="shared" si="0"/>
        <v>532.42</v>
      </c>
      <c r="O8" s="275">
        <v>0.08</v>
      </c>
      <c r="P8" s="275">
        <f t="shared" si="1"/>
        <v>304.24</v>
      </c>
      <c r="Q8" s="275">
        <v>6175</v>
      </c>
      <c r="R8" s="275">
        <v>0.055</v>
      </c>
      <c r="S8" s="275">
        <f t="shared" si="2"/>
        <v>339.63</v>
      </c>
      <c r="T8" s="275">
        <v>0.02</v>
      </c>
      <c r="U8" s="275">
        <f t="shared" si="3"/>
        <v>123.5</v>
      </c>
      <c r="V8" s="275">
        <v>3803</v>
      </c>
      <c r="W8" s="275">
        <v>0.0032</v>
      </c>
      <c r="X8" s="275">
        <f t="shared" si="4"/>
        <v>12.17</v>
      </c>
      <c r="Y8" s="275">
        <v>0.002</v>
      </c>
      <c r="Z8" s="275">
        <f t="shared" si="5"/>
        <v>7.61</v>
      </c>
      <c r="AA8" s="275">
        <v>6175</v>
      </c>
      <c r="AB8" s="275">
        <v>0.0085</v>
      </c>
      <c r="AC8" s="275">
        <f t="shared" si="15"/>
        <v>52.49</v>
      </c>
      <c r="AD8" s="275">
        <v>3803</v>
      </c>
      <c r="AE8" s="275">
        <v>0.0016</v>
      </c>
      <c r="AF8" s="275">
        <f t="shared" si="6"/>
        <v>6.08</v>
      </c>
      <c r="AG8" s="275"/>
      <c r="AH8" s="275"/>
      <c r="AI8" s="275"/>
      <c r="AJ8" s="275"/>
      <c r="AK8" s="275"/>
      <c r="AL8" s="313"/>
      <c r="AM8" s="275"/>
      <c r="AN8" s="275"/>
      <c r="AO8" s="275"/>
      <c r="AP8" s="276"/>
      <c r="AQ8" s="318">
        <v>26.76</v>
      </c>
      <c r="AR8" s="275"/>
      <c r="AS8" s="319">
        <f t="shared" si="7"/>
        <v>969.55</v>
      </c>
      <c r="AT8" s="319">
        <f t="shared" si="8"/>
        <v>435.35</v>
      </c>
      <c r="AU8" s="319">
        <f t="shared" si="9"/>
        <v>0</v>
      </c>
      <c r="AV8" s="319">
        <f t="shared" si="10"/>
        <v>0</v>
      </c>
      <c r="AW8" s="319">
        <f t="shared" si="11"/>
        <v>1404.9</v>
      </c>
      <c r="AX8" s="328">
        <f t="shared" si="12"/>
        <v>1404.9</v>
      </c>
      <c r="AY8" s="328"/>
      <c r="AZ8" s="328">
        <f t="shared" si="13"/>
        <v>0</v>
      </c>
      <c r="BA8" s="328"/>
      <c r="BB8" s="329">
        <v>80</v>
      </c>
      <c r="BC8" s="328">
        <f t="shared" si="14"/>
        <v>1484.9</v>
      </c>
      <c r="BD8" s="330"/>
      <c r="BE8" s="347"/>
      <c r="BF8" s="347"/>
      <c r="BG8" s="347"/>
      <c r="BH8" s="347"/>
    </row>
    <row r="9" s="264" customFormat="1" ht="18" customHeight="1" spans="1:60">
      <c r="A9" s="281" t="s">
        <v>55</v>
      </c>
      <c r="B9" s="282" t="s">
        <v>39</v>
      </c>
      <c r="C9" s="283" t="s">
        <v>50</v>
      </c>
      <c r="D9" s="284" t="s">
        <v>41</v>
      </c>
      <c r="E9" s="282" t="s">
        <v>51</v>
      </c>
      <c r="F9" s="285" t="s">
        <v>52</v>
      </c>
      <c r="G9" s="350" t="s">
        <v>53</v>
      </c>
      <c r="H9" s="284" t="s">
        <v>45</v>
      </c>
      <c r="I9" s="284" t="s">
        <v>54</v>
      </c>
      <c r="J9" s="284" t="s">
        <v>56</v>
      </c>
      <c r="K9" s="284" t="s">
        <v>54</v>
      </c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312">
        <f t="shared" ref="AD9:AD11" si="16">3803-3000</f>
        <v>803</v>
      </c>
      <c r="AE9" s="312">
        <v>0.0016</v>
      </c>
      <c r="AF9" s="312">
        <f t="shared" si="6"/>
        <v>1.28</v>
      </c>
      <c r="AG9" s="281"/>
      <c r="AH9" s="281"/>
      <c r="AI9" s="281"/>
      <c r="AJ9" s="281"/>
      <c r="AK9" s="281"/>
      <c r="AL9" s="314"/>
      <c r="AM9" s="281"/>
      <c r="AN9" s="281"/>
      <c r="AO9" s="281"/>
      <c r="AP9" s="282"/>
      <c r="AQ9" s="320"/>
      <c r="AR9" s="281"/>
      <c r="AS9" s="321">
        <f t="shared" si="7"/>
        <v>1.28</v>
      </c>
      <c r="AT9" s="321">
        <f t="shared" si="8"/>
        <v>0</v>
      </c>
      <c r="AU9" s="321">
        <f t="shared" si="9"/>
        <v>0</v>
      </c>
      <c r="AV9" s="321">
        <f t="shared" si="10"/>
        <v>0</v>
      </c>
      <c r="AW9" s="321">
        <f t="shared" si="11"/>
        <v>1.28</v>
      </c>
      <c r="AX9" s="331">
        <f t="shared" si="12"/>
        <v>1.28</v>
      </c>
      <c r="AY9" s="331"/>
      <c r="AZ9" s="331"/>
      <c r="BA9" s="331"/>
      <c r="BB9" s="332"/>
      <c r="BC9" s="331">
        <f t="shared" si="14"/>
        <v>1.28</v>
      </c>
      <c r="BD9" s="333" t="s">
        <v>57</v>
      </c>
      <c r="BE9" s="348"/>
      <c r="BF9" s="348"/>
      <c r="BG9" s="348"/>
      <c r="BH9" s="348"/>
    </row>
    <row r="10" s="264" customFormat="1" ht="18" customHeight="1" spans="1:60">
      <c r="A10" s="281" t="s">
        <v>55</v>
      </c>
      <c r="B10" s="282" t="s">
        <v>39</v>
      </c>
      <c r="C10" s="283" t="s">
        <v>50</v>
      </c>
      <c r="D10" s="284" t="s">
        <v>41</v>
      </c>
      <c r="E10" s="282" t="s">
        <v>51</v>
      </c>
      <c r="F10" s="285" t="s">
        <v>52</v>
      </c>
      <c r="G10" s="350" t="s">
        <v>53</v>
      </c>
      <c r="H10" s="284" t="s">
        <v>45</v>
      </c>
      <c r="I10" s="284" t="s">
        <v>54</v>
      </c>
      <c r="J10" s="284" t="s">
        <v>58</v>
      </c>
      <c r="K10" s="284" t="s">
        <v>54</v>
      </c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312">
        <f t="shared" si="16"/>
        <v>803</v>
      </c>
      <c r="AE10" s="312">
        <v>0.0016</v>
      </c>
      <c r="AF10" s="312">
        <f t="shared" si="6"/>
        <v>1.28</v>
      </c>
      <c r="AG10" s="281"/>
      <c r="AH10" s="281"/>
      <c r="AI10" s="281"/>
      <c r="AJ10" s="281"/>
      <c r="AK10" s="281"/>
      <c r="AL10" s="314"/>
      <c r="AM10" s="281"/>
      <c r="AN10" s="281"/>
      <c r="AO10" s="281"/>
      <c r="AP10" s="282"/>
      <c r="AQ10" s="320"/>
      <c r="AR10" s="281"/>
      <c r="AS10" s="321">
        <f t="shared" si="7"/>
        <v>1.28</v>
      </c>
      <c r="AT10" s="321">
        <f t="shared" si="8"/>
        <v>0</v>
      </c>
      <c r="AU10" s="321">
        <f t="shared" si="9"/>
        <v>0</v>
      </c>
      <c r="AV10" s="321">
        <f t="shared" si="10"/>
        <v>0</v>
      </c>
      <c r="AW10" s="321">
        <f t="shared" si="11"/>
        <v>1.28</v>
      </c>
      <c r="AX10" s="331">
        <f t="shared" si="12"/>
        <v>1.28</v>
      </c>
      <c r="AY10" s="331"/>
      <c r="AZ10" s="331"/>
      <c r="BA10" s="331"/>
      <c r="BB10" s="332"/>
      <c r="BC10" s="331">
        <f t="shared" si="14"/>
        <v>1.28</v>
      </c>
      <c r="BD10" s="333" t="s">
        <v>57</v>
      </c>
      <c r="BE10" s="348"/>
      <c r="BF10" s="348"/>
      <c r="BG10" s="348"/>
      <c r="BH10" s="348"/>
    </row>
    <row r="11" s="264" customFormat="1" ht="18" customHeight="1" spans="1:60">
      <c r="A11" s="281" t="s">
        <v>55</v>
      </c>
      <c r="B11" s="282" t="s">
        <v>39</v>
      </c>
      <c r="C11" s="283" t="s">
        <v>50</v>
      </c>
      <c r="D11" s="284" t="s">
        <v>41</v>
      </c>
      <c r="E11" s="282" t="s">
        <v>51</v>
      </c>
      <c r="F11" s="285" t="s">
        <v>52</v>
      </c>
      <c r="G11" s="350" t="s">
        <v>53</v>
      </c>
      <c r="H11" s="284" t="s">
        <v>45</v>
      </c>
      <c r="I11" s="284" t="s">
        <v>54</v>
      </c>
      <c r="J11" s="284" t="s">
        <v>59</v>
      </c>
      <c r="K11" s="284" t="s">
        <v>54</v>
      </c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312">
        <f t="shared" si="16"/>
        <v>803</v>
      </c>
      <c r="AE11" s="312">
        <v>0.0016</v>
      </c>
      <c r="AF11" s="312">
        <f t="shared" si="6"/>
        <v>1.28</v>
      </c>
      <c r="AG11" s="281"/>
      <c r="AH11" s="281"/>
      <c r="AI11" s="281"/>
      <c r="AJ11" s="281"/>
      <c r="AK11" s="281"/>
      <c r="AL11" s="314"/>
      <c r="AM11" s="281"/>
      <c r="AN11" s="281"/>
      <c r="AO11" s="281"/>
      <c r="AP11" s="282"/>
      <c r="AQ11" s="320"/>
      <c r="AR11" s="281"/>
      <c r="AS11" s="321">
        <f t="shared" si="7"/>
        <v>1.28</v>
      </c>
      <c r="AT11" s="321">
        <f t="shared" si="8"/>
        <v>0</v>
      </c>
      <c r="AU11" s="321">
        <f t="shared" si="9"/>
        <v>0</v>
      </c>
      <c r="AV11" s="321">
        <f t="shared" si="10"/>
        <v>0</v>
      </c>
      <c r="AW11" s="321">
        <f t="shared" si="11"/>
        <v>1.28</v>
      </c>
      <c r="AX11" s="331">
        <f t="shared" si="12"/>
        <v>1.28</v>
      </c>
      <c r="AY11" s="331"/>
      <c r="AZ11" s="331"/>
      <c r="BA11" s="331"/>
      <c r="BB11" s="332"/>
      <c r="BC11" s="331">
        <f t="shared" si="14"/>
        <v>1.28</v>
      </c>
      <c r="BD11" s="333" t="s">
        <v>57</v>
      </c>
      <c r="BE11" s="348"/>
      <c r="BF11" s="348"/>
      <c r="BG11" s="348"/>
      <c r="BH11" s="348"/>
    </row>
    <row r="12" s="263" customFormat="1" ht="18" customHeight="1" spans="1:60">
      <c r="A12" s="275">
        <v>3</v>
      </c>
      <c r="B12" s="276" t="s">
        <v>39</v>
      </c>
      <c r="C12" s="277" t="s">
        <v>60</v>
      </c>
      <c r="D12" s="278" t="s">
        <v>41</v>
      </c>
      <c r="E12" s="276" t="s">
        <v>51</v>
      </c>
      <c r="F12" s="279" t="s">
        <v>61</v>
      </c>
      <c r="G12" s="280" t="s">
        <v>62</v>
      </c>
      <c r="H12" s="278" t="s">
        <v>63</v>
      </c>
      <c r="I12" s="278" t="s">
        <v>63</v>
      </c>
      <c r="J12" s="278" t="s">
        <v>48</v>
      </c>
      <c r="K12" s="278" t="s">
        <v>48</v>
      </c>
      <c r="L12" s="275">
        <v>3053.05</v>
      </c>
      <c r="M12" s="275">
        <v>0.16</v>
      </c>
      <c r="N12" s="275">
        <f t="shared" ref="N12:N15" si="17">ROUND(L12*M12,2)</f>
        <v>488.49</v>
      </c>
      <c r="O12" s="275">
        <v>0.08</v>
      </c>
      <c r="P12" s="275">
        <f t="shared" ref="P12:P15" si="18">ROUND(L12*O12,2)</f>
        <v>244.24</v>
      </c>
      <c r="Q12" s="275">
        <v>3053.05</v>
      </c>
      <c r="R12" s="275">
        <v>0.06</v>
      </c>
      <c r="S12" s="275">
        <f t="shared" ref="S12:S15" si="19">ROUND(Q12*R12,2)</f>
        <v>183.18</v>
      </c>
      <c r="T12" s="275">
        <v>0.02</v>
      </c>
      <c r="U12" s="275">
        <f t="shared" ref="U12:U15" si="20">ROUND(Q12*T12,2)</f>
        <v>61.06</v>
      </c>
      <c r="V12" s="275">
        <v>3053.05</v>
      </c>
      <c r="W12" s="275">
        <v>0.007</v>
      </c>
      <c r="X12" s="275">
        <f t="shared" ref="X12:X15" si="21">ROUND(V12*W12,2)</f>
        <v>21.37</v>
      </c>
      <c r="Y12" s="275">
        <v>0.003</v>
      </c>
      <c r="Z12" s="275">
        <f t="shared" ref="Z12:Z15" si="22">ROUND(V12*Y12,2)</f>
        <v>9.16</v>
      </c>
      <c r="AA12" s="275">
        <v>3053.05</v>
      </c>
      <c r="AB12" s="275">
        <v>0.007</v>
      </c>
      <c r="AC12" s="275">
        <f t="shared" ref="AC12:AC15" si="23">ROUND(AA12*AB12,2)</f>
        <v>21.37</v>
      </c>
      <c r="AD12" s="275">
        <v>3053.05</v>
      </c>
      <c r="AE12" s="275">
        <v>0.002</v>
      </c>
      <c r="AF12" s="275">
        <f t="shared" si="6"/>
        <v>6.11</v>
      </c>
      <c r="AG12" s="275" t="s">
        <v>64</v>
      </c>
      <c r="AH12" s="275">
        <v>0.05</v>
      </c>
      <c r="AI12" s="275">
        <f t="shared" ref="AI12:AI15" si="24">ROUND(AG12*AH12,2)</f>
        <v>79</v>
      </c>
      <c r="AJ12" s="275">
        <v>0.05</v>
      </c>
      <c r="AK12" s="275">
        <f t="shared" ref="AK12:AK15" si="25">ROUND(AG12*AJ12,2)</f>
        <v>79</v>
      </c>
      <c r="AL12" s="313"/>
      <c r="AM12" s="275"/>
      <c r="AN12" s="275"/>
      <c r="AO12" s="275"/>
      <c r="AP12" s="276"/>
      <c r="AQ12" s="318"/>
      <c r="AR12" s="275">
        <v>96</v>
      </c>
      <c r="AS12" s="319">
        <f t="shared" si="7"/>
        <v>720.52</v>
      </c>
      <c r="AT12" s="319">
        <f t="shared" si="8"/>
        <v>314.46</v>
      </c>
      <c r="AU12" s="319">
        <f t="shared" si="9"/>
        <v>79</v>
      </c>
      <c r="AV12" s="319">
        <f t="shared" si="10"/>
        <v>79</v>
      </c>
      <c r="AW12" s="319">
        <f t="shared" si="11"/>
        <v>1192.98</v>
      </c>
      <c r="AX12" s="328">
        <f t="shared" si="12"/>
        <v>1034.98</v>
      </c>
      <c r="AY12" s="328"/>
      <c r="AZ12" s="328">
        <f t="shared" ref="AZ12:AZ15" si="26">AU12+AV12</f>
        <v>158</v>
      </c>
      <c r="BA12" s="328"/>
      <c r="BB12" s="329">
        <v>80</v>
      </c>
      <c r="BC12" s="328">
        <f t="shared" si="14"/>
        <v>1272.98</v>
      </c>
      <c r="BD12" s="330"/>
      <c r="BE12" s="347"/>
      <c r="BF12" s="347"/>
      <c r="BG12" s="347"/>
      <c r="BH12" s="347"/>
    </row>
    <row r="13" s="263" customFormat="1" ht="18" customHeight="1" spans="1:60">
      <c r="A13" s="275"/>
      <c r="B13" s="276" t="s">
        <v>39</v>
      </c>
      <c r="C13" s="277" t="s">
        <v>60</v>
      </c>
      <c r="D13" s="278" t="s">
        <v>41</v>
      </c>
      <c r="E13" s="276" t="s">
        <v>51</v>
      </c>
      <c r="F13" s="279" t="s">
        <v>61</v>
      </c>
      <c r="G13" s="280" t="s">
        <v>62</v>
      </c>
      <c r="H13" s="278" t="s">
        <v>63</v>
      </c>
      <c r="I13" s="278" t="s">
        <v>63</v>
      </c>
      <c r="J13" s="278" t="s">
        <v>49</v>
      </c>
      <c r="K13" s="278" t="s">
        <v>49</v>
      </c>
      <c r="L13" s="275">
        <v>3053.05</v>
      </c>
      <c r="M13" s="275">
        <v>0.16</v>
      </c>
      <c r="N13" s="275">
        <f t="shared" si="17"/>
        <v>488.49</v>
      </c>
      <c r="O13" s="275">
        <v>0.08</v>
      </c>
      <c r="P13" s="275">
        <f t="shared" si="18"/>
        <v>244.24</v>
      </c>
      <c r="Q13" s="275">
        <v>3053.05</v>
      </c>
      <c r="R13" s="275">
        <v>0.06</v>
      </c>
      <c r="S13" s="275">
        <f t="shared" si="19"/>
        <v>183.18</v>
      </c>
      <c r="T13" s="275">
        <v>0.02</v>
      </c>
      <c r="U13" s="275">
        <f t="shared" si="20"/>
        <v>61.06</v>
      </c>
      <c r="V13" s="275">
        <v>3053.05</v>
      </c>
      <c r="W13" s="275">
        <v>0.007</v>
      </c>
      <c r="X13" s="275">
        <f t="shared" si="21"/>
        <v>21.37</v>
      </c>
      <c r="Y13" s="275">
        <v>0.003</v>
      </c>
      <c r="Z13" s="275">
        <f t="shared" si="22"/>
        <v>9.16</v>
      </c>
      <c r="AA13" s="275">
        <v>3053.05</v>
      </c>
      <c r="AB13" s="275">
        <v>0.007</v>
      </c>
      <c r="AC13" s="275">
        <f t="shared" si="23"/>
        <v>21.37</v>
      </c>
      <c r="AD13" s="275">
        <v>3053.05</v>
      </c>
      <c r="AE13" s="275">
        <v>0.002</v>
      </c>
      <c r="AF13" s="275">
        <f t="shared" si="6"/>
        <v>6.11</v>
      </c>
      <c r="AG13" s="275" t="s">
        <v>64</v>
      </c>
      <c r="AH13" s="275">
        <v>0.05</v>
      </c>
      <c r="AI13" s="275">
        <f t="shared" si="24"/>
        <v>79</v>
      </c>
      <c r="AJ13" s="275">
        <v>0.05</v>
      </c>
      <c r="AK13" s="275">
        <f t="shared" si="25"/>
        <v>79</v>
      </c>
      <c r="AL13" s="313"/>
      <c r="AM13" s="275"/>
      <c r="AN13" s="275"/>
      <c r="AO13" s="275"/>
      <c r="AP13" s="276"/>
      <c r="AQ13" s="318"/>
      <c r="AR13" s="318"/>
      <c r="AS13" s="319">
        <f t="shared" si="7"/>
        <v>720.52</v>
      </c>
      <c r="AT13" s="319">
        <f t="shared" si="8"/>
        <v>314.46</v>
      </c>
      <c r="AU13" s="319">
        <f t="shared" si="9"/>
        <v>79</v>
      </c>
      <c r="AV13" s="319">
        <f t="shared" si="10"/>
        <v>79</v>
      </c>
      <c r="AW13" s="319">
        <f t="shared" si="11"/>
        <v>1192.98</v>
      </c>
      <c r="AX13" s="328">
        <f t="shared" si="12"/>
        <v>1034.98</v>
      </c>
      <c r="AY13" s="328"/>
      <c r="AZ13" s="328">
        <f t="shared" si="26"/>
        <v>158</v>
      </c>
      <c r="BA13" s="328"/>
      <c r="BB13" s="329">
        <v>80</v>
      </c>
      <c r="BC13" s="328">
        <f t="shared" si="14"/>
        <v>1272.98</v>
      </c>
      <c r="BD13" s="330"/>
      <c r="BE13" s="347"/>
      <c r="BF13" s="347"/>
      <c r="BG13" s="347"/>
      <c r="BH13" s="347"/>
    </row>
    <row r="14" s="263" customFormat="1" ht="18" customHeight="1" spans="1:60">
      <c r="A14" s="275"/>
      <c r="B14" s="276" t="s">
        <v>39</v>
      </c>
      <c r="C14" s="277" t="s">
        <v>60</v>
      </c>
      <c r="D14" s="278" t="s">
        <v>41</v>
      </c>
      <c r="E14" s="276" t="s">
        <v>51</v>
      </c>
      <c r="F14" s="279" t="s">
        <v>61</v>
      </c>
      <c r="G14" s="280" t="s">
        <v>62</v>
      </c>
      <c r="H14" s="278" t="s">
        <v>63</v>
      </c>
      <c r="I14" s="278" t="s">
        <v>63</v>
      </c>
      <c r="J14" s="278" t="s">
        <v>65</v>
      </c>
      <c r="K14" s="278" t="s">
        <v>65</v>
      </c>
      <c r="L14" s="275">
        <v>3053.05</v>
      </c>
      <c r="M14" s="275">
        <v>0.16</v>
      </c>
      <c r="N14" s="275">
        <f t="shared" si="17"/>
        <v>488.49</v>
      </c>
      <c r="O14" s="275">
        <v>0.08</v>
      </c>
      <c r="P14" s="275">
        <f t="shared" si="18"/>
        <v>244.24</v>
      </c>
      <c r="Q14" s="275">
        <v>3053.05</v>
      </c>
      <c r="R14" s="275">
        <v>0.06</v>
      </c>
      <c r="S14" s="275">
        <f t="shared" si="19"/>
        <v>183.18</v>
      </c>
      <c r="T14" s="275">
        <v>0.02</v>
      </c>
      <c r="U14" s="275">
        <f t="shared" si="20"/>
        <v>61.06</v>
      </c>
      <c r="V14" s="275">
        <v>3053.05</v>
      </c>
      <c r="W14" s="275">
        <v>0.007</v>
      </c>
      <c r="X14" s="275">
        <f t="shared" si="21"/>
        <v>21.37</v>
      </c>
      <c r="Y14" s="275">
        <v>0.003</v>
      </c>
      <c r="Z14" s="275">
        <f t="shared" si="22"/>
        <v>9.16</v>
      </c>
      <c r="AA14" s="275">
        <v>3053.05</v>
      </c>
      <c r="AB14" s="275">
        <v>0.007</v>
      </c>
      <c r="AC14" s="275">
        <f t="shared" si="23"/>
        <v>21.37</v>
      </c>
      <c r="AD14" s="275">
        <v>3053.05</v>
      </c>
      <c r="AE14" s="275">
        <v>0.002</v>
      </c>
      <c r="AF14" s="275">
        <f t="shared" si="6"/>
        <v>6.11</v>
      </c>
      <c r="AG14" s="275" t="s">
        <v>64</v>
      </c>
      <c r="AH14" s="275">
        <v>0.05</v>
      </c>
      <c r="AI14" s="275">
        <f t="shared" si="24"/>
        <v>79</v>
      </c>
      <c r="AJ14" s="275">
        <v>0.05</v>
      </c>
      <c r="AK14" s="275">
        <f t="shared" si="25"/>
        <v>79</v>
      </c>
      <c r="AL14" s="313"/>
      <c r="AM14" s="275"/>
      <c r="AN14" s="275"/>
      <c r="AO14" s="275"/>
      <c r="AP14" s="276"/>
      <c r="AQ14" s="318"/>
      <c r="AR14" s="318"/>
      <c r="AS14" s="319">
        <f t="shared" si="7"/>
        <v>720.52</v>
      </c>
      <c r="AT14" s="319">
        <f t="shared" si="8"/>
        <v>314.46</v>
      </c>
      <c r="AU14" s="319">
        <f t="shared" si="9"/>
        <v>79</v>
      </c>
      <c r="AV14" s="319">
        <f t="shared" si="10"/>
        <v>79</v>
      </c>
      <c r="AW14" s="319">
        <f t="shared" si="11"/>
        <v>1192.98</v>
      </c>
      <c r="AX14" s="328">
        <f t="shared" si="12"/>
        <v>1034.98</v>
      </c>
      <c r="AY14" s="328"/>
      <c r="AZ14" s="328">
        <f t="shared" si="26"/>
        <v>158</v>
      </c>
      <c r="BA14" s="328"/>
      <c r="BB14" s="329">
        <v>80</v>
      </c>
      <c r="BC14" s="328">
        <f t="shared" si="14"/>
        <v>1272.98</v>
      </c>
      <c r="BD14" s="330"/>
      <c r="BE14" s="347"/>
      <c r="BF14" s="347"/>
      <c r="BG14" s="347"/>
      <c r="BH14" s="347"/>
    </row>
    <row r="15" s="264" customFormat="1" ht="18" customHeight="1" spans="1:60">
      <c r="A15" s="281" t="s">
        <v>55</v>
      </c>
      <c r="B15" s="282" t="s">
        <v>39</v>
      </c>
      <c r="C15" s="283" t="s">
        <v>60</v>
      </c>
      <c r="D15" s="284" t="s">
        <v>41</v>
      </c>
      <c r="E15" s="282" t="s">
        <v>51</v>
      </c>
      <c r="F15" s="285" t="s">
        <v>61</v>
      </c>
      <c r="G15" s="286" t="s">
        <v>62</v>
      </c>
      <c r="H15" s="284" t="s">
        <v>63</v>
      </c>
      <c r="I15" s="284" t="s">
        <v>63</v>
      </c>
      <c r="J15" s="284" t="s">
        <v>63</v>
      </c>
      <c r="K15" s="284" t="s">
        <v>63</v>
      </c>
      <c r="L15" s="281">
        <v>3053.05</v>
      </c>
      <c r="M15" s="281">
        <v>0.16</v>
      </c>
      <c r="N15" s="281">
        <f t="shared" si="17"/>
        <v>488.49</v>
      </c>
      <c r="O15" s="281">
        <v>0.08</v>
      </c>
      <c r="P15" s="281">
        <f t="shared" si="18"/>
        <v>244.24</v>
      </c>
      <c r="Q15" s="281">
        <v>3053.05</v>
      </c>
      <c r="R15" s="281">
        <v>0.06</v>
      </c>
      <c r="S15" s="281">
        <f t="shared" si="19"/>
        <v>183.18</v>
      </c>
      <c r="T15" s="281">
        <v>0.02</v>
      </c>
      <c r="U15" s="281">
        <f t="shared" si="20"/>
        <v>61.06</v>
      </c>
      <c r="V15" s="281">
        <v>3053.05</v>
      </c>
      <c r="W15" s="281">
        <v>0.007</v>
      </c>
      <c r="X15" s="281">
        <f t="shared" si="21"/>
        <v>21.37</v>
      </c>
      <c r="Y15" s="281">
        <v>0.003</v>
      </c>
      <c r="Z15" s="281">
        <f t="shared" si="22"/>
        <v>9.16</v>
      </c>
      <c r="AA15" s="281">
        <v>3053.05</v>
      </c>
      <c r="AB15" s="281">
        <v>0.007</v>
      </c>
      <c r="AC15" s="281">
        <f t="shared" si="23"/>
        <v>21.37</v>
      </c>
      <c r="AD15" s="281">
        <v>3053.05</v>
      </c>
      <c r="AE15" s="281">
        <v>0.002</v>
      </c>
      <c r="AF15" s="281">
        <f t="shared" si="6"/>
        <v>6.11</v>
      </c>
      <c r="AG15" s="281" t="s">
        <v>64</v>
      </c>
      <c r="AH15" s="281">
        <v>0.05</v>
      </c>
      <c r="AI15" s="281">
        <f t="shared" si="24"/>
        <v>79</v>
      </c>
      <c r="AJ15" s="281">
        <v>0.05</v>
      </c>
      <c r="AK15" s="281">
        <f t="shared" si="25"/>
        <v>79</v>
      </c>
      <c r="AL15" s="314"/>
      <c r="AM15" s="281"/>
      <c r="AN15" s="281"/>
      <c r="AO15" s="281"/>
      <c r="AP15" s="282"/>
      <c r="AQ15" s="320"/>
      <c r="AR15" s="320"/>
      <c r="AS15" s="321">
        <f t="shared" si="7"/>
        <v>720.52</v>
      </c>
      <c r="AT15" s="321">
        <f t="shared" si="8"/>
        <v>314.46</v>
      </c>
      <c r="AU15" s="321">
        <f t="shared" si="9"/>
        <v>79</v>
      </c>
      <c r="AV15" s="321">
        <f t="shared" si="10"/>
        <v>79</v>
      </c>
      <c r="AW15" s="321">
        <f t="shared" si="11"/>
        <v>1192.98</v>
      </c>
      <c r="AX15" s="331">
        <f t="shared" si="12"/>
        <v>1034.98</v>
      </c>
      <c r="AY15" s="331"/>
      <c r="AZ15" s="331">
        <f t="shared" si="26"/>
        <v>158</v>
      </c>
      <c r="BA15" s="331"/>
      <c r="BB15" s="332">
        <v>80</v>
      </c>
      <c r="BC15" s="331">
        <f t="shared" si="14"/>
        <v>1272.98</v>
      </c>
      <c r="BD15" s="333"/>
      <c r="BE15" s="348"/>
      <c r="BF15" s="348"/>
      <c r="BG15" s="348"/>
      <c r="BH15" s="348"/>
    </row>
    <row r="16" s="265" customFormat="1" ht="18" customHeight="1" spans="1:60">
      <c r="A16" s="287"/>
      <c r="B16" s="288"/>
      <c r="C16" s="289"/>
      <c r="D16" s="290"/>
      <c r="E16" s="291"/>
      <c r="F16" s="292"/>
      <c r="G16" s="293"/>
      <c r="H16" s="294"/>
      <c r="I16" s="290"/>
      <c r="J16" s="294"/>
      <c r="K16" s="294"/>
      <c r="L16" s="307"/>
      <c r="M16" s="307"/>
      <c r="N16" s="308"/>
      <c r="O16" s="307"/>
      <c r="P16" s="307"/>
      <c r="Q16" s="307"/>
      <c r="R16" s="307"/>
      <c r="S16" s="307"/>
      <c r="T16" s="307"/>
      <c r="U16" s="307"/>
      <c r="V16" s="310"/>
      <c r="W16" s="310"/>
      <c r="X16" s="311"/>
      <c r="Y16" s="310"/>
      <c r="Z16" s="307"/>
      <c r="AA16" s="307"/>
      <c r="AB16" s="307"/>
      <c r="AC16" s="307"/>
      <c r="AD16" s="307"/>
      <c r="AE16" s="307"/>
      <c r="AF16" s="308"/>
      <c r="AG16" s="307"/>
      <c r="AH16" s="307"/>
      <c r="AI16" s="307"/>
      <c r="AJ16" s="307"/>
      <c r="AK16" s="307"/>
      <c r="AL16" s="315"/>
      <c r="AM16" s="307"/>
      <c r="AN16" s="307"/>
      <c r="AO16" s="307"/>
      <c r="AP16" s="322"/>
      <c r="AQ16" s="323"/>
      <c r="AR16" s="307"/>
      <c r="AS16" s="324"/>
      <c r="AT16" s="324"/>
      <c r="AU16" s="324"/>
      <c r="AV16" s="324"/>
      <c r="AW16" s="324"/>
      <c r="AX16" s="334"/>
      <c r="AY16" s="335"/>
      <c r="AZ16" s="334"/>
      <c r="BA16" s="335"/>
      <c r="BB16" s="336"/>
      <c r="BC16" s="334"/>
      <c r="BD16" s="337"/>
      <c r="BE16" s="268"/>
      <c r="BF16" s="268"/>
      <c r="BG16" s="268"/>
      <c r="BH16" s="268"/>
    </row>
    <row r="17" ht="14.25" spans="1:56">
      <c r="A17" s="295" t="s">
        <v>66</v>
      </c>
      <c r="B17" s="296"/>
      <c r="C17" s="297"/>
      <c r="D17" s="297"/>
      <c r="E17" s="298"/>
      <c r="F17" s="297"/>
      <c r="G17" s="297"/>
      <c r="H17" s="297"/>
      <c r="I17" s="297"/>
      <c r="J17" s="297"/>
      <c r="K17" s="297"/>
      <c r="L17" s="298">
        <f t="shared" ref="L17:BC17" si="27">SUM(L3:L15)</f>
        <v>33521.2</v>
      </c>
      <c r="M17" s="298">
        <f t="shared" si="27"/>
        <v>1.54</v>
      </c>
      <c r="N17" s="298">
        <f t="shared" si="27"/>
        <v>5135.22</v>
      </c>
      <c r="O17" s="298">
        <f t="shared" si="27"/>
        <v>0.8</v>
      </c>
      <c r="P17" s="298">
        <f t="shared" si="27"/>
        <v>2681.68</v>
      </c>
      <c r="Q17" s="298">
        <f t="shared" si="27"/>
        <v>40637.2</v>
      </c>
      <c r="R17" s="298">
        <f t="shared" si="27"/>
        <v>0.645</v>
      </c>
      <c r="S17" s="298">
        <f t="shared" si="27"/>
        <v>2543.61</v>
      </c>
      <c r="T17" s="298">
        <f t="shared" si="27"/>
        <v>0.2</v>
      </c>
      <c r="U17" s="298">
        <f t="shared" si="27"/>
        <v>812.74</v>
      </c>
      <c r="V17" s="298">
        <f t="shared" si="27"/>
        <v>33521.2</v>
      </c>
      <c r="W17" s="298">
        <f t="shared" si="27"/>
        <v>0.0586</v>
      </c>
      <c r="X17" s="298">
        <f t="shared" si="27"/>
        <v>191.29</v>
      </c>
      <c r="Y17" s="298">
        <f t="shared" si="27"/>
        <v>0.027</v>
      </c>
      <c r="Z17" s="298">
        <f t="shared" si="27"/>
        <v>89.17</v>
      </c>
      <c r="AA17" s="298">
        <f t="shared" si="27"/>
        <v>30737.2</v>
      </c>
      <c r="AB17" s="298">
        <f t="shared" si="27"/>
        <v>0.0535</v>
      </c>
      <c r="AC17" s="298">
        <f t="shared" si="27"/>
        <v>242.95</v>
      </c>
      <c r="AD17" s="298">
        <f t="shared" si="27"/>
        <v>35930.2</v>
      </c>
      <c r="AE17" s="298">
        <f t="shared" si="27"/>
        <v>0.0236</v>
      </c>
      <c r="AF17" s="298">
        <f t="shared" si="27"/>
        <v>66.32</v>
      </c>
      <c r="AG17" s="298">
        <f t="shared" si="27"/>
        <v>9000</v>
      </c>
      <c r="AH17" s="298">
        <f t="shared" si="27"/>
        <v>0.5</v>
      </c>
      <c r="AI17" s="298">
        <f t="shared" si="27"/>
        <v>1216</v>
      </c>
      <c r="AJ17" s="298">
        <f t="shared" si="27"/>
        <v>0.38</v>
      </c>
      <c r="AK17" s="298">
        <f t="shared" si="27"/>
        <v>856</v>
      </c>
      <c r="AL17" s="298">
        <f t="shared" si="27"/>
        <v>0</v>
      </c>
      <c r="AM17" s="298">
        <f t="shared" si="27"/>
        <v>0</v>
      </c>
      <c r="AN17" s="298">
        <f t="shared" si="27"/>
        <v>0</v>
      </c>
      <c r="AO17" s="298">
        <f t="shared" si="27"/>
        <v>0</v>
      </c>
      <c r="AP17" s="298">
        <f t="shared" si="27"/>
        <v>0</v>
      </c>
      <c r="AQ17" s="298">
        <f t="shared" si="27"/>
        <v>95.28</v>
      </c>
      <c r="AR17" s="298">
        <f t="shared" si="27"/>
        <v>96</v>
      </c>
      <c r="AS17" s="298">
        <f t="shared" si="27"/>
        <v>8274.67</v>
      </c>
      <c r="AT17" s="298">
        <f t="shared" si="27"/>
        <v>3583.59</v>
      </c>
      <c r="AU17" s="298">
        <f t="shared" si="27"/>
        <v>1216</v>
      </c>
      <c r="AV17" s="298">
        <f t="shared" si="27"/>
        <v>856</v>
      </c>
      <c r="AW17" s="298">
        <f t="shared" si="27"/>
        <v>13930.26</v>
      </c>
      <c r="AX17" s="298">
        <f t="shared" si="27"/>
        <v>11858.26</v>
      </c>
      <c r="AY17" s="298">
        <f t="shared" si="27"/>
        <v>0</v>
      </c>
      <c r="AZ17" s="298">
        <f t="shared" si="27"/>
        <v>2072</v>
      </c>
      <c r="BA17" s="298">
        <f t="shared" si="27"/>
        <v>0</v>
      </c>
      <c r="BB17" s="298">
        <f t="shared" si="27"/>
        <v>800</v>
      </c>
      <c r="BC17" s="298">
        <f t="shared" si="27"/>
        <v>14730.26</v>
      </c>
      <c r="BD17" s="338"/>
    </row>
    <row r="18" ht="15" spans="1:56">
      <c r="A18" s="299" t="s">
        <v>23</v>
      </c>
      <c r="B18" s="300"/>
      <c r="C18" s="301"/>
      <c r="D18" s="301"/>
      <c r="E18" s="302"/>
      <c r="F18" s="302"/>
      <c r="G18" s="302"/>
      <c r="H18" s="302"/>
      <c r="I18" s="302"/>
      <c r="J18" s="302"/>
      <c r="K18" s="302"/>
      <c r="L18" s="309">
        <f t="shared" ref="L18:AX18" si="28">SUM(L17:L17)</f>
        <v>33521.2</v>
      </c>
      <c r="M18" s="309">
        <f t="shared" si="28"/>
        <v>1.54</v>
      </c>
      <c r="N18" s="309">
        <f t="shared" si="28"/>
        <v>5135.22</v>
      </c>
      <c r="O18" s="309">
        <f t="shared" si="28"/>
        <v>0.8</v>
      </c>
      <c r="P18" s="309">
        <f t="shared" si="28"/>
        <v>2681.68</v>
      </c>
      <c r="Q18" s="309">
        <f t="shared" si="28"/>
        <v>40637.2</v>
      </c>
      <c r="R18" s="309">
        <f t="shared" si="28"/>
        <v>0.645</v>
      </c>
      <c r="S18" s="309">
        <f t="shared" si="28"/>
        <v>2543.61</v>
      </c>
      <c r="T18" s="309">
        <f t="shared" si="28"/>
        <v>0.2</v>
      </c>
      <c r="U18" s="309">
        <f t="shared" si="28"/>
        <v>812.74</v>
      </c>
      <c r="V18" s="309">
        <f t="shared" si="28"/>
        <v>33521.2</v>
      </c>
      <c r="W18" s="309">
        <f t="shared" si="28"/>
        <v>0.0586</v>
      </c>
      <c r="X18" s="309">
        <f t="shared" si="28"/>
        <v>191.29</v>
      </c>
      <c r="Y18" s="309">
        <f t="shared" si="28"/>
        <v>0.027</v>
      </c>
      <c r="Z18" s="309">
        <f t="shared" si="28"/>
        <v>89.17</v>
      </c>
      <c r="AA18" s="309">
        <f t="shared" si="28"/>
        <v>30737.2</v>
      </c>
      <c r="AB18" s="309">
        <f t="shared" si="28"/>
        <v>0.0535</v>
      </c>
      <c r="AC18" s="309">
        <f t="shared" si="28"/>
        <v>242.95</v>
      </c>
      <c r="AD18" s="309">
        <f t="shared" si="28"/>
        <v>35930.2</v>
      </c>
      <c r="AE18" s="309">
        <f t="shared" si="28"/>
        <v>0.0236</v>
      </c>
      <c r="AF18" s="309">
        <f t="shared" si="28"/>
        <v>66.32</v>
      </c>
      <c r="AG18" s="309">
        <f t="shared" si="28"/>
        <v>9000</v>
      </c>
      <c r="AH18" s="309">
        <f t="shared" si="28"/>
        <v>0.5</v>
      </c>
      <c r="AI18" s="309">
        <f t="shared" si="28"/>
        <v>1216</v>
      </c>
      <c r="AJ18" s="309">
        <f t="shared" si="28"/>
        <v>0.38</v>
      </c>
      <c r="AK18" s="309">
        <f t="shared" si="28"/>
        <v>856</v>
      </c>
      <c r="AL18" s="309">
        <f t="shared" si="28"/>
        <v>0</v>
      </c>
      <c r="AM18" s="309">
        <f t="shared" si="28"/>
        <v>0</v>
      </c>
      <c r="AN18" s="309">
        <f t="shared" si="28"/>
        <v>0</v>
      </c>
      <c r="AO18" s="309">
        <f t="shared" si="28"/>
        <v>0</v>
      </c>
      <c r="AP18" s="309">
        <f t="shared" si="28"/>
        <v>0</v>
      </c>
      <c r="AQ18" s="309">
        <f t="shared" si="28"/>
        <v>95.28</v>
      </c>
      <c r="AR18" s="309">
        <f t="shared" si="28"/>
        <v>96</v>
      </c>
      <c r="AS18" s="325">
        <f t="shared" si="28"/>
        <v>8274.67</v>
      </c>
      <c r="AT18" s="325">
        <f t="shared" si="28"/>
        <v>3583.59</v>
      </c>
      <c r="AU18" s="325">
        <f t="shared" si="28"/>
        <v>1216</v>
      </c>
      <c r="AV18" s="325">
        <f t="shared" si="28"/>
        <v>856</v>
      </c>
      <c r="AW18" s="325">
        <f t="shared" si="28"/>
        <v>13930.26</v>
      </c>
      <c r="AX18" s="339">
        <f t="shared" si="28"/>
        <v>11858.26</v>
      </c>
      <c r="AY18" s="339"/>
      <c r="AZ18" s="339">
        <f t="shared" ref="AZ18:BC18" si="29">SUM(AZ17:AZ17)</f>
        <v>2072</v>
      </c>
      <c r="BA18" s="339"/>
      <c r="BB18" s="309">
        <f t="shared" si="29"/>
        <v>800</v>
      </c>
      <c r="BC18" s="309">
        <f t="shared" si="29"/>
        <v>14730.26</v>
      </c>
      <c r="BD18" s="340"/>
    </row>
    <row r="19" s="266" customFormat="1" spans="1:56">
      <c r="A19" s="303"/>
      <c r="B19" s="303"/>
      <c r="C19" s="303"/>
      <c r="D19" s="303"/>
      <c r="E19" s="303"/>
      <c r="F19" s="304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26"/>
      <c r="AT19" s="326"/>
      <c r="AU19" s="326"/>
      <c r="AV19" s="326"/>
      <c r="AW19" s="326"/>
      <c r="AX19" s="303"/>
      <c r="AY19" s="303"/>
      <c r="AZ19" s="303"/>
      <c r="BA19" s="303"/>
      <c r="BB19" s="303"/>
      <c r="BC19" s="303"/>
      <c r="BD19" s="341"/>
    </row>
    <row r="20" s="267" customFormat="1" spans="1:56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268"/>
      <c r="AK20" s="268"/>
      <c r="AL20" s="268"/>
      <c r="AM20" s="268"/>
      <c r="AN20" s="268"/>
      <c r="AO20" s="268"/>
      <c r="AP20" s="268"/>
      <c r="AQ20" s="268"/>
      <c r="AR20" s="268"/>
      <c r="AS20" s="269"/>
      <c r="AT20" s="269"/>
      <c r="AU20" s="269"/>
      <c r="AV20" s="269"/>
      <c r="AW20" s="269"/>
      <c r="AX20" s="268"/>
      <c r="AY20" s="268"/>
      <c r="AZ20" s="268"/>
      <c r="BA20" s="268"/>
      <c r="BB20" s="268"/>
      <c r="BC20" s="268"/>
      <c r="BD20" s="270"/>
    </row>
    <row r="22" spans="50:55">
      <c r="AX22" s="342"/>
      <c r="AY22" s="342"/>
      <c r="BC22" s="343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6" si="0">ROUND(SUM(M4:P4),2)</f>
        <v>621.03</v>
      </c>
      <c r="R4" s="70">
        <v>0</v>
      </c>
      <c r="S4" s="90">
        <f>L4+IFERROR(VLOOKUP($E:$E,'（居民）工资表-10月'!$E:$S,15,0),0)</f>
        <v>80000</v>
      </c>
      <c r="T4" s="91">
        <f>5000+IFERROR(VLOOKUP($E:$E,'（居民）工资表-10月'!$E:$T,16,0),0)</f>
        <v>50000</v>
      </c>
      <c r="U4" s="91">
        <f>Q4+IFERROR(VLOOKUP($E:$E,'（居民）工资表-10月'!$E:$U,17,0),0)</f>
        <v>6068.11</v>
      </c>
      <c r="V4" s="70"/>
      <c r="W4" s="70"/>
      <c r="X4" s="70"/>
      <c r="Y4" s="70"/>
      <c r="Z4" s="70"/>
      <c r="AA4" s="70"/>
      <c r="AB4" s="90">
        <f t="shared" ref="AB4:AB16" si="1">ROUND(SUM(V4:AA4),2)</f>
        <v>0</v>
      </c>
      <c r="AC4" s="90">
        <f>R4+IFERROR(VLOOKUP($E:$E,'（居民）工资表-10月'!$E:$AC,25,0),0)</f>
        <v>0</v>
      </c>
      <c r="AD4" s="95">
        <f t="shared" ref="AD4:AD16" si="2">ROUND(S4-T4-U4-AB4-AC4,2)</f>
        <v>23931.89</v>
      </c>
      <c r="AE4" s="96">
        <f>ROUND(MAX((AD4)*{0.03;0.1;0.2;0.25;0.3;0.35;0.45}-{0;2520;16920;31920;52920;85920;181920},0),2)</f>
        <v>717.96</v>
      </c>
      <c r="AF4" s="97">
        <f>IFERROR(VLOOKUP(E:E,'（居民）工资表-10月'!E:AF,28,0)+VLOOKUP(E:E,'（居民）工资表-10月'!E:AG,29,0),0)</f>
        <v>575.22</v>
      </c>
      <c r="AG4" s="97">
        <f>IF((AE4-AF4)&lt;0,0,AE4-AF4)</f>
        <v>142.74</v>
      </c>
      <c r="AH4" s="107">
        <f t="shared" ref="AH4:AH16" si="3">ROUND(IF((L4-Q4-AG4)&lt;0,0,(L4-Q4-AG4)),2)</f>
        <v>7236.23</v>
      </c>
      <c r="AI4" s="108"/>
      <c r="AJ4" s="107">
        <f t="shared" ref="AJ4:AJ16" si="4">AH4+AI4</f>
        <v>7236.23</v>
      </c>
      <c r="AK4" s="109"/>
      <c r="AL4" s="107">
        <f t="shared" ref="AL4:AL16" si="5">AJ4+AG4+AK4</f>
        <v>7378.97</v>
      </c>
      <c r="AM4" s="109"/>
      <c r="AN4" s="109"/>
      <c r="AO4" s="109"/>
      <c r="AP4" s="109"/>
      <c r="AQ4" s="109"/>
      <c r="AR4" s="116" t="str">
        <f t="shared" ref="AR4:AR16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L5+IFERROR(VLOOKUP($E:$E,'（居民）工资表-10月'!$E:$S,15,0),0)</f>
        <v>59860</v>
      </c>
      <c r="T5" s="91">
        <f>5000+IFERROR(VLOOKUP($E:$E,'（居民）工资表-10月'!$E:$T,16,0),0)</f>
        <v>50000</v>
      </c>
      <c r="U5" s="91">
        <f>Q5+IFERROR(VLOOKUP($E:$E,'（居民）工资表-10月'!$E:$U,17,0),0)</f>
        <v>6773.84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3086.16</v>
      </c>
      <c r="AE5" s="96">
        <f>ROUND(MAX((AD5)*{0.03;0.1;0.2;0.25;0.3;0.35;0.45}-{0;2520;16920;31920;52920;85920;181920},0),2)</f>
        <v>92.58</v>
      </c>
      <c r="AF5" s="97">
        <f>IFERROR(VLOOKUP(E:E,'（居民）工资表-10月'!E:AF,28,0)+VLOOKUP(E:E,'（居民）工资表-10月'!E:AG,29,0),0)</f>
        <v>79.45</v>
      </c>
      <c r="AG5" s="97">
        <f t="shared" ref="AG5:AG16" si="9">IF((AE5-AF5)&lt;0,0,AE5-AF5)</f>
        <v>13.13</v>
      </c>
      <c r="AH5" s="107">
        <f t="shared" si="3"/>
        <v>5424.63</v>
      </c>
      <c r="AI5" s="108"/>
      <c r="AJ5" s="107">
        <f t="shared" si="4"/>
        <v>5424.63</v>
      </c>
      <c r="AK5" s="109"/>
      <c r="AL5" s="107">
        <f t="shared" si="5"/>
        <v>5437.76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L6+IFERROR(VLOOKUP($E:$E,'（居民）工资表-10月'!$E:$S,15,0),0)</f>
        <v>300600</v>
      </c>
      <c r="T6" s="91">
        <f>5000+IFERROR(VLOOKUP($E:$E,'（居民）工资表-10月'!$E:$T,16,0),0)</f>
        <v>50000</v>
      </c>
      <c r="U6" s="91">
        <f>Q6+IFERROR(VLOOKUP($E:$E,'（居民）工资表-10月'!$E:$U,17,0),0)</f>
        <v>9574.12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241025.88</v>
      </c>
      <c r="AE6" s="96">
        <f>ROUND(MAX((AD6)*{0.03;0.1;0.2;0.25;0.3;0.35;0.45}-{0;2520;16920;31920;52920;85920;181920},0),2)</f>
        <v>31285.18</v>
      </c>
      <c r="AF6" s="97">
        <f>IFERROR(VLOOKUP(E:E,'（居民）工资表-10月'!E:AF,28,0)+VLOOKUP(E:E,'（居民）工资表-10月'!E:AG,29,0),0)</f>
        <v>26465.84</v>
      </c>
      <c r="AG6" s="97">
        <f t="shared" si="9"/>
        <v>4819.34</v>
      </c>
      <c r="AH6" s="107">
        <f t="shared" si="3"/>
        <v>24277.34</v>
      </c>
      <c r="AI6" s="108"/>
      <c r="AJ6" s="107">
        <f t="shared" si="4"/>
        <v>24277.34</v>
      </c>
      <c r="AK6" s="109"/>
      <c r="AL6" s="107">
        <f t="shared" si="5"/>
        <v>29096.68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L7+IFERROR(VLOOKUP($E:$E,'（居民）工资表-10月'!$E:$S,15,0),0)</f>
        <v>91000</v>
      </c>
      <c r="T7" s="91">
        <f>5000+IFERROR(VLOOKUP($E:$E,'（居民）工资表-10月'!$E:$T,16,0),0)</f>
        <v>50000</v>
      </c>
      <c r="U7" s="91">
        <f>Q7+IFERROR(VLOOKUP($E:$E,'（居民）工资表-10月'!$E:$U,17,0),0)</f>
        <v>5566.87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35433.13</v>
      </c>
      <c r="AE7" s="96">
        <f>ROUND(MAX((AD7)*{0.03;0.1;0.2;0.25;0.3;0.35;0.45}-{0;2520;16920;31920;52920;85920;181920},0),2)</f>
        <v>1062.99</v>
      </c>
      <c r="AF7" s="97">
        <f>IFERROR(VLOOKUP(E:E,'（居民）工资表-10月'!E:AF,28,0)+VLOOKUP(E:E,'（居民）工资表-10月'!E:AG,29,0),0)</f>
        <v>959.49</v>
      </c>
      <c r="AG7" s="97">
        <f t="shared" si="9"/>
        <v>103.5</v>
      </c>
      <c r="AH7" s="107">
        <f t="shared" si="3"/>
        <v>8346.5</v>
      </c>
      <c r="AI7" s="108"/>
      <c r="AJ7" s="107">
        <f t="shared" si="4"/>
        <v>8346.5</v>
      </c>
      <c r="AK7" s="109"/>
      <c r="AL7" s="107">
        <f t="shared" si="5"/>
        <v>8450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L8+IFERROR(VLOOKUP($E:$E,'（居民）工资表-10月'!$E:$S,15,0),0)</f>
        <v>108000</v>
      </c>
      <c r="T8" s="91">
        <f>5000+IFERROR(VLOOKUP($E:$E,'（居民）工资表-10月'!$E:$T,16,0),0)</f>
        <v>50000</v>
      </c>
      <c r="U8" s="91">
        <f>Q8+IFERROR(VLOOKUP($E:$E,'（居民）工资表-10月'!$E:$U,17,0),0)</f>
        <v>8003.92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49996.08</v>
      </c>
      <c r="AE8" s="96">
        <f>ROUND(MAX((AD8)*{0.03;0.1;0.2;0.25;0.3;0.35;0.45}-{0;2520;16920;31920;52920;85920;181920},0),2)</f>
        <v>2479.61</v>
      </c>
      <c r="AF8" s="97">
        <f>IFERROR(VLOOKUP(E:E,'（居民）工资表-10月'!E:AF,28,0)+VLOOKUP(E:E,'（居民）工资表-10月'!E:AG,29,0),0)</f>
        <v>2008.99</v>
      </c>
      <c r="AG8" s="97">
        <f t="shared" si="9"/>
        <v>470.62</v>
      </c>
      <c r="AH8" s="107">
        <f t="shared" si="3"/>
        <v>9235.54</v>
      </c>
      <c r="AI8" s="108"/>
      <c r="AJ8" s="107">
        <f t="shared" si="4"/>
        <v>9235.54</v>
      </c>
      <c r="AK8" s="109"/>
      <c r="AL8" s="107">
        <f t="shared" si="5"/>
        <v>9706.16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v>299.28</v>
      </c>
      <c r="N9" s="71">
        <v>95.54</v>
      </c>
      <c r="O9" s="71">
        <v>11.22</v>
      </c>
      <c r="P9" s="71">
        <v>100</v>
      </c>
      <c r="Q9" s="89">
        <f t="shared" si="0"/>
        <v>506.04</v>
      </c>
      <c r="R9" s="70">
        <v>0</v>
      </c>
      <c r="S9" s="90">
        <f>L9+IFERROR(VLOOKUP($E:$E,'（居民）工资表-10月'!$E:$S,15,0),0)</f>
        <v>65000</v>
      </c>
      <c r="T9" s="91">
        <f>5000+IFERROR(VLOOKUP($E:$E,'（居民）工资表-10月'!$E:$T,16,0),0)</f>
        <v>50000</v>
      </c>
      <c r="U9" s="91">
        <f>Q9+IFERROR(VLOOKUP($E:$E,'（居民）工资表-10月'!$E:$U,17,0),0)</f>
        <v>5265.64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9734.36</v>
      </c>
      <c r="AE9" s="96">
        <f>ROUND(MAX((AD9)*{0.03;0.1;0.2;0.25;0.3;0.35;0.45}-{0;2520;16920;31920;52920;85920;181920},0),2)</f>
        <v>292.03</v>
      </c>
      <c r="AF9" s="97">
        <f>IFERROR(VLOOKUP(E:E,'（居民）工资表-10月'!E:AF,28,0)+VLOOKUP(E:E,'（居民）工资表-10月'!E:AG,29,0),0)</f>
        <v>262.21</v>
      </c>
      <c r="AG9" s="97">
        <f t="shared" si="9"/>
        <v>29.82</v>
      </c>
      <c r="AH9" s="107">
        <f t="shared" si="3"/>
        <v>5964.14</v>
      </c>
      <c r="AI9" s="108"/>
      <c r="AJ9" s="107">
        <f t="shared" si="4"/>
        <v>5964.14</v>
      </c>
      <c r="AK9" s="109"/>
      <c r="AL9" s="107">
        <f t="shared" si="5"/>
        <v>5993.96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L10+IFERROR(VLOOKUP($E:$E,'（居民）工资表-10月'!$E:$S,15,0),0)</f>
        <v>44836.98</v>
      </c>
      <c r="T10" s="91">
        <f>5000+IFERROR(VLOOKUP($E:$E,'（居民）工资表-10月'!$E:$T,16,0),0)</f>
        <v>50000</v>
      </c>
      <c r="U10" s="91">
        <f>Q10+IFERROR(VLOOKUP($E:$E,'（居民）工资表-10月'!$E:$U,17,0),0)</f>
        <v>6478.15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-11641.17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3783.6</v>
      </c>
      <c r="AI10" s="108"/>
      <c r="AJ10" s="107">
        <f t="shared" si="4"/>
        <v>3783.6</v>
      </c>
      <c r="AK10" s="109"/>
      <c r="AL10" s="107">
        <f t="shared" si="5"/>
        <v>3783.6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L11+IFERROR(VLOOKUP($E:$E,'（居民）工资表-10月'!$E:$S,15,0),0)</f>
        <v>88500</v>
      </c>
      <c r="T11" s="91">
        <f>5000+IFERROR(VLOOKUP($E:$E,'（居民）工资表-10月'!$E:$T,16,0),0)</f>
        <v>50000</v>
      </c>
      <c r="U11" s="91">
        <f>Q11+IFERROR(VLOOKUP($E:$E,'（居民）工资表-10月'!$E:$U,17,0),0)</f>
        <v>5873.92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32626.08</v>
      </c>
      <c r="AE11" s="96">
        <f>ROUND(MAX((AD11)*{0.03;0.1;0.2;0.25;0.3;0.35;0.45}-{0;2520;16920;31920;52920;85920;181920},0),2)</f>
        <v>978.78</v>
      </c>
      <c r="AF11" s="97">
        <f>IFERROR(VLOOKUP(E:E,'（居民）工资表-10月'!E:AF,28,0)+VLOOKUP(E:E,'（居民）工资表-10月'!E:AG,29,0),0)</f>
        <v>876.21</v>
      </c>
      <c r="AG11" s="97">
        <f t="shared" si="9"/>
        <v>102.57</v>
      </c>
      <c r="AH11" s="107">
        <f t="shared" si="3"/>
        <v>8316.59</v>
      </c>
      <c r="AI11" s="108"/>
      <c r="AJ11" s="107">
        <f t="shared" si="4"/>
        <v>8316.59</v>
      </c>
      <c r="AK11" s="109"/>
      <c r="AL11" s="107">
        <f t="shared" si="5"/>
        <v>8419.16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L12+IFERROR(VLOOKUP($E:$E,'（居民）工资表-10月'!$E:$S,15,0),0)</f>
        <v>73500</v>
      </c>
      <c r="T12" s="91">
        <f>5000+IFERROR(VLOOKUP($E:$E,'（居民）工资表-10月'!$E:$T,16,0),0)</f>
        <v>50000</v>
      </c>
      <c r="U12" s="91">
        <f>Q12+IFERROR(VLOOKUP($E:$E,'（居民）工资表-10月'!$E:$U,17,0),0)</f>
        <v>8003.92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R12+IFERROR(VLOOKUP($E:$E,'（居民）工资表-10月'!$E:$AC,25,0),0)</f>
        <v>0</v>
      </c>
      <c r="AD12" s="95">
        <f t="shared" si="2"/>
        <v>15496.08</v>
      </c>
      <c r="AE12" s="96">
        <f>ROUND(MAX((AD12)*{0.03;0.1;0.2;0.25;0.3;0.35;0.45}-{0;2520;16920;31920;52920;85920;181920},0),2)</f>
        <v>464.88</v>
      </c>
      <c r="AF12" s="97">
        <f>IFERROR(VLOOKUP(E:E,'（居民）工资表-10月'!E:AF,28,0)+VLOOKUP(E:E,'（居民）工资表-10月'!E:AG,29,0),0)</f>
        <v>413.7</v>
      </c>
      <c r="AG12" s="97">
        <f t="shared" si="9"/>
        <v>51.18</v>
      </c>
      <c r="AH12" s="107">
        <f t="shared" si="3"/>
        <v>6654.98</v>
      </c>
      <c r="AI12" s="108"/>
      <c r="AJ12" s="107">
        <f t="shared" si="4"/>
        <v>6654.98</v>
      </c>
      <c r="AK12" s="109"/>
      <c r="AL12" s="107">
        <f t="shared" si="5"/>
        <v>6706.16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>IF(SUMPRODUCT(N(E$1:E$6=E12))&gt;1,"重复","不")</f>
        <v>不</v>
      </c>
      <c r="AT12" s="116" t="str">
        <f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L13+IFERROR(VLOOKUP($E:$E,'（居民）工资表-10月'!$E:$S,15,0),0)</f>
        <v>77000</v>
      </c>
      <c r="T13" s="91">
        <f>5000+IFERROR(VLOOKUP($E:$E,'（居民）工资表-10月'!$E:$T,16,0),0)</f>
        <v>50000</v>
      </c>
      <c r="U13" s="91">
        <f>Q13+IFERROR(VLOOKUP($E:$E,'（居民）工资表-10月'!$E:$U,17,0),0)</f>
        <v>8013.62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R13+IFERROR(VLOOKUP($E:$E,'（居民）工资表-10月'!$E:$AC,25,0),0)</f>
        <v>0</v>
      </c>
      <c r="AD13" s="95">
        <f t="shared" si="2"/>
        <v>18986.38</v>
      </c>
      <c r="AE13" s="96">
        <f>ROUND(MAX((AD13)*{0.03;0.1;0.2;0.25;0.3;0.35;0.45}-{0;2520;16920;31920;52920;85920;181920},0),2)</f>
        <v>569.59</v>
      </c>
      <c r="AF13" s="97">
        <f>IFERROR(VLOOKUP(E:E,'（居民）工资表-10月'!E:AF,28,0)+VLOOKUP(E:E,'（居民）工资表-10月'!E:AG,29,0),0)</f>
        <v>503.41</v>
      </c>
      <c r="AG13" s="97">
        <f t="shared" si="9"/>
        <v>66.18</v>
      </c>
      <c r="AH13" s="107">
        <f t="shared" si="3"/>
        <v>7139.98</v>
      </c>
      <c r="AI13" s="108"/>
      <c r="AJ13" s="107">
        <f t="shared" si="4"/>
        <v>7139.98</v>
      </c>
      <c r="AK13" s="109"/>
      <c r="AL13" s="107">
        <f t="shared" si="5"/>
        <v>7206.16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IF(SUMPRODUCT(N(E$1:E$6=E13))&gt;1,"重复","不")</f>
        <v>不</v>
      </c>
      <c r="AT13" s="116" t="str">
        <f>IF(SUMPRODUCT(N(AO$1:AO$6=AO13))&gt;1,"重复","不")</f>
        <v>重复</v>
      </c>
      <c r="AU13" s="11"/>
      <c r="AV13" s="11"/>
    </row>
    <row r="14" s="12" customFormat="1" ht="18" customHeight="1" spans="1:48">
      <c r="A14" s="36">
        <v>11</v>
      </c>
      <c r="B14" s="37" t="s">
        <v>184</v>
      </c>
      <c r="C14" s="37" t="s">
        <v>139</v>
      </c>
      <c r="D14" s="37" t="s">
        <v>120</v>
      </c>
      <c r="E14" s="352" t="s">
        <v>140</v>
      </c>
      <c r="F14" s="38" t="s">
        <v>187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L14+IFERROR(VLOOKUP($E:$E,'（居民）工资表-10月'!$E:$S,15,0),0)</f>
        <v>60000</v>
      </c>
      <c r="T14" s="91">
        <f>5000+IFERROR(VLOOKUP($E:$E,'（居民）工资表-10月'!$E:$T,16,0),0)</f>
        <v>50000</v>
      </c>
      <c r="U14" s="91">
        <f>Q14+IFERROR(VLOOKUP($E:$E,'（居民）工资表-10月'!$E:$U,17,0),0)</f>
        <v>5533.92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R14+IFERROR(VLOOKUP($E:$E,'（居民）工资表-10月'!$E:$AC,25,0),0)</f>
        <v>0</v>
      </c>
      <c r="AD14" s="95">
        <f t="shared" si="2"/>
        <v>4466.08</v>
      </c>
      <c r="AE14" s="96">
        <f>ROUND(MAX((AD14)*{0.03;0.1;0.2;0.25;0.3;0.35;0.45}-{0;2520;16920;31920;52920;85920;181920},0),2)</f>
        <v>133.98</v>
      </c>
      <c r="AF14" s="97">
        <f>IFERROR(VLOOKUP(E:E,'（居民）工资表-10月'!E:AF,28,0)+VLOOKUP(E:E,'（居民）工资表-10月'!E:AG,29,0),0)</f>
        <v>120.39</v>
      </c>
      <c r="AG14" s="97">
        <f t="shared" si="9"/>
        <v>13.59</v>
      </c>
      <c r="AH14" s="107">
        <f t="shared" si="3"/>
        <v>5439.57</v>
      </c>
      <c r="AI14" s="108"/>
      <c r="AJ14" s="107">
        <f t="shared" si="4"/>
        <v>5439.57</v>
      </c>
      <c r="AK14" s="109"/>
      <c r="AL14" s="107">
        <f t="shared" si="5"/>
        <v>5453.16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IF(SUMPRODUCT(N(E$1:E$6=E14))&gt;1,"重复","不")</f>
        <v>不</v>
      </c>
      <c r="AT14" s="116" t="str">
        <f>IF(SUMPRODUCT(N(AO$1:AO$6=AO14))&gt;1,"重复","不")</f>
        <v>重复</v>
      </c>
      <c r="AU14" s="11"/>
      <c r="AV14" s="11"/>
    </row>
    <row r="15" s="12" customFormat="1" ht="18" customHeight="1" spans="1:48">
      <c r="A15" s="36">
        <v>12</v>
      </c>
      <c r="B15" s="37" t="s">
        <v>184</v>
      </c>
      <c r="C15" s="37" t="s">
        <v>141</v>
      </c>
      <c r="D15" s="37" t="s">
        <v>120</v>
      </c>
      <c r="E15" s="352" t="s">
        <v>142</v>
      </c>
      <c r="F15" s="38" t="s">
        <v>185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L15+IFERROR(VLOOKUP($E:$E,'（居民）工资表-10月'!$E:$S,15,0),0)</f>
        <v>99904.76</v>
      </c>
      <c r="T15" s="91">
        <f>5000+IFERROR(VLOOKUP($E:$E,'（居民）工资表-10月'!$E:$T,16,0),0)</f>
        <v>50000</v>
      </c>
      <c r="U15" s="91">
        <f>Q15+IFERROR(VLOOKUP($E:$E,'（居民）工资表-10月'!$E:$U,17,0),0)</f>
        <v>5566.87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R15+IFERROR(VLOOKUP($E:$E,'（居民）工资表-10月'!$E:$AC,25,0),0)</f>
        <v>0</v>
      </c>
      <c r="AD15" s="95">
        <f t="shared" si="2"/>
        <v>44337.89</v>
      </c>
      <c r="AE15" s="96">
        <f>ROUND(MAX((AD15)*{0.03;0.1;0.2;0.25;0.3;0.35;0.45}-{0;2520;16920;31920;52920;85920;181920},0),2)</f>
        <v>1913.79</v>
      </c>
      <c r="AF15" s="97">
        <f>IFERROR(VLOOKUP(E:E,'（居民）工资表-10月'!E:AF,28,0)+VLOOKUP(E:E,'（居民）工资表-10月'!E:AG,29,0),0)</f>
        <v>1468.79</v>
      </c>
      <c r="AG15" s="97">
        <f t="shared" si="9"/>
        <v>445</v>
      </c>
      <c r="AH15" s="107">
        <f t="shared" si="3"/>
        <v>9005</v>
      </c>
      <c r="AI15" s="108"/>
      <c r="AJ15" s="107">
        <f t="shared" si="4"/>
        <v>9005</v>
      </c>
      <c r="AK15" s="109"/>
      <c r="AL15" s="107">
        <f t="shared" si="5"/>
        <v>9450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IF(SUMPRODUCT(N(E$1:E$6=E15))&gt;1,"重复","不")</f>
        <v>不</v>
      </c>
      <c r="AT15" s="116" t="str">
        <f>IF(SUMPRODUCT(N(AO$1:AO$6=AO15))&gt;1,"重复","不")</f>
        <v>重复</v>
      </c>
      <c r="AU15" s="11"/>
      <c r="AV15" s="11"/>
    </row>
    <row r="16" s="12" customFormat="1" ht="18" customHeight="1" spans="1:48">
      <c r="A16" s="36">
        <v>13</v>
      </c>
      <c r="B16" s="37" t="s">
        <v>184</v>
      </c>
      <c r="C16" s="37" t="s">
        <v>204</v>
      </c>
      <c r="D16" s="37" t="s">
        <v>120</v>
      </c>
      <c r="E16" s="37" t="s">
        <v>205</v>
      </c>
      <c r="F16" s="38" t="s">
        <v>185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L16+IFERROR(VLOOKUP($E:$E,'（居民）工资表-10月'!$E:$S,15,0),0)</f>
        <v>43510.65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4420.56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R16+IFERROR(VLOOKUP($E:$E,'（居民）工资表-10月'!$E:$AC,25,0),0)</f>
        <v>0</v>
      </c>
      <c r="AD16" s="95">
        <f t="shared" si="2"/>
        <v>4090.09</v>
      </c>
      <c r="AE16" s="96">
        <f>ROUND(MAX((AD16)*{0.03;0.1;0.2;0.25;0.3;0.35;0.45}-{0;2520;16920;31920;52920;85920;181920},0),2)</f>
        <v>122.7</v>
      </c>
      <c r="AF16" s="97">
        <f>IFERROR(VLOOKUP(E:E,'（居民）工资表-10月'!E:AF,28,0)+VLOOKUP(E:E,'（居民）工资表-10月'!E:AG,29,0),0)</f>
        <v>61.28</v>
      </c>
      <c r="AG16" s="97">
        <f t="shared" si="9"/>
        <v>61.42</v>
      </c>
      <c r="AH16" s="107">
        <f t="shared" si="3"/>
        <v>6986.01</v>
      </c>
      <c r="AI16" s="108"/>
      <c r="AJ16" s="107">
        <f t="shared" si="4"/>
        <v>6986.01</v>
      </c>
      <c r="AK16" s="109"/>
      <c r="AL16" s="107">
        <f t="shared" si="5"/>
        <v>7047.43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IF(SUMPRODUCT(N(E$1:E$6=E16))&gt;1,"重复","不")</f>
        <v>不</v>
      </c>
      <c r="AT16" s="116" t="str">
        <f>IF(SUMPRODUCT(N(AO$1:AO$6=AO16))&gt;1,"重复","不")</f>
        <v>重复</v>
      </c>
      <c r="AU16" s="11"/>
      <c r="AV16" s="11"/>
    </row>
    <row r="17" s="12" customFormat="1" ht="18" customHeight="1" spans="1:48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  <c r="AU17" s="11"/>
      <c r="AV17" s="11"/>
    </row>
    <row r="18" s="13" customFormat="1" ht="18" customHeight="1" spans="1:46">
      <c r="A18" s="41"/>
      <c r="B18" s="42" t="s">
        <v>143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SUM(L4:L16)</f>
        <v>122707.97</v>
      </c>
      <c r="M18" s="74">
        <f>SUM(M4:M16)</f>
        <v>4763.37</v>
      </c>
      <c r="N18" s="74">
        <f>SUM(N4:N16)</f>
        <v>1331.12</v>
      </c>
      <c r="O18" s="74">
        <f t="shared" ref="O18:AL18" si="10">SUM(O4:O16)</f>
        <v>251.38</v>
      </c>
      <c r="P18" s="74">
        <f t="shared" si="10"/>
        <v>2232.9</v>
      </c>
      <c r="Q18" s="74">
        <f t="shared" si="10"/>
        <v>8578.77</v>
      </c>
      <c r="R18" s="74">
        <f t="shared" si="10"/>
        <v>0</v>
      </c>
      <c r="S18" s="74">
        <f t="shared" si="10"/>
        <v>1191712.39</v>
      </c>
      <c r="T18" s="74">
        <f t="shared" si="10"/>
        <v>635000</v>
      </c>
      <c r="U18" s="74">
        <f t="shared" si="10"/>
        <v>85143.46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471568.93</v>
      </c>
      <c r="AE18" s="74">
        <f t="shared" si="10"/>
        <v>40114.07</v>
      </c>
      <c r="AF18" s="74">
        <f t="shared" si="10"/>
        <v>33794.98</v>
      </c>
      <c r="AG18" s="74">
        <f t="shared" si="10"/>
        <v>6319.09</v>
      </c>
      <c r="AH18" s="74">
        <f t="shared" si="10"/>
        <v>107810.11</v>
      </c>
      <c r="AI18" s="74">
        <f t="shared" si="10"/>
        <v>0</v>
      </c>
      <c r="AJ18" s="74">
        <f t="shared" si="10"/>
        <v>107810.11</v>
      </c>
      <c r="AK18" s="74">
        <f t="shared" si="10"/>
        <v>0</v>
      </c>
      <c r="AL18" s="74">
        <f t="shared" si="10"/>
        <v>114129.2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144</v>
      </c>
      <c r="C22" s="47" t="s">
        <v>145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107810.11</v>
      </c>
      <c r="C23" s="48">
        <f>AG18</f>
        <v>6319.09</v>
      </c>
      <c r="D23" s="48">
        <f>AK18</f>
        <v>0</v>
      </c>
      <c r="E23" s="48">
        <f>B23+C23+D23</f>
        <v>114129.2</v>
      </c>
    </row>
    <row r="24" spans="2:5">
      <c r="B24" s="49"/>
      <c r="C24" s="49"/>
      <c r="D24" s="49"/>
      <c r="E24" s="49"/>
    </row>
    <row r="25" s="14" customFormat="1" spans="1:35">
      <c r="A25" s="51" t="s">
        <v>206</v>
      </c>
      <c r="B25" s="52" t="s">
        <v>207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208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209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210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211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212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213</v>
      </c>
    </row>
    <row r="33" spans="2:2">
      <c r="B33" s="59" t="s">
        <v>214</v>
      </c>
    </row>
    <row r="34" spans="2:2">
      <c r="B34" s="59" t="s">
        <v>215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$A4:$XFD16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70">
        <f>ROUND(SUM(M4:P4),2)</f>
        <v>621.03</v>
      </c>
      <c r="R4" s="70">
        <v>0</v>
      </c>
      <c r="S4" s="92">
        <f>L4</f>
        <v>8000</v>
      </c>
      <c r="T4" s="93">
        <v>5000</v>
      </c>
      <c r="U4" s="93">
        <f>Q4</f>
        <v>621.03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2378.97</v>
      </c>
      <c r="AE4" s="99">
        <f>ROUND(MAX((AD4)*{0.03;0.1;0.2;0.25;0.3;0.35;0.45}-{0;2520;16920;31920;52920;85920;181920},0),2)</f>
        <v>71.37</v>
      </c>
      <c r="AF4" s="100">
        <v>0</v>
      </c>
      <c r="AG4" s="100">
        <f>IF((AE4-AF4)&lt;0,0,AE4-AF4)</f>
        <v>71.37</v>
      </c>
      <c r="AH4" s="109">
        <f>ROUND(IF((L4-Q4-AG4)&lt;0,0,(L4-Q4-AG4)),2)</f>
        <v>7307.6</v>
      </c>
      <c r="AI4" s="108"/>
      <c r="AJ4" s="109">
        <f>AH4+AI4</f>
        <v>7307.6</v>
      </c>
      <c r="AK4" s="109"/>
      <c r="AL4" s="109">
        <f>AJ4+AG4+AK4</f>
        <v>7378.97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70">
        <f t="shared" ref="Q5:Q19" si="0">ROUND(SUM(M5:P5),2)</f>
        <v>662.24</v>
      </c>
      <c r="R5" s="70">
        <v>0</v>
      </c>
      <c r="S5" s="92">
        <f t="shared" ref="S5:S21" si="1">L5</f>
        <v>6100</v>
      </c>
      <c r="T5" s="93">
        <v>5000</v>
      </c>
      <c r="U5" s="93">
        <f t="shared" ref="U5:U21" si="2">Q5</f>
        <v>662.24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437.76</v>
      </c>
      <c r="AE5" s="99">
        <f>ROUND(MAX((AD5)*{0.03;0.1;0.2;0.25;0.3;0.35;0.45}-{0;2520;16920;31920;52920;85920;181920},0),2)</f>
        <v>13.13</v>
      </c>
      <c r="AF5" s="100">
        <v>0</v>
      </c>
      <c r="AG5" s="100">
        <f t="shared" ref="AG5:AG21" si="6">IF((AE5-AF5)&lt;0,0,AE5-AF5)</f>
        <v>13.13</v>
      </c>
      <c r="AH5" s="109">
        <f t="shared" ref="AH5:AH21" si="7">ROUND(IF((L5-Q5-AG5)&lt;0,0,(L5-Q5-AG5)),2)</f>
        <v>5424.63</v>
      </c>
      <c r="AI5" s="108"/>
      <c r="AJ5" s="109">
        <f t="shared" ref="AJ5:AJ21" si="8">AH5+AI5</f>
        <v>5424.63</v>
      </c>
      <c r="AK5" s="109"/>
      <c r="AL5" s="109">
        <f t="shared" ref="AL5:AL21" si="9">AJ5+AG5+AK5</f>
        <v>5437.76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70">
        <f t="shared" si="0"/>
        <v>963.32</v>
      </c>
      <c r="R6" s="70">
        <v>0</v>
      </c>
      <c r="S6" s="92">
        <f t="shared" si="1"/>
        <v>30060</v>
      </c>
      <c r="T6" s="93">
        <v>5000</v>
      </c>
      <c r="U6" s="93">
        <f t="shared" si="2"/>
        <v>963.32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24096.68</v>
      </c>
      <c r="AE6" s="99">
        <f>ROUND(MAX((AD6)*{0.03;0.1;0.2;0.25;0.3;0.35;0.45}-{0;2520;16920;31920;52920;85920;181920},0),2)</f>
        <v>722.9</v>
      </c>
      <c r="AF6" s="100">
        <v>0</v>
      </c>
      <c r="AG6" s="100">
        <f t="shared" si="6"/>
        <v>722.9</v>
      </c>
      <c r="AH6" s="109">
        <f t="shared" si="7"/>
        <v>28373.78</v>
      </c>
      <c r="AI6" s="108"/>
      <c r="AJ6" s="109">
        <f t="shared" si="8"/>
        <v>28373.78</v>
      </c>
      <c r="AK6" s="109"/>
      <c r="AL6" s="109">
        <f t="shared" si="9"/>
        <v>29096.68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70">
        <f t="shared" si="0"/>
        <v>550</v>
      </c>
      <c r="R7" s="70">
        <v>0</v>
      </c>
      <c r="S7" s="92">
        <f t="shared" si="1"/>
        <v>9000</v>
      </c>
      <c r="T7" s="93">
        <v>5000</v>
      </c>
      <c r="U7" s="93">
        <f t="shared" si="2"/>
        <v>550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3450</v>
      </c>
      <c r="AE7" s="99">
        <f>ROUND(MAX((AD7)*{0.03;0.1;0.2;0.25;0.3;0.35;0.45}-{0;2520;16920;31920;52920;85920;181920},0),2)</f>
        <v>103.5</v>
      </c>
      <c r="AF7" s="100">
        <v>0</v>
      </c>
      <c r="AG7" s="100">
        <f t="shared" si="6"/>
        <v>103.5</v>
      </c>
      <c r="AH7" s="109">
        <f t="shared" si="7"/>
        <v>8346.5</v>
      </c>
      <c r="AI7" s="108"/>
      <c r="AJ7" s="109">
        <f t="shared" si="8"/>
        <v>8346.5</v>
      </c>
      <c r="AK7" s="109"/>
      <c r="AL7" s="109">
        <f t="shared" si="9"/>
        <v>8450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 t="shared" si="1"/>
        <v>10500</v>
      </c>
      <c r="T8" s="93">
        <v>5000</v>
      </c>
      <c r="U8" s="93">
        <f t="shared" si="2"/>
        <v>793.84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4706.16</v>
      </c>
      <c r="AE8" s="99">
        <f>ROUND(MAX((AD8)*{0.03;0.1;0.2;0.25;0.3;0.35;0.45}-{0;2520;16920;31920;52920;85920;181920},0),2)</f>
        <v>141.18</v>
      </c>
      <c r="AF8" s="100">
        <v>0</v>
      </c>
      <c r="AG8" s="100">
        <f t="shared" si="6"/>
        <v>141.18</v>
      </c>
      <c r="AH8" s="109">
        <f t="shared" si="7"/>
        <v>9564.98</v>
      </c>
      <c r="AI8" s="108"/>
      <c r="AJ8" s="109">
        <f t="shared" si="8"/>
        <v>9564.98</v>
      </c>
      <c r="AK8" s="109"/>
      <c r="AL8" s="109">
        <f t="shared" si="9"/>
        <v>9706.16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v>12.08</v>
      </c>
      <c r="P9" s="71">
        <v>100</v>
      </c>
      <c r="Q9" s="70">
        <f t="shared" si="0"/>
        <v>529.78</v>
      </c>
      <c r="R9" s="70">
        <v>0</v>
      </c>
      <c r="S9" s="92">
        <f t="shared" si="1"/>
        <v>6500</v>
      </c>
      <c r="T9" s="93">
        <v>5000</v>
      </c>
      <c r="U9" s="93">
        <f t="shared" si="2"/>
        <v>529.78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970.22</v>
      </c>
      <c r="AE9" s="99">
        <f>ROUND(MAX((AD9)*{0.03;0.1;0.2;0.25;0.3;0.35;0.45}-{0;2520;16920;31920;52920;85920;181920},0),2)</f>
        <v>29.11</v>
      </c>
      <c r="AF9" s="100">
        <v>0</v>
      </c>
      <c r="AG9" s="100">
        <f t="shared" si="6"/>
        <v>29.11</v>
      </c>
      <c r="AH9" s="109">
        <f t="shared" si="7"/>
        <v>5941.11</v>
      </c>
      <c r="AI9" s="108"/>
      <c r="AJ9" s="109">
        <f t="shared" si="8"/>
        <v>5941.11</v>
      </c>
      <c r="AK9" s="109"/>
      <c r="AL9" s="109">
        <f t="shared" si="9"/>
        <v>5970.22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70">
        <f t="shared" si="0"/>
        <v>664.37</v>
      </c>
      <c r="R10" s="70">
        <v>0</v>
      </c>
      <c r="S10" s="92">
        <f t="shared" si="1"/>
        <v>4447.97</v>
      </c>
      <c r="T10" s="93">
        <v>5000</v>
      </c>
      <c r="U10" s="93">
        <f t="shared" si="2"/>
        <v>664.37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-1216.4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3783.6</v>
      </c>
      <c r="AI10" s="108"/>
      <c r="AJ10" s="109">
        <f t="shared" si="8"/>
        <v>3783.6</v>
      </c>
      <c r="AK10" s="109"/>
      <c r="AL10" s="109">
        <f t="shared" si="9"/>
        <v>3783.6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70">
        <f t="shared" si="0"/>
        <v>580.84</v>
      </c>
      <c r="R11" s="70">
        <v>0</v>
      </c>
      <c r="S11" s="92">
        <f t="shared" si="1"/>
        <v>9000</v>
      </c>
      <c r="T11" s="93">
        <v>5000</v>
      </c>
      <c r="U11" s="93">
        <f t="shared" si="2"/>
        <v>580.84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3419.16</v>
      </c>
      <c r="AE11" s="99">
        <f>ROUND(MAX((AD11)*{0.03;0.1;0.2;0.25;0.3;0.35;0.45}-{0;2520;16920;31920;52920;85920;181920},0),2)</f>
        <v>102.57</v>
      </c>
      <c r="AF11" s="100">
        <v>0</v>
      </c>
      <c r="AG11" s="100">
        <f t="shared" si="6"/>
        <v>102.57</v>
      </c>
      <c r="AH11" s="109">
        <f t="shared" si="7"/>
        <v>8316.59</v>
      </c>
      <c r="AI11" s="108"/>
      <c r="AJ11" s="109">
        <f t="shared" si="8"/>
        <v>8316.59</v>
      </c>
      <c r="AK11" s="109"/>
      <c r="AL11" s="109">
        <f t="shared" si="9"/>
        <v>8419.16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70">
        <f t="shared" si="0"/>
        <v>793.84</v>
      </c>
      <c r="R12" s="70">
        <v>0</v>
      </c>
      <c r="S12" s="92">
        <f t="shared" si="1"/>
        <v>7500</v>
      </c>
      <c r="T12" s="93">
        <v>5000</v>
      </c>
      <c r="U12" s="93">
        <f t="shared" si="2"/>
        <v>793.84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1706.16</v>
      </c>
      <c r="AE12" s="99">
        <f>ROUND(MAX((AD12)*{0.03;0.1;0.2;0.25;0.3;0.35;0.45}-{0;2520;16920;31920;52920;85920;181920},0),2)</f>
        <v>51.18</v>
      </c>
      <c r="AF12" s="100">
        <v>0</v>
      </c>
      <c r="AG12" s="100">
        <f t="shared" si="6"/>
        <v>51.18</v>
      </c>
      <c r="AH12" s="109">
        <f t="shared" si="7"/>
        <v>6654.98</v>
      </c>
      <c r="AI12" s="108"/>
      <c r="AJ12" s="109">
        <f t="shared" si="8"/>
        <v>6654.98</v>
      </c>
      <c r="AK12" s="109"/>
      <c r="AL12" s="109">
        <f t="shared" si="9"/>
        <v>6706.16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70">
        <f t="shared" si="0"/>
        <v>793.84</v>
      </c>
      <c r="R13" s="70">
        <v>0</v>
      </c>
      <c r="S13" s="92">
        <f t="shared" si="1"/>
        <v>8000</v>
      </c>
      <c r="T13" s="93">
        <v>5000</v>
      </c>
      <c r="U13" s="93">
        <f t="shared" si="2"/>
        <v>793.84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2206.16</v>
      </c>
      <c r="AE13" s="99">
        <f>ROUND(MAX((AD13)*{0.03;0.1;0.2;0.25;0.3;0.35;0.45}-{0;2520;16920;31920;52920;85920;181920},0),2)</f>
        <v>66.18</v>
      </c>
      <c r="AF13" s="100">
        <v>0</v>
      </c>
      <c r="AG13" s="100">
        <f t="shared" si="6"/>
        <v>66.18</v>
      </c>
      <c r="AH13" s="109">
        <f t="shared" si="7"/>
        <v>7139.98</v>
      </c>
      <c r="AI13" s="108"/>
      <c r="AJ13" s="109">
        <f t="shared" si="8"/>
        <v>7139.98</v>
      </c>
      <c r="AK13" s="109"/>
      <c r="AL13" s="109">
        <f t="shared" si="9"/>
        <v>7206.16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184</v>
      </c>
      <c r="C14" s="37" t="s">
        <v>139</v>
      </c>
      <c r="D14" s="37" t="s">
        <v>120</v>
      </c>
      <c r="E14" s="352" t="s">
        <v>140</v>
      </c>
      <c r="F14" s="38" t="s">
        <v>187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70">
        <f t="shared" si="0"/>
        <v>546.84</v>
      </c>
      <c r="R14" s="70">
        <v>0</v>
      </c>
      <c r="S14" s="92">
        <f t="shared" si="1"/>
        <v>6000</v>
      </c>
      <c r="T14" s="93">
        <v>5000</v>
      </c>
      <c r="U14" s="93">
        <f t="shared" si="2"/>
        <v>546.84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453.16</v>
      </c>
      <c r="AE14" s="99">
        <f>ROUND(MAX((AD14)*{0.03;0.1;0.2;0.25;0.3;0.35;0.45}-{0;2520;16920;31920;52920;85920;181920},0),2)</f>
        <v>13.59</v>
      </c>
      <c r="AF14" s="100">
        <v>0</v>
      </c>
      <c r="AG14" s="100">
        <f t="shared" si="6"/>
        <v>13.59</v>
      </c>
      <c r="AH14" s="109">
        <f t="shared" si="7"/>
        <v>5439.57</v>
      </c>
      <c r="AI14" s="108"/>
      <c r="AJ14" s="109">
        <f t="shared" si="8"/>
        <v>5439.57</v>
      </c>
      <c r="AK14" s="109"/>
      <c r="AL14" s="109">
        <f t="shared" si="9"/>
        <v>5453.16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184</v>
      </c>
      <c r="C15" s="37" t="s">
        <v>141</v>
      </c>
      <c r="D15" s="37" t="s">
        <v>120</v>
      </c>
      <c r="E15" s="352" t="s">
        <v>142</v>
      </c>
      <c r="F15" s="38" t="s">
        <v>185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70">
        <f t="shared" si="0"/>
        <v>550</v>
      </c>
      <c r="R15" s="70">
        <v>0</v>
      </c>
      <c r="S15" s="92">
        <f t="shared" si="1"/>
        <v>10000</v>
      </c>
      <c r="T15" s="93">
        <v>5000</v>
      </c>
      <c r="U15" s="93">
        <f t="shared" si="2"/>
        <v>550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4450</v>
      </c>
      <c r="AE15" s="99">
        <f>ROUND(MAX((AD15)*{0.03;0.1;0.2;0.25;0.3;0.35;0.45}-{0;2520;16920;31920;52920;85920;181920},0),2)</f>
        <v>133.5</v>
      </c>
      <c r="AF15" s="100">
        <v>0</v>
      </c>
      <c r="AG15" s="100">
        <f t="shared" si="6"/>
        <v>133.5</v>
      </c>
      <c r="AH15" s="109">
        <f t="shared" si="7"/>
        <v>9316.5</v>
      </c>
      <c r="AI15" s="108"/>
      <c r="AJ15" s="109">
        <f t="shared" si="8"/>
        <v>9316.5</v>
      </c>
      <c r="AK15" s="109"/>
      <c r="AL15" s="109">
        <f t="shared" si="9"/>
        <v>9450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184</v>
      </c>
      <c r="C16" s="37" t="s">
        <v>204</v>
      </c>
      <c r="D16" s="37" t="s">
        <v>120</v>
      </c>
      <c r="E16" s="37" t="s">
        <v>205</v>
      </c>
      <c r="F16" s="38" t="s">
        <v>185</v>
      </c>
      <c r="G16" s="39">
        <v>13711361074</v>
      </c>
      <c r="H16" s="40"/>
      <c r="I16" s="40"/>
      <c r="J16" s="69"/>
      <c r="K16" s="40"/>
      <c r="L16" s="70">
        <v>7392.73</v>
      </c>
      <c r="M16" s="71">
        <v>510.72</v>
      </c>
      <c r="N16" s="71">
        <v>102.28</v>
      </c>
      <c r="O16" s="71">
        <v>19.15</v>
      </c>
      <c r="P16" s="71">
        <v>110.5</v>
      </c>
      <c r="Q16" s="70">
        <f t="shared" si="0"/>
        <v>742.65</v>
      </c>
      <c r="R16" s="70">
        <v>0</v>
      </c>
      <c r="S16" s="92">
        <f t="shared" si="1"/>
        <v>7392.73</v>
      </c>
      <c r="T16" s="93">
        <v>5000</v>
      </c>
      <c r="U16" s="93">
        <f t="shared" si="2"/>
        <v>742.65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1650.08</v>
      </c>
      <c r="AE16" s="99">
        <f>ROUND(MAX((AD16)*{0.03;0.1;0.2;0.25;0.3;0.35;0.45}-{0;2520;16920;31920;52920;85920;181920},0),2)</f>
        <v>49.5</v>
      </c>
      <c r="AF16" s="100">
        <v>0</v>
      </c>
      <c r="AG16" s="100">
        <f t="shared" si="6"/>
        <v>49.5</v>
      </c>
      <c r="AH16" s="109">
        <f t="shared" si="7"/>
        <v>6600.58</v>
      </c>
      <c r="AI16" s="108"/>
      <c r="AJ16" s="109">
        <f t="shared" si="8"/>
        <v>6600.58</v>
      </c>
      <c r="AK16" s="109"/>
      <c r="AL16" s="109">
        <f t="shared" si="9"/>
        <v>6650.08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/>
      <c r="B17" s="37"/>
      <c r="C17" s="37"/>
      <c r="D17" s="37"/>
      <c r="E17" s="37"/>
      <c r="F17" s="127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70"/>
      <c r="R17" s="70"/>
      <c r="S17" s="92"/>
      <c r="T17" s="93"/>
      <c r="U17" s="93"/>
      <c r="V17" s="70"/>
      <c r="W17" s="70"/>
      <c r="X17" s="70"/>
      <c r="Y17" s="70"/>
      <c r="Z17" s="70"/>
      <c r="AA17" s="70"/>
      <c r="AB17" s="92"/>
      <c r="AC17" s="92"/>
      <c r="AD17" s="98"/>
      <c r="AE17" s="99"/>
      <c r="AF17" s="100"/>
      <c r="AG17" s="100"/>
      <c r="AH17" s="109"/>
      <c r="AI17" s="108"/>
      <c r="AJ17" s="109"/>
      <c r="AK17" s="109"/>
      <c r="AL17" s="109"/>
      <c r="AM17" s="109"/>
      <c r="AN17" s="109"/>
      <c r="AO17" s="109"/>
      <c r="AP17" s="109"/>
      <c r="AQ17" s="109"/>
      <c r="AR17" s="117"/>
      <c r="AS17" s="117"/>
      <c r="AT17" s="117"/>
    </row>
    <row r="18" s="12" customFormat="1" ht="18" customHeight="1" spans="1:46">
      <c r="A18" s="36"/>
      <c r="B18" s="37"/>
      <c r="C18" s="37"/>
      <c r="D18" s="37"/>
      <c r="E18" s="37"/>
      <c r="F18" s="127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70"/>
      <c r="R18" s="70"/>
      <c r="S18" s="92"/>
      <c r="T18" s="93"/>
      <c r="U18" s="93"/>
      <c r="V18" s="70"/>
      <c r="W18" s="70"/>
      <c r="X18" s="70"/>
      <c r="Y18" s="70"/>
      <c r="Z18" s="70"/>
      <c r="AA18" s="70"/>
      <c r="AB18" s="92"/>
      <c r="AC18" s="92"/>
      <c r="AD18" s="98"/>
      <c r="AE18" s="99"/>
      <c r="AF18" s="100"/>
      <c r="AG18" s="100"/>
      <c r="AH18" s="109"/>
      <c r="AI18" s="108"/>
      <c r="AJ18" s="109"/>
      <c r="AK18" s="109"/>
      <c r="AL18" s="109"/>
      <c r="AM18" s="109"/>
      <c r="AN18" s="109"/>
      <c r="AO18" s="109"/>
      <c r="AP18" s="109"/>
      <c r="AQ18" s="109"/>
      <c r="AR18" s="117"/>
      <c r="AS18" s="117"/>
      <c r="AT18" s="117"/>
    </row>
    <row r="19" s="13" customFormat="1" ht="18" customHeight="1" spans="1:46">
      <c r="A19" s="41"/>
      <c r="B19" s="42" t="s">
        <v>143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122500.7</v>
      </c>
      <c r="M19" s="74">
        <f t="shared" si="13"/>
        <v>4959.05</v>
      </c>
      <c r="N19" s="74">
        <f t="shared" si="13"/>
        <v>1341.92</v>
      </c>
      <c r="O19" s="74">
        <f t="shared" si="13"/>
        <v>258.72</v>
      </c>
      <c r="P19" s="74">
        <f t="shared" si="13"/>
        <v>2232.9</v>
      </c>
      <c r="Q19" s="74">
        <f t="shared" si="13"/>
        <v>8792.59</v>
      </c>
      <c r="R19" s="74">
        <f t="shared" si="13"/>
        <v>0</v>
      </c>
      <c r="S19" s="74">
        <f t="shared" si="13"/>
        <v>122500.7</v>
      </c>
      <c r="T19" s="74">
        <f t="shared" si="13"/>
        <v>65000</v>
      </c>
      <c r="U19" s="74">
        <f t="shared" si="13"/>
        <v>8792.59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48708.11</v>
      </c>
      <c r="AE19" s="74">
        <f t="shared" si="13"/>
        <v>1497.71</v>
      </c>
      <c r="AF19" s="74">
        <f t="shared" si="13"/>
        <v>0</v>
      </c>
      <c r="AG19" s="74">
        <f t="shared" si="13"/>
        <v>1497.71</v>
      </c>
      <c r="AH19" s="74">
        <f t="shared" si="13"/>
        <v>112210.4</v>
      </c>
      <c r="AI19" s="126">
        <f t="shared" si="13"/>
        <v>0</v>
      </c>
      <c r="AJ19" s="74">
        <f t="shared" si="13"/>
        <v>112210.4</v>
      </c>
      <c r="AK19" s="74">
        <f t="shared" si="13"/>
        <v>0</v>
      </c>
      <c r="AL19" s="74">
        <f t="shared" si="13"/>
        <v>113708.11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144</v>
      </c>
      <c r="C23" s="47" t="s">
        <v>145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112210.4</v>
      </c>
      <c r="C24" s="48">
        <f>AG19</f>
        <v>1497.71</v>
      </c>
      <c r="D24" s="48">
        <f>AK19</f>
        <v>0</v>
      </c>
      <c r="E24" s="48">
        <f>B24+C24+D24</f>
        <v>113708.11</v>
      </c>
    </row>
    <row r="25" spans="2:5">
      <c r="B25" s="49"/>
      <c r="C25" s="49"/>
      <c r="D25" s="49"/>
      <c r="E25" s="49"/>
    </row>
    <row r="26" s="14" customFormat="1" spans="1:35">
      <c r="A26" s="51" t="s">
        <v>206</v>
      </c>
      <c r="B26" s="52" t="s">
        <v>207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208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209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210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211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212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213</v>
      </c>
    </row>
    <row r="34" spans="2:2">
      <c r="B34" s="59" t="s">
        <v>214</v>
      </c>
    </row>
    <row r="35" spans="2:2">
      <c r="B35" s="59" t="s">
        <v>215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f>VLOOKUP(C4,[3]Sheet1!$B$2:$F$14,5,0)</f>
        <v>12.92</v>
      </c>
      <c r="P4" s="71">
        <v>177.4</v>
      </c>
      <c r="Q4" s="89">
        <f t="shared" ref="Q4:Q19" si="0">ROUND(SUM(M4:P4),2)</f>
        <v>621.03</v>
      </c>
      <c r="R4" s="70">
        <v>0</v>
      </c>
      <c r="S4" s="90">
        <f>L4+IFERROR(VLOOKUP($E:$E,'（居民）工资表-11月'!$E:$S,15,0),0)</f>
        <v>88000</v>
      </c>
      <c r="T4" s="91">
        <f>5000+IFERROR(VLOOKUP($E:$E,'（居民）工资表-11月'!$E:$T,16,0),0)</f>
        <v>55000</v>
      </c>
      <c r="U4" s="91">
        <f>Q4+IFERROR(VLOOKUP($E:$E,'（居民）工资表-11月'!$E:$U,17,0),0)</f>
        <v>6689.14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-2489.14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717.96</v>
      </c>
      <c r="AG4" s="97">
        <f t="shared" ref="AG4:AG19" si="3">IF((AE4-AF4)&lt;0,0,AE4-AF4)</f>
        <v>0</v>
      </c>
      <c r="AH4" s="107">
        <f t="shared" ref="AH4:AH19" si="4">ROUND(IF((L4-Q4-AG4)&lt;0,0,(L4-Q4-AG4)),2)</f>
        <v>7378.97</v>
      </c>
      <c r="AI4" s="108"/>
      <c r="AJ4" s="107">
        <f t="shared" ref="AJ4:AJ19" si="5">AH4+AI4</f>
        <v>7378.97</v>
      </c>
      <c r="AK4" s="109"/>
      <c r="AL4" s="107">
        <f t="shared" ref="AL4:AL19" si="6">AJ4+AG4+AK4</f>
        <v>7378.97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IF(SUMPRODUCT(N(E$1:E$17=E4))&gt;1,"重复","不")</f>
        <v>不</v>
      </c>
      <c r="AT4" s="116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f>VLOOKUP(C5,[3]Sheet1!$B$2:$F$14,5,0)</f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L5+IFERROR(VLOOKUP($E:$E,'（居民）工资表-11月'!$E:$S,15,0),0)</f>
        <v>65960</v>
      </c>
      <c r="T5" s="91">
        <f>5000+IFERROR(VLOOKUP($E:$E,'（居民）工资表-11月'!$E:$T,16,0),0)</f>
        <v>55000</v>
      </c>
      <c r="U5" s="91">
        <f>Q5+IFERROR(VLOOKUP($E:$E,'（居民）工资表-11月'!$E:$U,17,0),0)</f>
        <v>7436.08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3523.92</v>
      </c>
      <c r="AE5" s="96">
        <f>ROUND(MAX((AD5)*{0.03;0.1;0.2;0.25;0.3;0.35;0.45}-{0;2520;16920;31920;52920;85920;181920},0),2)</f>
        <v>105.72</v>
      </c>
      <c r="AF5" s="97">
        <f>IFERROR(VLOOKUP(E:E,'（居民）工资表-11月'!E:AF,28,0)+VLOOKUP(E:E,'（居民）工资表-11月'!E:AG,29,0),0)</f>
        <v>92.58</v>
      </c>
      <c r="AG5" s="97">
        <f t="shared" si="3"/>
        <v>13.14</v>
      </c>
      <c r="AH5" s="107">
        <f t="shared" si="4"/>
        <v>5424.62</v>
      </c>
      <c r="AI5" s="108"/>
      <c r="AJ5" s="107">
        <f t="shared" si="5"/>
        <v>5424.62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IF(SUMPRODUCT(N(E$1:E$17=E5))&gt;1,"重复","不")</f>
        <v>不</v>
      </c>
      <c r="AT5" s="116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f>VLOOKUP(C6,[3]Sheet1!$B$2:$F$14,5,0)</f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L6+IFERROR(VLOOKUP($E:$E,'（居民）工资表-11月'!$E:$S,15,0),0)</f>
        <v>330660</v>
      </c>
      <c r="T6" s="91">
        <f>5000+IFERROR(VLOOKUP($E:$E,'（居民）工资表-11月'!$E:$T,16,0),0)</f>
        <v>55000</v>
      </c>
      <c r="U6" s="91">
        <f>Q6+IFERROR(VLOOKUP($E:$E,'（居民）工资表-11月'!$E:$U,17,0),0)</f>
        <v>10537.44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265122.56</v>
      </c>
      <c r="AE6" s="96">
        <f>ROUND(MAX((AD6)*{0.03;0.1;0.2;0.25;0.3;0.35;0.45}-{0;2520;16920;31920;52920;85920;181920},0),2)</f>
        <v>36104.51</v>
      </c>
      <c r="AF6" s="97">
        <f>IFERROR(VLOOKUP(E:E,'（居民）工资表-11月'!E:AF,28,0)+VLOOKUP(E:E,'（居民）工资表-11月'!E:AG,29,0),0)</f>
        <v>31285.18</v>
      </c>
      <c r="AG6" s="97">
        <f t="shared" si="3"/>
        <v>4819.33</v>
      </c>
      <c r="AH6" s="107">
        <f t="shared" si="4"/>
        <v>24277.35</v>
      </c>
      <c r="AI6" s="108"/>
      <c r="AJ6" s="107">
        <f t="shared" si="5"/>
        <v>24277.35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IF(SUMPRODUCT(N(E$1:E$17=E6))&gt;1,"重复","不")</f>
        <v>不</v>
      </c>
      <c r="AT6" s="116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f>VLOOKUP(C7,[3]Sheet1!$B$2:$F$14,5,0)</f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L7+IFERROR(VLOOKUP($E:$E,'（居民）工资表-11月'!$E:$S,15,0),0)</f>
        <v>100000</v>
      </c>
      <c r="T7" s="91">
        <f>5000+IFERROR(VLOOKUP($E:$E,'（居民）工资表-11月'!$E:$T,16,0),0)</f>
        <v>55000</v>
      </c>
      <c r="U7" s="91">
        <f>Q7+IFERROR(VLOOKUP($E:$E,'（居民）工资表-11月'!$E:$U,17,0),0)</f>
        <v>6116.87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38883.13</v>
      </c>
      <c r="AE7" s="96">
        <f>ROUND(MAX((AD7)*{0.03;0.1;0.2;0.25;0.3;0.35;0.45}-{0;2520;16920;31920;52920;85920;181920},0),2)</f>
        <v>1368.31</v>
      </c>
      <c r="AF7" s="97">
        <f>IFERROR(VLOOKUP(E:E,'（居民）工资表-11月'!E:AF,28,0)+VLOOKUP(E:E,'（居民）工资表-11月'!E:AG,29,0),0)</f>
        <v>1062.99</v>
      </c>
      <c r="AG7" s="97">
        <f t="shared" si="3"/>
        <v>305.32</v>
      </c>
      <c r="AH7" s="107">
        <f t="shared" si="4"/>
        <v>8144.68</v>
      </c>
      <c r="AI7" s="108"/>
      <c r="AJ7" s="107">
        <f t="shared" si="5"/>
        <v>8144.68</v>
      </c>
      <c r="AK7" s="109"/>
      <c r="AL7" s="107">
        <f t="shared" si="6"/>
        <v>8450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IF(SUMPRODUCT(N(E$1:E$17=E7))&gt;1,"重复","不")</f>
        <v>不</v>
      </c>
      <c r="AT7" s="116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f>VLOOKUP(C8,[3]Sheet1!$B$2:$F$14,5,0)</f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L8+IFERROR(VLOOKUP($E:$E,'（居民）工资表-11月'!$E:$S,15,0),0)</f>
        <v>118500</v>
      </c>
      <c r="T8" s="91">
        <f>5000+IFERROR(VLOOKUP($E:$E,'（居民）工资表-11月'!$E:$T,16,0),0)</f>
        <v>55000</v>
      </c>
      <c r="U8" s="91">
        <f>Q8+IFERROR(VLOOKUP($E:$E,'（居民）工资表-11月'!$E:$U,17,0),0)</f>
        <v>8797.76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54702.24</v>
      </c>
      <c r="AE8" s="96">
        <f>ROUND(MAX((AD8)*{0.03;0.1;0.2;0.25;0.3;0.35;0.45}-{0;2520;16920;31920;52920;85920;181920},0),2)</f>
        <v>2950.22</v>
      </c>
      <c r="AF8" s="97">
        <f>IFERROR(VLOOKUP(E:E,'（居民）工资表-11月'!E:AF,28,0)+VLOOKUP(E:E,'（居民）工资表-11月'!E:AG,29,0),0)</f>
        <v>2479.61</v>
      </c>
      <c r="AG8" s="97">
        <f t="shared" si="3"/>
        <v>470.61</v>
      </c>
      <c r="AH8" s="107">
        <f t="shared" si="4"/>
        <v>9235.55</v>
      </c>
      <c r="AI8" s="108"/>
      <c r="AJ8" s="107">
        <f t="shared" si="5"/>
        <v>9235.55</v>
      </c>
      <c r="AK8" s="109"/>
      <c r="AL8" s="107">
        <f t="shared" si="6"/>
        <v>9706.16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IF(SUMPRODUCT(N(E$1:E$17=E8))&gt;1,"重复","不")</f>
        <v>不</v>
      </c>
      <c r="AT8" s="116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f>VLOOKUP(C9,[3]Sheet1!$B$2:$F$14,5,0)</f>
        <v>12.08</v>
      </c>
      <c r="P9" s="71">
        <v>100</v>
      </c>
      <c r="Q9" s="89">
        <f t="shared" si="0"/>
        <v>529.78</v>
      </c>
      <c r="R9" s="70">
        <v>0</v>
      </c>
      <c r="S9" s="90">
        <f>L9+IFERROR(VLOOKUP($E:$E,'（居民）工资表-11月'!$E:$S,15,0),0)</f>
        <v>71500</v>
      </c>
      <c r="T9" s="91">
        <f>5000+IFERROR(VLOOKUP($E:$E,'（居民）工资表-11月'!$E:$T,16,0),0)</f>
        <v>55000</v>
      </c>
      <c r="U9" s="91">
        <f>Q9+IFERROR(VLOOKUP($E:$E,'（居民）工资表-11月'!$E:$U,17,0),0)</f>
        <v>5795.42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10704.58</v>
      </c>
      <c r="AE9" s="96">
        <f>ROUND(MAX((AD9)*{0.03;0.1;0.2;0.25;0.3;0.35;0.45}-{0;2520;16920;31920;52920;85920;181920},0),2)</f>
        <v>321.14</v>
      </c>
      <c r="AF9" s="97">
        <f>IFERROR(VLOOKUP(E:E,'（居民）工资表-11月'!E:AF,28,0)+VLOOKUP(E:E,'（居民）工资表-11月'!E:AG,29,0),0)</f>
        <v>292.03</v>
      </c>
      <c r="AG9" s="97">
        <f t="shared" si="3"/>
        <v>29.11</v>
      </c>
      <c r="AH9" s="107">
        <f t="shared" si="4"/>
        <v>5941.11</v>
      </c>
      <c r="AI9" s="108"/>
      <c r="AJ9" s="107">
        <f t="shared" si="5"/>
        <v>5941.11</v>
      </c>
      <c r="AK9" s="109"/>
      <c r="AL9" s="107">
        <f t="shared" si="6"/>
        <v>5970.22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IF(SUMPRODUCT(N(E$1:E$17=E9))&gt;1,"重复","不")</f>
        <v>不</v>
      </c>
      <c r="AT9" s="116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f>VLOOKUP(C10,[3]Sheet1!$B$2:$F$14,5,0)</f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L10+IFERROR(VLOOKUP($E:$E,'（居民）工资表-11月'!$E:$S,15,0),0)</f>
        <v>49284.95</v>
      </c>
      <c r="T10" s="91">
        <f>5000+IFERROR(VLOOKUP($E:$E,'（居民）工资表-11月'!$E:$T,16,0),0)</f>
        <v>55000</v>
      </c>
      <c r="U10" s="91">
        <f>Q10+IFERROR(VLOOKUP($E:$E,'（居民）工资表-11月'!$E:$U,17,0),0)</f>
        <v>7142.52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-12857.57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IF(SUMPRODUCT(N(E$1:E$17=E10))&gt;1,"重复","不")</f>
        <v>不</v>
      </c>
      <c r="AT10" s="116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f>VLOOKUP(C11,[3]Sheet1!$B$2:$F$14,5,0)</f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L11+IFERROR(VLOOKUP($E:$E,'（居民）工资表-11月'!$E:$S,15,0),0)</f>
        <v>97500</v>
      </c>
      <c r="T11" s="91">
        <f>5000+IFERROR(VLOOKUP($E:$E,'（居民）工资表-11月'!$E:$T,16,0),0)</f>
        <v>55000</v>
      </c>
      <c r="U11" s="91">
        <f>Q11+IFERROR(VLOOKUP($E:$E,'（居民）工资表-11月'!$E:$U,17,0),0)</f>
        <v>6454.76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36045.24</v>
      </c>
      <c r="AE11" s="96">
        <f>ROUND(MAX((AD11)*{0.03;0.1;0.2;0.25;0.3;0.35;0.45}-{0;2520;16920;31920;52920;85920;181920},0),2)</f>
        <v>1084.52</v>
      </c>
      <c r="AF11" s="97">
        <f>IFERROR(VLOOKUP(E:E,'（居民）工资表-11月'!E:AF,28,0)+VLOOKUP(E:E,'（居民）工资表-11月'!E:AG,29,0),0)</f>
        <v>978.78</v>
      </c>
      <c r="AG11" s="97">
        <f t="shared" si="3"/>
        <v>105.74</v>
      </c>
      <c r="AH11" s="107">
        <f t="shared" si="4"/>
        <v>8313.42</v>
      </c>
      <c r="AI11" s="108"/>
      <c r="AJ11" s="107">
        <f t="shared" si="5"/>
        <v>8313.42</v>
      </c>
      <c r="AK11" s="109"/>
      <c r="AL11" s="107">
        <f t="shared" si="6"/>
        <v>8419.16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IF(SUMPRODUCT(N(E$1:E$17=E11))&gt;1,"重复","不")</f>
        <v>不</v>
      </c>
      <c r="AT11" s="116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f>VLOOKUP(C12,[3]Sheet1!$B$2:$F$14,5,0)</f>
        <v>21.14</v>
      </c>
      <c r="P12" s="71">
        <v>344</v>
      </c>
      <c r="Q12" s="89">
        <f t="shared" si="0"/>
        <v>793.84</v>
      </c>
      <c r="R12" s="70">
        <v>0</v>
      </c>
      <c r="S12" s="90">
        <f>L12+IFERROR(VLOOKUP($E:$E,'（居民）工资表-11月'!$E:$S,15,0),0)</f>
        <v>81000</v>
      </c>
      <c r="T12" s="91">
        <f>5000+IFERROR(VLOOKUP($E:$E,'（居民）工资表-11月'!$E:$T,16,0),0)</f>
        <v>55000</v>
      </c>
      <c r="U12" s="91">
        <f>Q12+IFERROR(VLOOKUP($E:$E,'（居民）工资表-11月'!$E:$U,17,0),0)</f>
        <v>8797.76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17202.24</v>
      </c>
      <c r="AE12" s="96">
        <f>ROUND(MAX((AD12)*{0.03;0.1;0.2;0.25;0.3;0.35;0.45}-{0;2520;16920;31920;52920;85920;181920},0),2)</f>
        <v>516.07</v>
      </c>
      <c r="AF12" s="97">
        <f>IFERROR(VLOOKUP(E:E,'（居民）工资表-11月'!E:AF,28,0)+VLOOKUP(E:E,'（居民）工资表-11月'!E:AG,29,0),0)</f>
        <v>464.88</v>
      </c>
      <c r="AG12" s="97">
        <f t="shared" si="3"/>
        <v>51.1900000000001</v>
      </c>
      <c r="AH12" s="107">
        <f t="shared" si="4"/>
        <v>6654.97</v>
      </c>
      <c r="AI12" s="108"/>
      <c r="AJ12" s="107">
        <f t="shared" si="5"/>
        <v>6654.97</v>
      </c>
      <c r="AK12" s="109"/>
      <c r="AL12" s="107">
        <f t="shared" si="6"/>
        <v>6706.16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IF(SUMPRODUCT(N(E$1:E$17=E12))&gt;1,"重复","不")</f>
        <v>不</v>
      </c>
      <c r="AT12" s="116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f>VLOOKUP(C13,[3]Sheet1!$B$2:$F$14,5,0)</f>
        <v>21.14</v>
      </c>
      <c r="P13" s="71">
        <v>344</v>
      </c>
      <c r="Q13" s="89">
        <f t="shared" si="0"/>
        <v>793.84</v>
      </c>
      <c r="R13" s="70">
        <v>0</v>
      </c>
      <c r="S13" s="90">
        <f>L13+IFERROR(VLOOKUP($E:$E,'（居民）工资表-11月'!$E:$S,15,0),0)</f>
        <v>85000</v>
      </c>
      <c r="T13" s="91">
        <f>5000+IFERROR(VLOOKUP($E:$E,'（居民）工资表-11月'!$E:$T,16,0),0)</f>
        <v>55000</v>
      </c>
      <c r="U13" s="91">
        <f>Q13+IFERROR(VLOOKUP($E:$E,'（居民）工资表-11月'!$E:$U,17,0),0)</f>
        <v>8807.46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21192.54</v>
      </c>
      <c r="AE13" s="96">
        <f>ROUND(MAX((AD13)*{0.03;0.1;0.2;0.25;0.3;0.35;0.45}-{0;2520;16920;31920;52920;85920;181920},0),2)</f>
        <v>635.78</v>
      </c>
      <c r="AF13" s="97">
        <f>IFERROR(VLOOKUP(E:E,'（居民）工资表-11月'!E:AF,28,0)+VLOOKUP(E:E,'（居民）工资表-11月'!E:AG,29,0),0)</f>
        <v>569.59</v>
      </c>
      <c r="AG13" s="97">
        <f t="shared" si="3"/>
        <v>66.1899999999999</v>
      </c>
      <c r="AH13" s="107">
        <f t="shared" si="4"/>
        <v>7139.97</v>
      </c>
      <c r="AI13" s="108"/>
      <c r="AJ13" s="107">
        <f t="shared" si="5"/>
        <v>7139.97</v>
      </c>
      <c r="AK13" s="109"/>
      <c r="AL13" s="107">
        <f t="shared" si="6"/>
        <v>7206.16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IF(SUMPRODUCT(N(E$1:E$17=E13))&gt;1,"重复","不")</f>
        <v>不</v>
      </c>
      <c r="AT13" s="116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184</v>
      </c>
      <c r="C14" s="37" t="s">
        <v>139</v>
      </c>
      <c r="D14" s="37" t="s">
        <v>120</v>
      </c>
      <c r="E14" s="352" t="s">
        <v>140</v>
      </c>
      <c r="F14" s="38" t="s">
        <v>187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f>VLOOKUP(C14,[3]Sheet1!$B$2:$F$14,5,0)</f>
        <v>21.14</v>
      </c>
      <c r="P14" s="71">
        <v>103</v>
      </c>
      <c r="Q14" s="89">
        <f t="shared" si="0"/>
        <v>546.84</v>
      </c>
      <c r="R14" s="70">
        <v>0</v>
      </c>
      <c r="S14" s="90">
        <f>L14+IFERROR(VLOOKUP($E:$E,'（居民）工资表-11月'!$E:$S,15,0),0)</f>
        <v>66000</v>
      </c>
      <c r="T14" s="91">
        <f>5000+IFERROR(VLOOKUP($E:$E,'（居民）工资表-11月'!$E:$T,16,0),0)</f>
        <v>55000</v>
      </c>
      <c r="U14" s="91">
        <f>Q14+IFERROR(VLOOKUP($E:$E,'（居民）工资表-11月'!$E:$U,17,0),0)</f>
        <v>6080.76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4919.24</v>
      </c>
      <c r="AE14" s="96">
        <f>ROUND(MAX((AD14)*{0.03;0.1;0.2;0.25;0.3;0.35;0.45}-{0;2520;16920;31920;52920;85920;181920},0),2)</f>
        <v>147.58</v>
      </c>
      <c r="AF14" s="97">
        <f>IFERROR(VLOOKUP(E:E,'（居民）工资表-11月'!E:AF,28,0)+VLOOKUP(E:E,'（居民）工资表-11月'!E:AG,29,0),0)</f>
        <v>133.98</v>
      </c>
      <c r="AG14" s="97">
        <f t="shared" si="3"/>
        <v>13.6</v>
      </c>
      <c r="AH14" s="107">
        <f t="shared" si="4"/>
        <v>5439.56</v>
      </c>
      <c r="AI14" s="108"/>
      <c r="AJ14" s="107">
        <f t="shared" si="5"/>
        <v>5439.56</v>
      </c>
      <c r="AK14" s="109"/>
      <c r="AL14" s="107">
        <f t="shared" si="6"/>
        <v>5453.16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IF(SUMPRODUCT(N(E$1:E$17=E14))&gt;1,"重复","不")</f>
        <v>不</v>
      </c>
      <c r="AT14" s="116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184</v>
      </c>
      <c r="C15" s="37" t="s">
        <v>141</v>
      </c>
      <c r="D15" s="37" t="s">
        <v>120</v>
      </c>
      <c r="E15" s="352" t="s">
        <v>142</v>
      </c>
      <c r="F15" s="38" t="s">
        <v>185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f>VLOOKUP(C15,[3]Sheet1!$B$2:$F$14,5,0)</f>
        <v>21.14</v>
      </c>
      <c r="P15" s="71">
        <v>97</v>
      </c>
      <c r="Q15" s="89">
        <f t="shared" si="0"/>
        <v>550</v>
      </c>
      <c r="R15" s="70">
        <v>0</v>
      </c>
      <c r="S15" s="90">
        <f>L15+IFERROR(VLOOKUP($E:$E,'（居民）工资表-11月'!$E:$S,15,0),0)</f>
        <v>109904.76</v>
      </c>
      <c r="T15" s="91">
        <f>5000+IFERROR(VLOOKUP($E:$E,'（居民）工资表-11月'!$E:$T,16,0),0)</f>
        <v>55000</v>
      </c>
      <c r="U15" s="91">
        <f>Q15+IFERROR(VLOOKUP($E:$E,'（居民）工资表-11月'!$E:$U,17,0),0)</f>
        <v>6116.87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48787.89</v>
      </c>
      <c r="AE15" s="96">
        <f>ROUND(MAX((AD15)*{0.03;0.1;0.2;0.25;0.3;0.35;0.45}-{0;2520;16920;31920;52920;85920;181920},0),2)</f>
        <v>2358.79</v>
      </c>
      <c r="AF15" s="97">
        <f>IFERROR(VLOOKUP(E:E,'（居民）工资表-11月'!E:AF,28,0)+VLOOKUP(E:E,'（居民）工资表-11月'!E:AG,29,0),0)</f>
        <v>1913.79</v>
      </c>
      <c r="AG15" s="97">
        <f t="shared" si="3"/>
        <v>445</v>
      </c>
      <c r="AH15" s="107">
        <f t="shared" si="4"/>
        <v>9005</v>
      </c>
      <c r="AI15" s="108"/>
      <c r="AJ15" s="107">
        <f t="shared" si="5"/>
        <v>9005</v>
      </c>
      <c r="AK15" s="109"/>
      <c r="AL15" s="107">
        <f t="shared" si="6"/>
        <v>9450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IF(SUMPRODUCT(N(E$1:E$17=E15))&gt;1,"重复","不")</f>
        <v>不</v>
      </c>
      <c r="AT15" s="116" t="str">
        <f>IF(SUMPRODUCT(N(AO$1:AO$17=AO15))&gt;1,"重复","不")</f>
        <v>重复</v>
      </c>
    </row>
    <row r="16" s="12" customFormat="1" ht="18" customHeight="1" spans="1:46">
      <c r="A16" s="36">
        <v>12</v>
      </c>
      <c r="B16" s="37" t="s">
        <v>184</v>
      </c>
      <c r="C16" s="37" t="s">
        <v>204</v>
      </c>
      <c r="D16" s="37" t="s">
        <v>120</v>
      </c>
      <c r="E16" s="37" t="s">
        <v>205</v>
      </c>
      <c r="F16" s="38" t="s">
        <v>185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f>VLOOKUP(C16,[3]Sheet1!$B$2:$F$14,5,0)</f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L16+IFERROR(VLOOKUP($E:$E,'（居民）工资表-11月'!$E:$S,15,0),0)</f>
        <v>51110.65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4973.13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6137.52</v>
      </c>
      <c r="AE16" s="96">
        <f>ROUND(MAX((AD16)*{0.03;0.1;0.2;0.25;0.3;0.35;0.45}-{0;2520;16920;31920;52920;85920;181920},0),2)</f>
        <v>184.13</v>
      </c>
      <c r="AF16" s="97">
        <f>IFERROR(VLOOKUP(E:E,'（居民）工资表-11月'!E:AF,28,0)+VLOOKUP(E:E,'（居民）工资表-11月'!E:AG,29,0),0)</f>
        <v>122.7</v>
      </c>
      <c r="AG16" s="97">
        <f t="shared" si="3"/>
        <v>61.43</v>
      </c>
      <c r="AH16" s="107">
        <f t="shared" si="4"/>
        <v>6986</v>
      </c>
      <c r="AI16" s="108"/>
      <c r="AJ16" s="107">
        <f t="shared" si="5"/>
        <v>6986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IF(SUMPRODUCT(N(E$1:E$17=E16))&gt;1,"重复","不")</f>
        <v>不</v>
      </c>
      <c r="AT16" s="116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143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 t="shared" ref="L18:AL18" si="8">SUM(L4:L17)</f>
        <v>122707.97</v>
      </c>
      <c r="M18" s="74">
        <f t="shared" si="8"/>
        <v>4786.25</v>
      </c>
      <c r="N18" s="74">
        <f t="shared" si="8"/>
        <v>1331.12</v>
      </c>
      <c r="O18" s="74">
        <f t="shared" si="8"/>
        <v>252.24</v>
      </c>
      <c r="P18" s="74">
        <f t="shared" si="8"/>
        <v>2232.9</v>
      </c>
      <c r="Q18" s="74">
        <f t="shared" si="8"/>
        <v>8602.51</v>
      </c>
      <c r="R18" s="74">
        <f t="shared" si="8"/>
        <v>0</v>
      </c>
      <c r="S18" s="74">
        <f t="shared" si="8"/>
        <v>1314420.36</v>
      </c>
      <c r="T18" s="74">
        <f t="shared" si="8"/>
        <v>700000</v>
      </c>
      <c r="U18" s="74">
        <f t="shared" si="8"/>
        <v>93745.97</v>
      </c>
      <c r="V18" s="74">
        <f t="shared" si="8"/>
        <v>12000</v>
      </c>
      <c r="W18" s="74">
        <f t="shared" si="8"/>
        <v>0</v>
      </c>
      <c r="X18" s="74">
        <f t="shared" si="8"/>
        <v>12000</v>
      </c>
      <c r="Y18" s="74">
        <f t="shared" si="8"/>
        <v>0</v>
      </c>
      <c r="Z18" s="74">
        <f t="shared" si="8"/>
        <v>4800</v>
      </c>
      <c r="AA18" s="74">
        <f t="shared" si="8"/>
        <v>0</v>
      </c>
      <c r="AB18" s="74">
        <f t="shared" si="8"/>
        <v>28800</v>
      </c>
      <c r="AC18" s="74">
        <f t="shared" si="8"/>
        <v>0</v>
      </c>
      <c r="AD18" s="74">
        <f t="shared" si="8"/>
        <v>491874.39</v>
      </c>
      <c r="AE18" s="74">
        <f t="shared" si="8"/>
        <v>45776.77</v>
      </c>
      <c r="AF18" s="74">
        <f t="shared" si="8"/>
        <v>40114.07</v>
      </c>
      <c r="AG18" s="74">
        <f t="shared" si="8"/>
        <v>6380.66</v>
      </c>
      <c r="AH18" s="74">
        <f t="shared" si="8"/>
        <v>107724.8</v>
      </c>
      <c r="AI18" s="126">
        <f t="shared" si="8"/>
        <v>0</v>
      </c>
      <c r="AJ18" s="74">
        <f t="shared" si="8"/>
        <v>107724.8</v>
      </c>
      <c r="AK18" s="74">
        <f t="shared" si="8"/>
        <v>0</v>
      </c>
      <c r="AL18" s="74">
        <f t="shared" si="8"/>
        <v>114105.46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144</v>
      </c>
      <c r="C22" s="47" t="s">
        <v>145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107724.8</v>
      </c>
      <c r="C23" s="48">
        <f>AG18</f>
        <v>6380.66</v>
      </c>
      <c r="D23" s="48">
        <f>AK18</f>
        <v>0</v>
      </c>
      <c r="E23" s="48">
        <f>B23+C23+D23</f>
        <v>114105.46</v>
      </c>
    </row>
    <row r="24" spans="2:5">
      <c r="B24" s="49"/>
      <c r="C24" s="49"/>
      <c r="D24" s="49"/>
      <c r="E24" s="49"/>
    </row>
    <row r="25" s="14" customFormat="1" spans="1:35">
      <c r="A25" s="51" t="s">
        <v>206</v>
      </c>
      <c r="B25" s="52" t="s">
        <v>207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208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209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210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211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212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213</v>
      </c>
    </row>
    <row r="33" spans="2:2">
      <c r="B33" s="59" t="s">
        <v>214</v>
      </c>
    </row>
    <row r="34" spans="2:2">
      <c r="B34" s="59" t="s">
        <v>215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T34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>
        <f>U4/2</f>
        <v>310.515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225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70">
        <f t="shared" ref="Q4:Q16" si="0">ROUND(SUM(M4:P4),2)</f>
        <v>621.03</v>
      </c>
      <c r="R4" s="70">
        <v>0</v>
      </c>
      <c r="S4" s="92">
        <f t="shared" ref="S4:S16" si="1">L4</f>
        <v>8000</v>
      </c>
      <c r="T4" s="93">
        <v>5000</v>
      </c>
      <c r="U4" s="93">
        <f t="shared" ref="U4:U16" si="2">Q4</f>
        <v>621.03</v>
      </c>
      <c r="V4" s="70"/>
      <c r="W4" s="70"/>
      <c r="X4" s="70"/>
      <c r="Y4" s="70"/>
      <c r="Z4" s="70"/>
      <c r="AA4" s="70"/>
      <c r="AB4" s="92">
        <f t="shared" ref="AB4:AB16" si="3">ROUND(SUM(V4:AA4),2)</f>
        <v>0</v>
      </c>
      <c r="AC4" s="92">
        <f t="shared" ref="AC4:AC16" si="4">R4</f>
        <v>0</v>
      </c>
      <c r="AD4" s="98">
        <f t="shared" ref="AD4:AD16" si="5">ROUND(S4-T4-U4-AB4-AC4,2)</f>
        <v>2378.97</v>
      </c>
      <c r="AE4" s="99">
        <f>ROUND(MAX((AD4)*{0.03;0.1;0.2;0.25;0.3;0.35;0.45}-{0;2520;16920;31920;52920;85920;181920},0),2)</f>
        <v>71.37</v>
      </c>
      <c r="AF4" s="100">
        <v>0</v>
      </c>
      <c r="AG4" s="100">
        <f t="shared" ref="AG4:AG16" si="6">IF((AE4-AF4)&lt;0,0,AE4-AF4)</f>
        <v>71.37</v>
      </c>
      <c r="AH4" s="109">
        <f t="shared" ref="AH4:AH16" si="7">ROUND(IF((L4-Q4-AG4)&lt;0,0,(L4-Q4-AG4)),2)</f>
        <v>7307.6</v>
      </c>
      <c r="AI4" s="108"/>
      <c r="AJ4" s="109">
        <f t="shared" ref="AJ4:AJ16" si="8">AH4+AI4</f>
        <v>7307.6</v>
      </c>
      <c r="AK4" s="109"/>
      <c r="AL4" s="109">
        <f t="shared" ref="AL4:AL16" si="9">AJ4+AG4+AK4</f>
        <v>7378.97</v>
      </c>
      <c r="AM4" s="109"/>
      <c r="AN4" s="109"/>
      <c r="AO4" s="109"/>
      <c r="AP4" s="109"/>
      <c r="AQ4" s="109"/>
      <c r="AR4" s="117" t="str">
        <f t="shared" ref="AR4:AR16" si="10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IF(SUMPRODUCT(N(E$1:E$17=E4))&gt;1,"重复","不")</f>
        <v>不</v>
      </c>
      <c r="AT4" s="117" t="str">
        <f>IF(SUMPRODUCT(N(AO$1:AO$17=AO4))&gt;1,"重复","不")</f>
        <v>重复</v>
      </c>
    </row>
    <row r="5" s="12" customFormat="1" ht="18" customHeight="1" spans="1:46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6160</v>
      </c>
      <c r="M5" s="71">
        <v>560.96</v>
      </c>
      <c r="N5" s="71">
        <v>133.12</v>
      </c>
      <c r="O5" s="71">
        <v>4.6</v>
      </c>
      <c r="P5" s="71">
        <v>115</v>
      </c>
      <c r="Q5" s="70">
        <f t="shared" si="0"/>
        <v>813.68</v>
      </c>
      <c r="R5" s="70">
        <v>0</v>
      </c>
      <c r="S5" s="92">
        <f t="shared" si="1"/>
        <v>6160</v>
      </c>
      <c r="T5" s="93">
        <v>5000</v>
      </c>
      <c r="U5" s="93">
        <f t="shared" si="2"/>
        <v>813.68</v>
      </c>
      <c r="V5" s="70"/>
      <c r="W5" s="70"/>
      <c r="X5" s="70"/>
      <c r="Y5" s="70"/>
      <c r="Z5" s="70"/>
      <c r="AA5" s="70"/>
      <c r="AB5" s="92">
        <f t="shared" si="3"/>
        <v>0</v>
      </c>
      <c r="AC5" s="92">
        <f t="shared" si="4"/>
        <v>0</v>
      </c>
      <c r="AD5" s="98">
        <f t="shared" si="5"/>
        <v>346.32</v>
      </c>
      <c r="AE5" s="99">
        <f>ROUND(MAX((AD5)*{0.03;0.1;0.2;0.25;0.3;0.35;0.45}-{0;2520;16920;31920;52920;85920;181920},0),2)</f>
        <v>10.39</v>
      </c>
      <c r="AF5" s="100">
        <v>0</v>
      </c>
      <c r="AG5" s="100">
        <f t="shared" si="6"/>
        <v>10.39</v>
      </c>
      <c r="AH5" s="109">
        <f t="shared" si="7"/>
        <v>5335.93</v>
      </c>
      <c r="AI5" s="108"/>
      <c r="AJ5" s="109">
        <f t="shared" si="8"/>
        <v>5335.93</v>
      </c>
      <c r="AK5" s="109"/>
      <c r="AL5" s="109">
        <f t="shared" si="9"/>
        <v>5346.32</v>
      </c>
      <c r="AM5" s="109"/>
      <c r="AN5" s="109"/>
      <c r="AO5" s="109"/>
      <c r="AP5" s="109"/>
      <c r="AQ5" s="109"/>
      <c r="AR5" s="117" t="str">
        <f t="shared" si="10"/>
        <v>正确</v>
      </c>
      <c r="AS5" s="117" t="str">
        <f>IF(SUMPRODUCT(N(E$1:E$17=E5))&gt;1,"重复","不")</f>
        <v>不</v>
      </c>
      <c r="AT5" s="117" t="str">
        <f>IF(SUMPRODUCT(N(AO$1:AO$17=AO5))&gt;1,"重复","不")</f>
        <v>重复</v>
      </c>
    </row>
    <row r="6" s="12" customFormat="1" ht="18" customHeight="1" spans="1:46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70">
        <f t="shared" si="0"/>
        <v>963.32</v>
      </c>
      <c r="R6" s="70">
        <v>0</v>
      </c>
      <c r="S6" s="92">
        <f t="shared" si="1"/>
        <v>30060</v>
      </c>
      <c r="T6" s="93">
        <v>5000</v>
      </c>
      <c r="U6" s="93">
        <f t="shared" si="2"/>
        <v>963.32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24096.68</v>
      </c>
      <c r="AE6" s="99">
        <f>ROUND(MAX((AD6)*{0.03;0.1;0.2;0.25;0.3;0.35;0.45}-{0;2520;16920;31920;52920;85920;181920},0),2)</f>
        <v>722.9</v>
      </c>
      <c r="AF6" s="100">
        <v>0</v>
      </c>
      <c r="AG6" s="100">
        <f t="shared" si="6"/>
        <v>722.9</v>
      </c>
      <c r="AH6" s="109">
        <f t="shared" si="7"/>
        <v>28373.78</v>
      </c>
      <c r="AI6" s="108"/>
      <c r="AJ6" s="109">
        <f t="shared" si="8"/>
        <v>28373.78</v>
      </c>
      <c r="AK6" s="109"/>
      <c r="AL6" s="109">
        <f t="shared" si="9"/>
        <v>29096.68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>IF(SUMPRODUCT(N(E$1:E$17=E6))&gt;1,"重复","不")</f>
        <v>不</v>
      </c>
      <c r="AT6" s="117" t="str">
        <f>IF(SUMPRODUCT(N(AO$1:AO$17=AO6))&gt;1,"重复","不")</f>
        <v>重复</v>
      </c>
    </row>
    <row r="7" s="12" customFormat="1" ht="18" customHeight="1" spans="1:46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70">
        <f t="shared" si="0"/>
        <v>550</v>
      </c>
      <c r="R7" s="70">
        <v>0</v>
      </c>
      <c r="S7" s="92">
        <f t="shared" si="1"/>
        <v>9000</v>
      </c>
      <c r="T7" s="93">
        <v>5000</v>
      </c>
      <c r="U7" s="93">
        <f t="shared" si="2"/>
        <v>550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3450</v>
      </c>
      <c r="AE7" s="99">
        <f>ROUND(MAX((AD7)*{0.03;0.1;0.2;0.25;0.3;0.35;0.45}-{0;2520;16920;31920;52920;85920;181920},0),2)</f>
        <v>103.5</v>
      </c>
      <c r="AF7" s="100">
        <v>0</v>
      </c>
      <c r="AG7" s="100">
        <f t="shared" si="6"/>
        <v>103.5</v>
      </c>
      <c r="AH7" s="109">
        <f t="shared" si="7"/>
        <v>8346.5</v>
      </c>
      <c r="AI7" s="108"/>
      <c r="AJ7" s="109">
        <f t="shared" si="8"/>
        <v>8346.5</v>
      </c>
      <c r="AK7" s="109"/>
      <c r="AL7" s="109">
        <f t="shared" si="9"/>
        <v>8450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>IF(SUMPRODUCT(N(E$1:E$17=E7))&gt;1,"重复","不")</f>
        <v>不</v>
      </c>
      <c r="AT7" s="117" t="str">
        <f>IF(SUMPRODUCT(N(AO$1:AO$17=AO7))&gt;1,"重复","不")</f>
        <v>重复</v>
      </c>
    </row>
    <row r="8" s="12" customFormat="1" ht="18" customHeight="1" spans="1:46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70">
        <f t="shared" si="0"/>
        <v>793.84</v>
      </c>
      <c r="R8" s="70">
        <v>0</v>
      </c>
      <c r="S8" s="92">
        <f t="shared" si="1"/>
        <v>10500</v>
      </c>
      <c r="T8" s="93">
        <v>5000</v>
      </c>
      <c r="U8" s="93">
        <f t="shared" si="2"/>
        <v>793.84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4706.16</v>
      </c>
      <c r="AE8" s="99">
        <f>ROUND(MAX((AD8)*{0.03;0.1;0.2;0.25;0.3;0.35;0.45}-{0;2520;16920;31920;52920;85920;181920},0),2)</f>
        <v>141.18</v>
      </c>
      <c r="AF8" s="100">
        <v>0</v>
      </c>
      <c r="AG8" s="100">
        <f t="shared" si="6"/>
        <v>141.18</v>
      </c>
      <c r="AH8" s="109">
        <f t="shared" si="7"/>
        <v>9564.98</v>
      </c>
      <c r="AI8" s="108"/>
      <c r="AJ8" s="109">
        <f t="shared" si="8"/>
        <v>9564.98</v>
      </c>
      <c r="AK8" s="109"/>
      <c r="AL8" s="109">
        <f t="shared" si="9"/>
        <v>9706.16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>IF(SUMPRODUCT(N(E$1:E$17=E8))&gt;1,"重复","不")</f>
        <v>不</v>
      </c>
      <c r="AT8" s="117" t="str">
        <f>IF(SUMPRODUCT(N(AO$1:AO$17=AO8))&gt;1,"重复","不")</f>
        <v>重复</v>
      </c>
    </row>
    <row r="9" s="12" customFormat="1" ht="18" customHeight="1" spans="1:46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v>322.16</v>
      </c>
      <c r="N9" s="71">
        <v>95.54</v>
      </c>
      <c r="O9" s="71">
        <v>12.08</v>
      </c>
      <c r="P9" s="71">
        <v>100</v>
      </c>
      <c r="Q9" s="70">
        <f t="shared" si="0"/>
        <v>529.78</v>
      </c>
      <c r="R9" s="70">
        <v>0</v>
      </c>
      <c r="S9" s="92">
        <f t="shared" si="1"/>
        <v>6500</v>
      </c>
      <c r="T9" s="93">
        <v>5000</v>
      </c>
      <c r="U9" s="93">
        <f t="shared" si="2"/>
        <v>529.78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970.22</v>
      </c>
      <c r="AE9" s="99">
        <f>ROUND(MAX((AD9)*{0.03;0.1;0.2;0.25;0.3;0.35;0.45}-{0;2520;16920;31920;52920;85920;181920},0),2)</f>
        <v>29.11</v>
      </c>
      <c r="AF9" s="100">
        <v>0</v>
      </c>
      <c r="AG9" s="100">
        <f t="shared" si="6"/>
        <v>29.11</v>
      </c>
      <c r="AH9" s="109">
        <f t="shared" si="7"/>
        <v>5941.11</v>
      </c>
      <c r="AI9" s="108"/>
      <c r="AJ9" s="109">
        <f t="shared" si="8"/>
        <v>5941.11</v>
      </c>
      <c r="AK9" s="109"/>
      <c r="AL9" s="109">
        <f t="shared" si="9"/>
        <v>5970.22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>IF(SUMPRODUCT(N(E$1:E$17=E9))&gt;1,"重复","不")</f>
        <v>不</v>
      </c>
      <c r="AT9" s="117" t="str">
        <f>IF(SUMPRODUCT(N(AO$1:AO$17=AO9))&gt;1,"重复","不")</f>
        <v>重复</v>
      </c>
    </row>
    <row r="10" s="12" customFormat="1" ht="18" customHeight="1" spans="1:46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4422.9</v>
      </c>
      <c r="M10" s="71">
        <v>401.04</v>
      </c>
      <c r="N10" s="71">
        <v>122.26</v>
      </c>
      <c r="O10" s="71">
        <v>25.07</v>
      </c>
      <c r="P10" s="71">
        <v>116</v>
      </c>
      <c r="Q10" s="70">
        <f t="shared" si="0"/>
        <v>664.37</v>
      </c>
      <c r="R10" s="70">
        <v>0</v>
      </c>
      <c r="S10" s="92">
        <f t="shared" si="1"/>
        <v>4422.9</v>
      </c>
      <c r="T10" s="93">
        <v>5000</v>
      </c>
      <c r="U10" s="93">
        <f t="shared" si="2"/>
        <v>664.37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-1241.47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3758.53</v>
      </c>
      <c r="AI10" s="108"/>
      <c r="AJ10" s="109">
        <f t="shared" si="8"/>
        <v>3758.53</v>
      </c>
      <c r="AK10" s="109"/>
      <c r="AL10" s="109">
        <f t="shared" si="9"/>
        <v>3758.53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>IF(SUMPRODUCT(N(E$1:E$17=E10))&gt;1,"重复","不")</f>
        <v>不</v>
      </c>
      <c r="AT10" s="117" t="str">
        <f>IF(SUMPRODUCT(N(AO$1:AO$17=AO10))&gt;1,"重复","不")</f>
        <v>重复</v>
      </c>
    </row>
    <row r="11" s="12" customFormat="1" ht="18" customHeight="1" spans="1:46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70">
        <f t="shared" si="0"/>
        <v>580.84</v>
      </c>
      <c r="R11" s="70">
        <v>0</v>
      </c>
      <c r="S11" s="92">
        <f t="shared" si="1"/>
        <v>9000</v>
      </c>
      <c r="T11" s="93">
        <v>5000</v>
      </c>
      <c r="U11" s="93">
        <f t="shared" si="2"/>
        <v>580.84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3419.16</v>
      </c>
      <c r="AE11" s="99">
        <f>ROUND(MAX((AD11)*{0.03;0.1;0.2;0.25;0.3;0.35;0.45}-{0;2520;16920;31920;52920;85920;181920},0),2)</f>
        <v>102.57</v>
      </c>
      <c r="AF11" s="100">
        <v>0</v>
      </c>
      <c r="AG11" s="100">
        <f t="shared" si="6"/>
        <v>102.57</v>
      </c>
      <c r="AH11" s="109">
        <f t="shared" si="7"/>
        <v>8316.59</v>
      </c>
      <c r="AI11" s="108"/>
      <c r="AJ11" s="109">
        <f t="shared" si="8"/>
        <v>8316.59</v>
      </c>
      <c r="AK11" s="109"/>
      <c r="AL11" s="109">
        <f t="shared" si="9"/>
        <v>8419.16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>IF(SUMPRODUCT(N(E$1:E$17=E11))&gt;1,"重复","不")</f>
        <v>不</v>
      </c>
      <c r="AT11" s="117" t="str">
        <f>IF(SUMPRODUCT(N(AO$1:AO$17=AO11))&gt;1,"重复","不")</f>
        <v>重复</v>
      </c>
    </row>
    <row r="12" s="12" customFormat="1" ht="18" customHeight="1" spans="1:46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70">
        <f t="shared" si="0"/>
        <v>793.84</v>
      </c>
      <c r="R12" s="70">
        <v>0</v>
      </c>
      <c r="S12" s="92">
        <f t="shared" si="1"/>
        <v>7500</v>
      </c>
      <c r="T12" s="93">
        <v>5000</v>
      </c>
      <c r="U12" s="93">
        <f t="shared" si="2"/>
        <v>793.84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1706.16</v>
      </c>
      <c r="AE12" s="99">
        <f>ROUND(MAX((AD12)*{0.03;0.1;0.2;0.25;0.3;0.35;0.45}-{0;2520;16920;31920;52920;85920;181920},0),2)</f>
        <v>51.18</v>
      </c>
      <c r="AF12" s="100">
        <v>0</v>
      </c>
      <c r="AG12" s="100">
        <f t="shared" si="6"/>
        <v>51.18</v>
      </c>
      <c r="AH12" s="109">
        <f t="shared" si="7"/>
        <v>6654.98</v>
      </c>
      <c r="AI12" s="108"/>
      <c r="AJ12" s="109">
        <f t="shared" si="8"/>
        <v>6654.98</v>
      </c>
      <c r="AK12" s="109"/>
      <c r="AL12" s="109">
        <f t="shared" si="9"/>
        <v>6706.16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>IF(SUMPRODUCT(N(E$1:E$17=E12))&gt;1,"重复","不")</f>
        <v>不</v>
      </c>
      <c r="AT12" s="117" t="str">
        <f>IF(SUMPRODUCT(N(AO$1:AO$17=AO12))&gt;1,"重复","不")</f>
        <v>重复</v>
      </c>
    </row>
    <row r="13" s="12" customFormat="1" ht="18" customHeight="1" spans="1:46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70">
        <f t="shared" si="0"/>
        <v>793.84</v>
      </c>
      <c r="R13" s="70">
        <v>0</v>
      </c>
      <c r="S13" s="92">
        <f t="shared" si="1"/>
        <v>8000</v>
      </c>
      <c r="T13" s="93">
        <v>5000</v>
      </c>
      <c r="U13" s="93">
        <f t="shared" si="2"/>
        <v>793.84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2206.16</v>
      </c>
      <c r="AE13" s="99">
        <f>ROUND(MAX((AD13)*{0.03;0.1;0.2;0.25;0.3;0.35;0.45}-{0;2520;16920;31920;52920;85920;181920},0),2)</f>
        <v>66.18</v>
      </c>
      <c r="AF13" s="100">
        <v>0</v>
      </c>
      <c r="AG13" s="100">
        <f t="shared" si="6"/>
        <v>66.18</v>
      </c>
      <c r="AH13" s="109">
        <f t="shared" si="7"/>
        <v>7139.98</v>
      </c>
      <c r="AI13" s="108"/>
      <c r="AJ13" s="109">
        <f t="shared" si="8"/>
        <v>7139.98</v>
      </c>
      <c r="AK13" s="109"/>
      <c r="AL13" s="109">
        <f t="shared" si="9"/>
        <v>7206.16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>IF(SUMPRODUCT(N(E$1:E$17=E13))&gt;1,"重复","不")</f>
        <v>不</v>
      </c>
      <c r="AT13" s="117" t="str">
        <f>IF(SUMPRODUCT(N(AO$1:AO$17=AO13))&gt;1,"重复","不")</f>
        <v>重复</v>
      </c>
    </row>
    <row r="14" s="12" customFormat="1" ht="18" customHeight="1" spans="1:46">
      <c r="A14" s="36">
        <v>11</v>
      </c>
      <c r="B14" s="37" t="s">
        <v>184</v>
      </c>
      <c r="C14" s="37" t="s">
        <v>139</v>
      </c>
      <c r="D14" s="37" t="s">
        <v>120</v>
      </c>
      <c r="E14" s="352" t="s">
        <v>140</v>
      </c>
      <c r="F14" s="38" t="s">
        <v>187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70">
        <f t="shared" si="0"/>
        <v>546.84</v>
      </c>
      <c r="R14" s="70">
        <v>0</v>
      </c>
      <c r="S14" s="92">
        <f t="shared" si="1"/>
        <v>6000</v>
      </c>
      <c r="T14" s="93">
        <v>5000</v>
      </c>
      <c r="U14" s="93">
        <f t="shared" si="2"/>
        <v>546.84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453.16</v>
      </c>
      <c r="AE14" s="99">
        <f>ROUND(MAX((AD14)*{0.03;0.1;0.2;0.25;0.3;0.35;0.45}-{0;2520;16920;31920;52920;85920;181920},0),2)</f>
        <v>13.59</v>
      </c>
      <c r="AF14" s="100">
        <v>0</v>
      </c>
      <c r="AG14" s="100">
        <f t="shared" si="6"/>
        <v>13.59</v>
      </c>
      <c r="AH14" s="109">
        <f t="shared" si="7"/>
        <v>5439.57</v>
      </c>
      <c r="AI14" s="108"/>
      <c r="AJ14" s="109">
        <f t="shared" si="8"/>
        <v>5439.57</v>
      </c>
      <c r="AK14" s="109"/>
      <c r="AL14" s="109">
        <f t="shared" si="9"/>
        <v>5453.16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>IF(SUMPRODUCT(N(E$1:E$17=E14))&gt;1,"重复","不")</f>
        <v>不</v>
      </c>
      <c r="AT14" s="117" t="str">
        <f>IF(SUMPRODUCT(N(AO$1:AO$17=AO14))&gt;1,"重复","不")</f>
        <v>重复</v>
      </c>
    </row>
    <row r="15" s="12" customFormat="1" ht="18" customHeight="1" spans="1:46">
      <c r="A15" s="36">
        <v>12</v>
      </c>
      <c r="B15" s="37" t="s">
        <v>184</v>
      </c>
      <c r="C15" s="37" t="s">
        <v>141</v>
      </c>
      <c r="D15" s="37" t="s">
        <v>120</v>
      </c>
      <c r="E15" s="352" t="s">
        <v>142</v>
      </c>
      <c r="F15" s="38" t="s">
        <v>185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70">
        <f t="shared" si="0"/>
        <v>550</v>
      </c>
      <c r="R15" s="70">
        <v>0</v>
      </c>
      <c r="S15" s="92">
        <f t="shared" si="1"/>
        <v>10000</v>
      </c>
      <c r="T15" s="93">
        <v>5000</v>
      </c>
      <c r="U15" s="93">
        <f t="shared" si="2"/>
        <v>550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4450</v>
      </c>
      <c r="AE15" s="99">
        <f>ROUND(MAX((AD15)*{0.03;0.1;0.2;0.25;0.3;0.35;0.45}-{0;2520;16920;31920;52920;85920;181920},0),2)</f>
        <v>133.5</v>
      </c>
      <c r="AF15" s="100">
        <v>0</v>
      </c>
      <c r="AG15" s="100">
        <f t="shared" si="6"/>
        <v>133.5</v>
      </c>
      <c r="AH15" s="109">
        <f t="shared" si="7"/>
        <v>9316.5</v>
      </c>
      <c r="AI15" s="108"/>
      <c r="AJ15" s="109">
        <f t="shared" si="8"/>
        <v>9316.5</v>
      </c>
      <c r="AK15" s="109"/>
      <c r="AL15" s="109">
        <f t="shared" si="9"/>
        <v>9450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>IF(SUMPRODUCT(N(E$1:E$17=E15))&gt;1,"重复","不")</f>
        <v>不</v>
      </c>
      <c r="AT15" s="117" t="str">
        <f>IF(SUMPRODUCT(N(AO$1:AO$17=AO15))&gt;1,"重复","不")</f>
        <v>重复</v>
      </c>
    </row>
    <row r="16" s="12" customFormat="1" ht="18" customHeight="1" spans="1:46">
      <c r="A16" s="36">
        <v>13</v>
      </c>
      <c r="B16" s="37" t="s">
        <v>184</v>
      </c>
      <c r="C16" s="37" t="s">
        <v>204</v>
      </c>
      <c r="D16" s="37" t="s">
        <v>120</v>
      </c>
      <c r="E16" s="37" t="s">
        <v>205</v>
      </c>
      <c r="F16" s="38" t="s">
        <v>185</v>
      </c>
      <c r="G16" s="39">
        <v>13711361074</v>
      </c>
      <c r="H16" s="40"/>
      <c r="I16" s="40"/>
      <c r="J16" s="69"/>
      <c r="K16" s="40"/>
      <c r="L16" s="70">
        <v>7600</v>
      </c>
      <c r="M16" s="71">
        <v>359.52</v>
      </c>
      <c r="N16" s="71">
        <v>96.88</v>
      </c>
      <c r="O16" s="71">
        <v>13.48</v>
      </c>
      <c r="P16" s="71">
        <v>110.5</v>
      </c>
      <c r="Q16" s="70">
        <f t="shared" si="0"/>
        <v>580.38</v>
      </c>
      <c r="R16" s="70">
        <v>0</v>
      </c>
      <c r="S16" s="92">
        <f t="shared" si="1"/>
        <v>7600</v>
      </c>
      <c r="T16" s="93">
        <v>5000</v>
      </c>
      <c r="U16" s="93">
        <f t="shared" si="2"/>
        <v>580.38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2019.62</v>
      </c>
      <c r="AE16" s="99">
        <f>ROUND(MAX((AD16)*{0.03;0.1;0.2;0.25;0.3;0.35;0.45}-{0;2520;16920;31920;52920;85920;181920},0),2)</f>
        <v>60.59</v>
      </c>
      <c r="AF16" s="100">
        <v>0</v>
      </c>
      <c r="AG16" s="100">
        <f t="shared" si="6"/>
        <v>60.59</v>
      </c>
      <c r="AH16" s="109">
        <f t="shared" si="7"/>
        <v>6959.03</v>
      </c>
      <c r="AI16" s="108"/>
      <c r="AJ16" s="109">
        <f t="shared" si="8"/>
        <v>6959.03</v>
      </c>
      <c r="AK16" s="109"/>
      <c r="AL16" s="109">
        <f t="shared" si="9"/>
        <v>7019.62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>IF(SUMPRODUCT(N(E$1:E$17=E16))&gt;1,"重复","不")</f>
        <v>不</v>
      </c>
      <c r="AT16" s="117" t="str">
        <f>IF(SUMPRODUCT(N(AO$1:AO$17=AO16))&gt;1,"重复","不")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125"/>
      <c r="W17" s="125"/>
      <c r="X17" s="125"/>
      <c r="Y17" s="125"/>
      <c r="Z17" s="125"/>
      <c r="AA17" s="125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143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122742.9</v>
      </c>
      <c r="M18" s="74">
        <f t="shared" ref="M18:AL18" si="11">SUM(M4:M17)</f>
        <v>4946.09</v>
      </c>
      <c r="N18" s="74">
        <f t="shared" si="11"/>
        <v>1349.72</v>
      </c>
      <c r="O18" s="74">
        <f t="shared" si="11"/>
        <v>253.05</v>
      </c>
      <c r="P18" s="74">
        <f t="shared" si="11"/>
        <v>2232.9</v>
      </c>
      <c r="Q18" s="74">
        <f t="shared" si="11"/>
        <v>8781.76</v>
      </c>
      <c r="R18" s="74">
        <f t="shared" si="11"/>
        <v>0</v>
      </c>
      <c r="S18" s="74">
        <f t="shared" si="11"/>
        <v>122742.9</v>
      </c>
      <c r="T18" s="74">
        <f t="shared" si="11"/>
        <v>65000</v>
      </c>
      <c r="U18" s="74">
        <f t="shared" si="11"/>
        <v>8781.76</v>
      </c>
      <c r="V18" s="74">
        <f t="shared" si="11"/>
        <v>0</v>
      </c>
      <c r="W18" s="74">
        <f t="shared" si="11"/>
        <v>0</v>
      </c>
      <c r="X18" s="74">
        <f t="shared" si="11"/>
        <v>0</v>
      </c>
      <c r="Y18" s="74">
        <f t="shared" si="11"/>
        <v>0</v>
      </c>
      <c r="Z18" s="74">
        <f t="shared" si="11"/>
        <v>0</v>
      </c>
      <c r="AA18" s="74">
        <f t="shared" si="11"/>
        <v>0</v>
      </c>
      <c r="AB18" s="74">
        <f t="shared" si="11"/>
        <v>0</v>
      </c>
      <c r="AC18" s="74">
        <f t="shared" si="11"/>
        <v>0</v>
      </c>
      <c r="AD18" s="74">
        <f t="shared" si="11"/>
        <v>48961.14</v>
      </c>
      <c r="AE18" s="74">
        <f t="shared" si="11"/>
        <v>1506.06</v>
      </c>
      <c r="AF18" s="74">
        <f t="shared" si="11"/>
        <v>0</v>
      </c>
      <c r="AG18" s="74">
        <f t="shared" si="11"/>
        <v>1506.06</v>
      </c>
      <c r="AH18" s="74">
        <f t="shared" si="11"/>
        <v>112455.08</v>
      </c>
      <c r="AI18" s="74">
        <f t="shared" si="11"/>
        <v>0</v>
      </c>
      <c r="AJ18" s="74">
        <f t="shared" si="11"/>
        <v>112455.08</v>
      </c>
      <c r="AK18" s="74">
        <f t="shared" si="11"/>
        <v>0</v>
      </c>
      <c r="AL18" s="74">
        <f t="shared" si="11"/>
        <v>113961.14</v>
      </c>
      <c r="AM18" s="110"/>
      <c r="AN18" s="110"/>
      <c r="AO18" s="110"/>
      <c r="AP18" s="110"/>
      <c r="AQ18" s="110"/>
      <c r="AR18" s="45"/>
      <c r="AS18" s="45"/>
      <c r="AT18" s="118"/>
    </row>
    <row r="19" spans="38:38">
      <c r="AL19" s="15">
        <v>31841.4778</v>
      </c>
    </row>
    <row r="21" spans="30:30">
      <c r="AD21" s="101"/>
    </row>
    <row r="22" ht="18.75" customHeight="1" spans="2:30">
      <c r="B22" s="47" t="s">
        <v>144</v>
      </c>
      <c r="C22" s="47" t="s">
        <v>145</v>
      </c>
      <c r="D22" s="47" t="s">
        <v>225</v>
      </c>
      <c r="E22" s="47" t="s">
        <v>23</v>
      </c>
      <c r="AD22" s="10"/>
    </row>
    <row r="23" ht="18.75" customHeight="1" spans="2:5">
      <c r="B23" s="48">
        <f>AJ18</f>
        <v>112455.08</v>
      </c>
      <c r="C23" s="48">
        <f>AG18</f>
        <v>1506.06</v>
      </c>
      <c r="D23" s="48">
        <f>AK18</f>
        <v>0</v>
      </c>
      <c r="E23" s="48">
        <f>B23+C23+D23</f>
        <v>113961.14</v>
      </c>
    </row>
    <row r="24" spans="2:5">
      <c r="B24" s="49"/>
      <c r="C24" s="49"/>
      <c r="D24" s="49"/>
      <c r="E24" s="49"/>
    </row>
    <row r="25" s="14" customFormat="1" spans="1:35">
      <c r="A25" s="51" t="s">
        <v>206</v>
      </c>
      <c r="B25" s="52" t="s">
        <v>207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208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209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210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211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212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213</v>
      </c>
    </row>
    <row r="33" spans="2:2">
      <c r="B33" s="59" t="s">
        <v>214</v>
      </c>
    </row>
    <row r="34" spans="2:2">
      <c r="B34" s="59" t="s">
        <v>215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16000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1209.73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-2409.73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71.37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11860</v>
      </c>
      <c r="T5" s="91">
        <f>5000+IFERROR(VLOOKUP($E:$E,'（居民）工资表-2月'!$E:$T,16,0),0)</f>
        <v>10000</v>
      </c>
      <c r="U5" s="91">
        <f>Q5+IFERROR(VLOOKUP($E:$E,'（居民）工资表-2月'!$E:$U,17,0),0)</f>
        <v>1475.92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384.08</v>
      </c>
      <c r="AE5" s="96">
        <f>ROUND(MAX((AD5)*{0.03;0.1;0.2;0.25;0.3;0.35;0.45}-{0;2520;16920;31920;52920;85920;181920},0),2)</f>
        <v>11.52</v>
      </c>
      <c r="AF5" s="97">
        <f>IFERROR(VLOOKUP(E:E,'（居民）工资表-2月'!E:AF,28,0)+VLOOKUP(E:E,'（居民）工资表-2月'!E:AG,29,0),0)</f>
        <v>10.39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186</v>
      </c>
      <c r="AV5" s="12" t="s">
        <v>51</v>
      </c>
    </row>
    <row r="6" s="12" customFormat="1" ht="18" customHeight="1" spans="1:48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60120</v>
      </c>
      <c r="T6" s="91">
        <f>5000+IFERROR(VLOOKUP($E:$E,'（居民）工资表-2月'!$E:$T,16,0),0)</f>
        <v>10000</v>
      </c>
      <c r="U6" s="91">
        <f>Q6+IFERROR(VLOOKUP($E:$E,'（居民）工资表-2月'!$E:$U,17,0),0)</f>
        <v>1911.87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48208.13</v>
      </c>
      <c r="AE6" s="96">
        <f>ROUND(MAX((AD6)*{0.03;0.1;0.2;0.25;0.3;0.35;0.45}-{0;2520;16920;31920;52920;85920;181920},0),2)</f>
        <v>2300.81</v>
      </c>
      <c r="AF6" s="97">
        <f>IFERROR(VLOOKUP(E:E,'（居民）工资表-2月'!E:AF,28,0)+VLOOKUP(E:E,'（居民）工资表-2月'!E:AG,29,0),0)</f>
        <v>722.9</v>
      </c>
      <c r="AG6" s="97">
        <f t="shared" ref="AG6:AG17" si="3">IF((AE6-AF6)&lt;0,0,AE6-AF6)</f>
        <v>1577.91</v>
      </c>
      <c r="AH6" s="107">
        <f t="shared" ref="AH6:AH17" si="4">ROUND(IF((L6-Q6-AG6)&lt;0,0,(L6-Q6-AG6)),2)</f>
        <v>27533.54</v>
      </c>
      <c r="AI6" s="108"/>
      <c r="AJ6" s="107">
        <f t="shared" ref="AJ6:AJ17" si="5">AH6+AI6</f>
        <v>27533.54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17000</v>
      </c>
      <c r="T7" s="91">
        <f>5000+IFERROR(VLOOKUP($E:$E,'（居民）工资表-2月'!$E:$T,16,0),0)</f>
        <v>10000</v>
      </c>
      <c r="U7" s="91">
        <f>Q7+IFERROR(VLOOKUP($E:$E,'（居民）工资表-2月'!$E:$U,17,0),0)</f>
        <v>1077.71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5922.29</v>
      </c>
      <c r="AE7" s="96">
        <f>ROUND(MAX((AD7)*{0.03;0.1;0.2;0.25;0.3;0.35;0.45}-{0;2520;16920;31920;52920;85920;181920},0),2)</f>
        <v>177.67</v>
      </c>
      <c r="AF7" s="97">
        <f>IFERROR(VLOOKUP(E:E,'（居民）工资表-2月'!E:AF,28,0)+VLOOKUP(E:E,'（居民）工资表-2月'!E:AG,29,0),0)</f>
        <v>103.5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21000</v>
      </c>
      <c r="T8" s="91">
        <f>5000+IFERROR(VLOOKUP($E:$E,'（居民）工资表-2月'!$E:$T,16,0),0)</f>
        <v>10000</v>
      </c>
      <c r="U8" s="91">
        <f>Q8+IFERROR(VLOOKUP($E:$E,'（居民）工资表-2月'!$E:$U,17,0),0)</f>
        <v>1565.84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9434.16</v>
      </c>
      <c r="AE8" s="96">
        <f>ROUND(MAX((AD8)*{0.03;0.1;0.2;0.25;0.3;0.35;0.45}-{0;2520;16920;31920;52920;85920;181920},0),2)</f>
        <v>283.02</v>
      </c>
      <c r="AF8" s="97">
        <f>IFERROR(VLOOKUP(E:E,'（居民）工资表-2月'!E:AF,28,0)+VLOOKUP(E:E,'（居民）工资表-2月'!E:AG,29,0),0)</f>
        <v>141.18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190</v>
      </c>
      <c r="AV8" s="12" t="s">
        <v>51</v>
      </c>
    </row>
    <row r="9" s="12" customFormat="1" ht="18" customHeight="1" spans="1:48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13000</v>
      </c>
      <c r="T9" s="91">
        <f>5000+IFERROR(VLOOKUP($E:$E,'（居民）工资表-2月'!$E:$T,16,0),0)</f>
        <v>10000</v>
      </c>
      <c r="U9" s="91">
        <f>Q9+IFERROR(VLOOKUP($E:$E,'（居民）工资表-2月'!$E:$U,17,0),0)</f>
        <v>1056.58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1943.42</v>
      </c>
      <c r="AE9" s="96">
        <f>ROUND(MAX((AD9)*{0.03;0.1;0.2;0.25;0.3;0.35;0.45}-{0;2520;16920;31920;52920;85920;181920},0),2)</f>
        <v>58.3</v>
      </c>
      <c r="AF9" s="97">
        <f>IFERROR(VLOOKUP(E:E,'（居民）工资表-2月'!E:AF,28,0)+VLOOKUP(E:E,'（居民）工资表-2月'!E:AG,29,0),0)</f>
        <v>29.11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190</v>
      </c>
      <c r="AV9" s="12" t="s">
        <v>51</v>
      </c>
    </row>
    <row r="10" s="12" customFormat="1" ht="18" customHeight="1" spans="1:48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8948.74</v>
      </c>
      <c r="T10" s="91">
        <f>5000+IFERROR(VLOOKUP($E:$E,'（居民）工资表-2月'!$E:$T,16,0),0)</f>
        <v>10000</v>
      </c>
      <c r="U10" s="91">
        <f>Q10+IFERROR(VLOOKUP($E:$E,'（居民）工资表-2月'!$E:$U,17,0),0)</f>
        <v>1294.23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-2345.49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191</v>
      </c>
      <c r="AV10" s="12" t="s">
        <v>51</v>
      </c>
    </row>
    <row r="11" s="12" customFormat="1" ht="18" customHeight="1" spans="1:47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17500</v>
      </c>
      <c r="T11" s="91">
        <f>5000+IFERROR(VLOOKUP($E:$E,'（居民）工资表-2月'!$E:$T,16,0),0)</f>
        <v>10000</v>
      </c>
      <c r="U11" s="91">
        <f>Q11+IFERROR(VLOOKUP($E:$E,'（居民）工资表-2月'!$E:$U,17,0),0)</f>
        <v>1139.84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6360.16</v>
      </c>
      <c r="AE11" s="96">
        <f>ROUND(MAX((AD11)*{0.03;0.1;0.2;0.25;0.3;0.35;0.45}-{0;2520;16920;31920;52920;85920;181920},0),2)</f>
        <v>190.8</v>
      </c>
      <c r="AF11" s="97">
        <f>IFERROR(VLOOKUP(E:E,'（居民）工资表-2月'!E:AF,28,0)+VLOOKUP(E:E,'（居民）工资表-2月'!E:AG,29,0),0)</f>
        <v>102.57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14500</v>
      </c>
      <c r="T12" s="91">
        <f>5000+IFERROR(VLOOKUP($E:$E,'（居民）工资表-2月'!$E:$T,16,0),0)</f>
        <v>10000</v>
      </c>
      <c r="U12" s="91">
        <f>Q12+IFERROR(VLOOKUP($E:$E,'（居民）工资表-2月'!$E:$U,17,0),0)</f>
        <v>1565.84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2934.16</v>
      </c>
      <c r="AE12" s="96">
        <f>ROUND(MAX((AD12)*{0.03;0.1;0.2;0.25;0.3;0.35;0.45}-{0;2520;16920;31920;52920;85920;181920},0),2)</f>
        <v>88.02</v>
      </c>
      <c r="AF12" s="97">
        <f>IFERROR(VLOOKUP(E:E,'（居民）工资表-2月'!E:AF,28,0)+VLOOKUP(E:E,'（居民）工资表-2月'!E:AG,29,0),0)</f>
        <v>51.18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15000</v>
      </c>
      <c r="T13" s="91">
        <f>5000+IFERROR(VLOOKUP($E:$E,'（居民）工资表-2月'!$E:$T,16,0),0)</f>
        <v>10000</v>
      </c>
      <c r="U13" s="91">
        <f>Q13+IFERROR(VLOOKUP($E:$E,'（居民）工资表-2月'!$E:$U,17,0),0)</f>
        <v>1565.84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3434.16</v>
      </c>
      <c r="AE13" s="96">
        <f>ROUND(MAX((AD13)*{0.03;0.1;0.2;0.25;0.3;0.35;0.45}-{0;2520;16920;31920;52920;85920;181920},0),2)</f>
        <v>103.02</v>
      </c>
      <c r="AF13" s="97">
        <f>IFERROR(VLOOKUP(E:E,'（居民）工资表-2月'!E:AF,28,0)+VLOOKUP(E:E,'（居民）工资表-2月'!E:AG,29,0),0)</f>
        <v>66.18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190</v>
      </c>
      <c r="AV13" s="12" t="s">
        <v>51</v>
      </c>
    </row>
    <row r="14" s="12" customFormat="1" ht="18" customHeight="1" spans="1:48">
      <c r="A14" s="36">
        <v>11</v>
      </c>
      <c r="B14" s="37" t="s">
        <v>184</v>
      </c>
      <c r="C14" s="37" t="s">
        <v>199</v>
      </c>
      <c r="D14" s="37" t="s">
        <v>120</v>
      </c>
      <c r="E14" s="352" t="s">
        <v>200</v>
      </c>
      <c r="F14" s="38" t="s">
        <v>187</v>
      </c>
      <c r="G14" s="39" t="s">
        <v>201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7000</v>
      </c>
      <c r="T14" s="91">
        <f>5000+IFERROR(VLOOKUP($E:$E,'（居民）工资表-2月'!$E:$T,16,0),0)</f>
        <v>5000</v>
      </c>
      <c r="U14" s="91">
        <f>Q14+IFERROR(VLOOKUP($E:$E,'（居民）工资表-2月'!$E:$U,17,0),0)</f>
        <v>559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1441</v>
      </c>
      <c r="AE14" s="96">
        <f>ROUND(MAX((AD14)*{0.03;0.1;0.2;0.25;0.3;0.35;0.45}-{0;2520;16920;31920;52920;85920;181920},0),2)</f>
        <v>43.23</v>
      </c>
      <c r="AF14" s="97">
        <f>IFERROR(VLOOKUP(E:E,'（居民）工资表-2月'!E:AF,28,0)+VLOOKUP(E:E,'（居民）工资表-2月'!E:AG,29,0),0)</f>
        <v>0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190</v>
      </c>
      <c r="AV14" s="12" t="s">
        <v>51</v>
      </c>
    </row>
    <row r="15" s="12" customFormat="1" ht="18" customHeight="1" spans="1:48">
      <c r="A15" s="36">
        <v>12</v>
      </c>
      <c r="B15" s="37" t="s">
        <v>184</v>
      </c>
      <c r="C15" s="37" t="s">
        <v>202</v>
      </c>
      <c r="D15" s="37" t="s">
        <v>120</v>
      </c>
      <c r="E15" s="352" t="s">
        <v>203</v>
      </c>
      <c r="F15" s="38" t="s">
        <v>187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6060</v>
      </c>
      <c r="T15" s="91">
        <f>5000+IFERROR(VLOOKUP($E:$E,'（居民）工资表-2月'!$E:$T,16,0),0)</f>
        <v>5000</v>
      </c>
      <c r="U15" s="91">
        <f>Q15+IFERROR(VLOOKUP($E:$E,'（居民）工资表-2月'!$E:$U,17,0),0)</f>
        <v>527.71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532.29</v>
      </c>
      <c r="AE15" s="96">
        <f>ROUND(MAX((AD15)*{0.03;0.1;0.2;0.25;0.3;0.35;0.45}-{0;2520;16920;31920;52920;85920;181920},0),2)</f>
        <v>15.97</v>
      </c>
      <c r="AF15" s="97">
        <f>IFERROR(VLOOKUP(E:E,'（居民）工资表-2月'!E:AF,28,0)+VLOOKUP(E:E,'（居民）工资表-2月'!E:AG,29,0),0)</f>
        <v>0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190</v>
      </c>
      <c r="AV15" s="12" t="s">
        <v>51</v>
      </c>
    </row>
    <row r="16" s="12" customFormat="1" ht="18" customHeight="1" spans="1:48">
      <c r="A16" s="36">
        <v>13</v>
      </c>
      <c r="B16" s="37" t="s">
        <v>184</v>
      </c>
      <c r="C16" s="37" t="s">
        <v>139</v>
      </c>
      <c r="D16" s="37" t="s">
        <v>120</v>
      </c>
      <c r="E16" s="352" t="s">
        <v>140</v>
      </c>
      <c r="F16" s="38" t="s">
        <v>187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12000</v>
      </c>
      <c r="T16" s="91">
        <f>5000+IFERROR(VLOOKUP($E:$E,'（居民）工资表-2月'!$E:$T,16,0),0)</f>
        <v>10000</v>
      </c>
      <c r="U16" s="91">
        <f>Q16+IFERROR(VLOOKUP($E:$E,'（居民）工资表-2月'!$E:$U,17,0),0)</f>
        <v>1071.84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928.16</v>
      </c>
      <c r="AE16" s="96">
        <f>ROUND(MAX((AD16)*{0.03;0.1;0.2;0.25;0.3;0.35;0.45}-{0;2520;16920;31920;52920;85920;181920},0),2)</f>
        <v>27.84</v>
      </c>
      <c r="AF16" s="97">
        <f>IFERROR(VLOOKUP(E:E,'（居民）工资表-2月'!E:AF,28,0)+VLOOKUP(E:E,'（居民）工资表-2月'!E:AG,29,0),0)</f>
        <v>13.59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190</v>
      </c>
      <c r="AV16" s="12" t="s">
        <v>51</v>
      </c>
    </row>
    <row r="17" s="12" customFormat="1" ht="18" customHeight="1" spans="1:48">
      <c r="A17" s="36">
        <v>14</v>
      </c>
      <c r="B17" s="37" t="s">
        <v>184</v>
      </c>
      <c r="C17" s="37" t="s">
        <v>141</v>
      </c>
      <c r="D17" s="37" t="s">
        <v>120</v>
      </c>
      <c r="E17" s="352" t="s">
        <v>142</v>
      </c>
      <c r="F17" s="38" t="s">
        <v>185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19904.76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1077.71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8827.05</v>
      </c>
      <c r="AE17" s="96">
        <f>ROUND(MAX((AD17)*{0.03;0.1;0.2;0.25;0.3;0.35;0.45}-{0;2520;16920;31920;52920;85920;181920},0),2)</f>
        <v>264.81</v>
      </c>
      <c r="AF17" s="97">
        <f>IFERROR(VLOOKUP(E:E,'（居民）工资表-2月'!E:AF,28,0)+VLOOKUP(E:E,'（居民）工资表-2月'!E:AG,29,0),0)</f>
        <v>133.5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190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143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239893.5</v>
      </c>
      <c r="T19" s="74">
        <f t="shared" si="10"/>
        <v>130000</v>
      </c>
      <c r="U19" s="74">
        <f t="shared" si="10"/>
        <v>17099.66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85593.84</v>
      </c>
      <c r="AE19" s="74">
        <f t="shared" si="10"/>
        <v>3565.01</v>
      </c>
      <c r="AF19" s="74">
        <f t="shared" si="10"/>
        <v>1445.47</v>
      </c>
      <c r="AG19" s="74">
        <f t="shared" si="10"/>
        <v>2190.91</v>
      </c>
      <c r="AH19" s="74">
        <f t="shared" si="10"/>
        <v>113661.41</v>
      </c>
      <c r="AI19" s="74">
        <f t="shared" si="10"/>
        <v>0</v>
      </c>
      <c r="AJ19" s="74">
        <f t="shared" si="10"/>
        <v>113661.41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144</v>
      </c>
      <c r="C23" s="47" t="s">
        <v>145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113661.41</v>
      </c>
      <c r="C24" s="48">
        <f>AG19</f>
        <v>2190.91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206</v>
      </c>
      <c r="B26" s="52" t="s">
        <v>207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208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209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210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211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212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213</v>
      </c>
    </row>
    <row r="34" spans="2:2">
      <c r="B34" s="59" t="s">
        <v>214</v>
      </c>
    </row>
    <row r="35" spans="2:2">
      <c r="B35" s="59" t="s">
        <v>215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24000</v>
      </c>
      <c r="T4" s="91">
        <f>5000+IFERROR(VLOOKUP($E:$E,'（居民）工资表-3月'!$E:$T,16,0),0)</f>
        <v>15000</v>
      </c>
      <c r="U4" s="91">
        <f>Q4+IFERROR(VLOOKUP($E:$E,'（居民）工资表-3月'!$E:$U,17,0),0)</f>
        <v>1798.43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7201.57</v>
      </c>
      <c r="AE4" s="96">
        <f>ROUND(MAX((AD4)*{0.03;0.1;0.2;0.25;0.3;0.35;0.45}-{0;2520;16920;31920;52920;85920;181920},0),2)</f>
        <v>216.05</v>
      </c>
      <c r="AF4" s="97">
        <f>IFERROR(VLOOKUP(E:E,'（居民）工资表-3月'!E:AF,28,0)+VLOOKUP(E:E,'（居民）工资表-3月'!E:AG,29,0),0)</f>
        <v>71.37</v>
      </c>
      <c r="AG4" s="97">
        <f t="shared" ref="AG4:AG22" si="3">IF((AE4-AF4)&lt;0,0,AE4-AF4)</f>
        <v>144.68</v>
      </c>
      <c r="AH4" s="107">
        <f t="shared" ref="AH4:AH22" si="4">ROUND(IF((L4-Q4-AG4)&lt;0,0,(L4-Q4-AG4)),2)</f>
        <v>7266.62</v>
      </c>
      <c r="AI4" s="108"/>
      <c r="AJ4" s="107">
        <f t="shared" ref="AJ4:AJ22" si="5">AH4+AI4</f>
        <v>7266.62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17560</v>
      </c>
      <c r="T5" s="91">
        <f>5000+IFERROR(VLOOKUP($E:$E,'（居民）工资表-3月'!$E:$T,16,0),0)</f>
        <v>15000</v>
      </c>
      <c r="U5" s="91">
        <f>Q5+IFERROR(VLOOKUP($E:$E,'（居民）工资表-3月'!$E:$U,17,0),0)</f>
        <v>2138.16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421.84</v>
      </c>
      <c r="AE5" s="96">
        <f>ROUND(MAX((AD5)*{0.03;0.1;0.2;0.25;0.3;0.35;0.45}-{0;2520;16920;31920;52920;85920;181920},0),2)</f>
        <v>12.66</v>
      </c>
      <c r="AF5" s="97">
        <f>IFERROR(VLOOKUP(E:E,'（居民）工资表-3月'!E:AF,28,0)+VLOOKUP(E:E,'（居民）工资表-3月'!E:AG,29,0),0)</f>
        <v>11.52</v>
      </c>
      <c r="AG5" s="97">
        <f t="shared" si="3"/>
        <v>1.14</v>
      </c>
      <c r="AH5" s="107">
        <f t="shared" si="4"/>
        <v>5036.62</v>
      </c>
      <c r="AI5" s="108"/>
      <c r="AJ5" s="107">
        <f t="shared" si="5"/>
        <v>5036.62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90180</v>
      </c>
      <c r="T6" s="91">
        <f>5000+IFERROR(VLOOKUP($E:$E,'（居民）工资表-3月'!$E:$T,16,0),0)</f>
        <v>15000</v>
      </c>
      <c r="U6" s="91">
        <f>Q6+IFERROR(VLOOKUP($E:$E,'（居民）工资表-3月'!$E:$U,17,0),0)</f>
        <v>2860.42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72319.58</v>
      </c>
      <c r="AE6" s="96">
        <f>ROUND(MAX((AD6)*{0.03;0.1;0.2;0.25;0.3;0.35;0.45}-{0;2520;16920;31920;52920;85920;181920},0),2)</f>
        <v>4711.96</v>
      </c>
      <c r="AF6" s="97">
        <f>IFERROR(VLOOKUP(E:E,'（居民）工资表-3月'!E:AF,28,0)+VLOOKUP(E:E,'（居民）工资表-3月'!E:AG,29,0),0)</f>
        <v>2300.81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25000</v>
      </c>
      <c r="T7" s="91">
        <f>5000+IFERROR(VLOOKUP($E:$E,'（居民）工资表-3月'!$E:$T,16,0),0)</f>
        <v>15000</v>
      </c>
      <c r="U7" s="91">
        <f>Q7+IFERROR(VLOOKUP($E:$E,'（居民）工资表-3月'!$E:$U,17,0),0)</f>
        <v>1605.42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8394.58</v>
      </c>
      <c r="AE7" s="96">
        <f>ROUND(MAX((AD7)*{0.03;0.1;0.2;0.25;0.3;0.35;0.45}-{0;2520;16920;31920;52920;85920;181920},0),2)</f>
        <v>251.84</v>
      </c>
      <c r="AF7" s="97">
        <f>IFERROR(VLOOKUP(E:E,'（居民）工资表-3月'!E:AF,28,0)+VLOOKUP(E:E,'（居民）工资表-3月'!E:AG,29,0),0)</f>
        <v>177.67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31500</v>
      </c>
      <c r="T8" s="93">
        <f>5000+IFERROR(VLOOKUP($E:$E,'（居民）工资表-3月'!$E:$T,16,0),0)</f>
        <v>15000</v>
      </c>
      <c r="U8" s="93">
        <f>Q8+IFERROR(VLOOKUP($E:$E,'（居民）工资表-3月'!$E:$U,17,0),0)</f>
        <v>2337.84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14162.16</v>
      </c>
      <c r="AE8" s="99">
        <f>ROUND(MAX((AD8)*{0.03;0.1;0.2;0.25;0.3;0.35;0.45}-{0;2520;16920;31920;52920;85920;181920},0),2)</f>
        <v>424.86</v>
      </c>
      <c r="AF8" s="100">
        <f>IFERROR(VLOOKUP(E:E,'（居民）工资表-3月'!E:AF,28,0)+VLOOKUP(E:E,'（居民）工资表-3月'!E:AG,29,0),0)</f>
        <v>283.02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19500</v>
      </c>
      <c r="T9" s="91">
        <f>5000+IFERROR(VLOOKUP($E:$E,'（居民）工资表-3月'!$E:$T,16,0),0)</f>
        <v>15000</v>
      </c>
      <c r="U9" s="91">
        <f>Q9+IFERROR(VLOOKUP($E:$E,'（居民）工资表-3月'!$E:$U,17,0),0)</f>
        <v>1583.38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2916.62</v>
      </c>
      <c r="AE9" s="96">
        <f>ROUND(MAX((AD9)*{0.03;0.1;0.2;0.25;0.3;0.35;0.45}-{0;2520;16920;31920;52920;85920;181920},0),2)</f>
        <v>87.5</v>
      </c>
      <c r="AF9" s="97">
        <f>IFERROR(VLOOKUP(E:E,'（居民）工资表-3月'!E:AF,28,0)+VLOOKUP(E:E,'（居民）工资表-3月'!E:AG,29,0),0)</f>
        <v>58.3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13474.58</v>
      </c>
      <c r="T10" s="91">
        <f>5000+IFERROR(VLOOKUP($E:$E,'（居民）工资表-3月'!$E:$T,16,0),0)</f>
        <v>15000</v>
      </c>
      <c r="U10" s="91">
        <f>Q10+IFERROR(VLOOKUP($E:$E,'（居民）工资表-3月'!$E:$U,17,0),0)</f>
        <v>1924.09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-3449.51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26000</v>
      </c>
      <c r="T11" s="91">
        <f>5000+IFERROR(VLOOKUP($E:$E,'（居民）工资表-3月'!$E:$T,16,0),0)</f>
        <v>15000</v>
      </c>
      <c r="U11" s="91">
        <f>Q11+IFERROR(VLOOKUP($E:$E,'（居民）工资表-3月'!$E:$U,17,0),0)</f>
        <v>1698.84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9301.16</v>
      </c>
      <c r="AE11" s="96">
        <f>ROUND(MAX((AD11)*{0.03;0.1;0.2;0.25;0.3;0.35;0.45}-{0;2520;16920;31920;52920;85920;181920},0),2)</f>
        <v>279.03</v>
      </c>
      <c r="AF11" s="97">
        <f>IFERROR(VLOOKUP(E:E,'（居民）工资表-3月'!E:AF,28,0)+VLOOKUP(E:E,'（居民）工资表-3月'!E:AG,29,0),0)</f>
        <v>190.8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21500</v>
      </c>
      <c r="T12" s="91">
        <f>5000+IFERROR(VLOOKUP($E:$E,'（居民）工资表-3月'!$E:$T,16,0),0)</f>
        <v>15000</v>
      </c>
      <c r="U12" s="91">
        <f>Q12+IFERROR(VLOOKUP($E:$E,'（居民）工资表-3月'!$E:$U,17,0),0)</f>
        <v>2337.84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4162.16</v>
      </c>
      <c r="AE12" s="96">
        <f>ROUND(MAX((AD12)*{0.03;0.1;0.2;0.25;0.3;0.35;0.45}-{0;2520;16920;31920;52920;85920;181920},0),2)</f>
        <v>124.86</v>
      </c>
      <c r="AF12" s="97">
        <f>IFERROR(VLOOKUP(E:E,'（居民）工资表-3月'!E:AF,28,0)+VLOOKUP(E:E,'（居民）工资表-3月'!E:AG,29,0),0)</f>
        <v>88.02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22000</v>
      </c>
      <c r="T13" s="91">
        <f>5000+IFERROR(VLOOKUP($E:$E,'（居民）工资表-3月'!$E:$T,16,0),0)</f>
        <v>15000</v>
      </c>
      <c r="U13" s="91">
        <f>Q13+IFERROR(VLOOKUP($E:$E,'（居民）工资表-3月'!$E:$U,17,0),0)</f>
        <v>2337.84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4662.16</v>
      </c>
      <c r="AE13" s="96">
        <f>ROUND(MAX((AD13)*{0.03;0.1;0.2;0.25;0.3;0.35;0.45}-{0;2520;16920;31920;52920;85920;181920},0),2)</f>
        <v>139.86</v>
      </c>
      <c r="AF13" s="97">
        <f>IFERROR(VLOOKUP(E:E,'（居民）工资表-3月'!E:AF,28,0)+VLOOKUP(E:E,'（居民）工资表-3月'!E:AG,29,0),0)</f>
        <v>103.02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184</v>
      </c>
      <c r="C14" s="37" t="s">
        <v>199</v>
      </c>
      <c r="D14" s="37" t="s">
        <v>120</v>
      </c>
      <c r="E14" s="352" t="s">
        <v>200</v>
      </c>
      <c r="F14" s="38" t="s">
        <v>187</v>
      </c>
      <c r="G14" s="39" t="s">
        <v>201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14000</v>
      </c>
      <c r="T14" s="91">
        <f>5000+IFERROR(VLOOKUP($E:$E,'（居民）工资表-3月'!$E:$T,16,0),0)</f>
        <v>10000</v>
      </c>
      <c r="U14" s="91">
        <f>Q14+IFERROR(VLOOKUP($E:$E,'（居民）工资表-3月'!$E:$U,17,0),0)</f>
        <v>1118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IFERROR(VLOOKUP(E:E,'（居民）工资表-3月'!E:AF,28,0)+VLOOKUP(E:E,'（居民）工资表-3月'!E:AG,29,0),0)</f>
        <v>43.23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184</v>
      </c>
      <c r="C15" s="37" t="s">
        <v>202</v>
      </c>
      <c r="D15" s="37" t="s">
        <v>120</v>
      </c>
      <c r="E15" s="352" t="s">
        <v>203</v>
      </c>
      <c r="F15" s="38" t="s">
        <v>187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12360</v>
      </c>
      <c r="T15" s="91">
        <f>5000+IFERROR(VLOOKUP($E:$E,'（居民）工资表-3月'!$E:$T,16,0),0)</f>
        <v>10000</v>
      </c>
      <c r="U15" s="91">
        <f>Q15+IFERROR(VLOOKUP($E:$E,'（居民）工资表-3月'!$E:$U,17,0),0)</f>
        <v>1055.42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1304.58</v>
      </c>
      <c r="AE15" s="96">
        <f>ROUND(MAX((AD15)*{0.03;0.1;0.2;0.25;0.3;0.35;0.45}-{0;2520;16920;31920;52920;85920;181920},0),2)</f>
        <v>39.14</v>
      </c>
      <c r="AF15" s="97">
        <f>IFERROR(VLOOKUP(E:E,'（居民）工资表-3月'!E:AF,28,0)+VLOOKUP(E:E,'（居民）工资表-3月'!E:AG,29,0),0)</f>
        <v>15.97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184</v>
      </c>
      <c r="C16" s="37" t="s">
        <v>139</v>
      </c>
      <c r="D16" s="37" t="s">
        <v>120</v>
      </c>
      <c r="E16" s="352" t="s">
        <v>140</v>
      </c>
      <c r="F16" s="38" t="s">
        <v>187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18000</v>
      </c>
      <c r="T16" s="91">
        <f>5000+IFERROR(VLOOKUP($E:$E,'（居民）工资表-3月'!$E:$T,16,0),0)</f>
        <v>15000</v>
      </c>
      <c r="U16" s="91">
        <f>Q16+IFERROR(VLOOKUP($E:$E,'（居民）工资表-3月'!$E:$U,17,0),0)</f>
        <v>1596.84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1403.16</v>
      </c>
      <c r="AE16" s="96">
        <f>ROUND(MAX((AD16)*{0.03;0.1;0.2;0.25;0.3;0.35;0.45}-{0;2520;16920;31920;52920;85920;181920},0),2)</f>
        <v>42.09</v>
      </c>
      <c r="AF16" s="97">
        <f>IFERROR(VLOOKUP(E:E,'（居民）工资表-3月'!E:AF,28,0)+VLOOKUP(E:E,'（居民）工资表-3月'!E:AG,29,0),0)</f>
        <v>27.84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184</v>
      </c>
      <c r="C17" s="37" t="s">
        <v>141</v>
      </c>
      <c r="D17" s="37" t="s">
        <v>120</v>
      </c>
      <c r="E17" s="352" t="s">
        <v>142</v>
      </c>
      <c r="F17" s="38" t="s">
        <v>185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29904.76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1605.42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13299.34</v>
      </c>
      <c r="AE17" s="96">
        <f>ROUND(MAX((AD17)*{0.03;0.1;0.2;0.25;0.3;0.35;0.45}-{0;2520;16920;31920;52920;85920;181920},0),2)</f>
        <v>398.98</v>
      </c>
      <c r="AF17" s="97">
        <f>IFERROR(VLOOKUP(E:E,'（居民）工资表-3月'!E:AF,28,0)+VLOOKUP(E:E,'（居民）工资表-3月'!E:AG,29,0),0)</f>
        <v>264.81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184</v>
      </c>
      <c r="C18" s="37" t="s">
        <v>204</v>
      </c>
      <c r="D18" s="37" t="s">
        <v>120</v>
      </c>
      <c r="E18" s="37" t="s">
        <v>205</v>
      </c>
      <c r="F18" s="38" t="s">
        <v>185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143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367006.01</v>
      </c>
      <c r="T20" s="74">
        <f t="shared" si="10"/>
        <v>205000</v>
      </c>
      <c r="U20" s="74">
        <f t="shared" si="10"/>
        <v>27103.08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134902.93</v>
      </c>
      <c r="AE20" s="74">
        <f t="shared" si="10"/>
        <v>6815.29</v>
      </c>
      <c r="AF20" s="74">
        <f t="shared" si="10"/>
        <v>3636.38</v>
      </c>
      <c r="AG20" s="74">
        <f t="shared" si="10"/>
        <v>3178.91</v>
      </c>
      <c r="AH20" s="74">
        <f t="shared" si="10"/>
        <v>113930.18</v>
      </c>
      <c r="AI20" s="74">
        <f t="shared" si="10"/>
        <v>0</v>
      </c>
      <c r="AJ20" s="74">
        <f t="shared" si="10"/>
        <v>113930.18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144</v>
      </c>
      <c r="C24" s="47" t="s">
        <v>145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113930.18</v>
      </c>
      <c r="C25" s="48">
        <f>AG20</f>
        <v>3178.91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206</v>
      </c>
      <c r="B27" s="52" t="s">
        <v>207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208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209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210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211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212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213</v>
      </c>
    </row>
    <row r="35" spans="2:2">
      <c r="B35" s="59" t="s">
        <v>214</v>
      </c>
    </row>
    <row r="36" spans="2:2">
      <c r="B36" s="59" t="s">
        <v>215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226</v>
      </c>
      <c r="C1" s="1"/>
      <c r="D1" s="1"/>
      <c r="E1" s="1"/>
    </row>
    <row r="2" ht="21" spans="2:2">
      <c r="B2" s="2"/>
    </row>
    <row r="3" ht="27.75" customHeight="1" spans="2:5">
      <c r="B3" s="3" t="s">
        <v>227</v>
      </c>
      <c r="C3" s="4" t="s">
        <v>228</v>
      </c>
      <c r="D3" s="4" t="s">
        <v>229</v>
      </c>
      <c r="E3" s="4" t="s">
        <v>115</v>
      </c>
    </row>
    <row r="4" ht="29.25" customHeight="1" spans="2:5">
      <c r="B4" s="5">
        <v>1</v>
      </c>
      <c r="C4" s="6" t="s">
        <v>230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231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232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233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234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235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236</v>
      </c>
      <c r="D10" s="7">
        <v>0.45</v>
      </c>
      <c r="E10" s="8">
        <v>181920</v>
      </c>
    </row>
    <row r="13" ht="57" customHeight="1" spans="2:5">
      <c r="B13" s="1" t="s">
        <v>237</v>
      </c>
      <c r="C13" s="1"/>
      <c r="D13" s="1"/>
      <c r="E13" s="1"/>
    </row>
    <row r="14" ht="21" spans="2:2">
      <c r="B14" s="2"/>
    </row>
    <row r="15" ht="27.75" customHeight="1" spans="2:5">
      <c r="B15" s="3" t="s">
        <v>227</v>
      </c>
      <c r="C15" s="4" t="s">
        <v>238</v>
      </c>
      <c r="D15" s="4" t="s">
        <v>229</v>
      </c>
      <c r="E15" s="4" t="s">
        <v>115</v>
      </c>
    </row>
    <row r="16" ht="29.25" customHeight="1" spans="2:5">
      <c r="B16" s="5">
        <v>1</v>
      </c>
      <c r="C16" s="6" t="s">
        <v>239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240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241</v>
      </c>
      <c r="D18" s="7">
        <v>0.4</v>
      </c>
      <c r="E18" s="8">
        <v>7000</v>
      </c>
    </row>
    <row r="21" ht="47.25" customHeight="1" spans="2:5">
      <c r="B21" s="1" t="s">
        <v>242</v>
      </c>
      <c r="C21" s="1"/>
      <c r="D21" s="1"/>
      <c r="E21" s="1"/>
    </row>
    <row r="22" ht="21" spans="2:2">
      <c r="B22" s="2"/>
    </row>
    <row r="23" ht="27.75" customHeight="1" spans="2:5">
      <c r="B23" s="3" t="s">
        <v>227</v>
      </c>
      <c r="C23" s="4" t="s">
        <v>243</v>
      </c>
      <c r="D23" s="4" t="s">
        <v>229</v>
      </c>
      <c r="E23" s="4" t="s">
        <v>115</v>
      </c>
    </row>
    <row r="24" ht="29.25" customHeight="1" spans="2:5">
      <c r="B24" s="5">
        <v>1</v>
      </c>
      <c r="C24" s="6" t="s">
        <v>244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245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246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247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248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249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250</v>
      </c>
      <c r="D30" s="7">
        <v>0.45</v>
      </c>
      <c r="E30" s="8">
        <v>15160</v>
      </c>
    </row>
    <row r="35" ht="57" customHeight="1" spans="2:5">
      <c r="B35" s="9" t="s">
        <v>251</v>
      </c>
      <c r="C35" s="9"/>
      <c r="D35" s="9"/>
      <c r="E35" s="9"/>
    </row>
    <row r="36" ht="14.25"/>
    <row r="37" ht="21.75" customHeight="1" spans="2:5">
      <c r="B37" s="3" t="s">
        <v>227</v>
      </c>
      <c r="C37" s="4" t="s">
        <v>252</v>
      </c>
      <c r="D37" s="4" t="s">
        <v>253</v>
      </c>
      <c r="E37" s="4" t="s">
        <v>115</v>
      </c>
    </row>
    <row r="38" ht="21.75" customHeight="1" spans="2:5">
      <c r="B38" s="5">
        <v>1</v>
      </c>
      <c r="C38" s="6" t="s">
        <v>244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245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246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247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248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249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250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F5" sqref="F5"/>
    </sheetView>
  </sheetViews>
  <sheetFormatPr defaultColWidth="9" defaultRowHeight="13.5"/>
  <cols>
    <col min="1" max="2" width="9" style="155"/>
    <col min="3" max="3" width="10.725" style="155" customWidth="1"/>
    <col min="4" max="4" width="16.725" style="155" customWidth="1"/>
    <col min="5" max="5" width="11.725" style="155" customWidth="1"/>
    <col min="6" max="6" width="9" style="155"/>
    <col min="7" max="7" width="10.725" style="155" customWidth="1"/>
    <col min="8" max="12" width="9" style="155"/>
    <col min="13" max="13" width="9.45" style="155" customWidth="1"/>
    <col min="14" max="14" width="16.45" style="155" customWidth="1"/>
    <col min="15" max="16384" width="9" style="155"/>
  </cols>
  <sheetData>
    <row r="1" ht="25.5" spans="1:14">
      <c r="A1" s="156" t="s">
        <v>67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ht="14.25" spans="1:14">
      <c r="A2" s="157"/>
      <c r="B2" s="158"/>
      <c r="C2" s="158"/>
      <c r="D2" s="159"/>
      <c r="E2" s="159"/>
      <c r="F2" s="159"/>
      <c r="G2" s="157"/>
      <c r="H2" s="157"/>
      <c r="I2" s="157"/>
      <c r="J2" s="159"/>
      <c r="K2" s="159"/>
      <c r="L2" s="159"/>
      <c r="M2" s="159"/>
      <c r="N2" s="159"/>
    </row>
    <row r="3" spans="1:14">
      <c r="A3" s="160"/>
      <c r="B3" s="161"/>
      <c r="C3" s="162"/>
      <c r="D3" s="163"/>
      <c r="E3" s="164"/>
      <c r="F3" s="164"/>
      <c r="G3" s="165"/>
      <c r="H3" s="166"/>
      <c r="I3" s="161"/>
      <c r="J3" s="162"/>
      <c r="K3" s="163"/>
      <c r="L3" s="234"/>
      <c r="M3" s="159"/>
      <c r="N3" s="159"/>
    </row>
    <row r="4" spans="1:14">
      <c r="A4" s="160"/>
      <c r="B4" s="167" t="s">
        <v>68</v>
      </c>
      <c r="C4" s="167"/>
      <c r="D4" s="167"/>
      <c r="E4" s="167"/>
      <c r="F4" s="168"/>
      <c r="G4" s="167"/>
      <c r="H4" s="166"/>
      <c r="K4" s="159"/>
      <c r="L4" s="235"/>
      <c r="M4" s="236"/>
      <c r="N4" s="159"/>
    </row>
    <row r="5" spans="1:14">
      <c r="A5" s="169"/>
      <c r="B5" s="170" t="s">
        <v>69</v>
      </c>
      <c r="C5" s="163"/>
      <c r="D5" s="163"/>
      <c r="E5" s="163"/>
      <c r="F5" s="163"/>
      <c r="G5" s="163"/>
      <c r="H5" s="171"/>
      <c r="I5" s="166"/>
      <c r="J5" s="161"/>
      <c r="K5" s="162"/>
      <c r="L5" s="234"/>
      <c r="M5" s="159"/>
      <c r="N5" s="159"/>
    </row>
    <row r="6" ht="9.75" customHeight="1" spans="1:14">
      <c r="A6" s="172"/>
      <c r="B6" s="172"/>
      <c r="C6" s="172"/>
      <c r="D6" s="172"/>
      <c r="E6" s="172"/>
      <c r="F6" s="172"/>
      <c r="G6" s="172"/>
      <c r="H6" s="172"/>
      <c r="I6" s="237"/>
      <c r="J6" s="237"/>
      <c r="K6" s="238"/>
      <c r="L6" s="238"/>
      <c r="M6" s="238"/>
      <c r="N6" s="238"/>
    </row>
    <row r="7" ht="17.25" spans="1:14">
      <c r="A7" s="172"/>
      <c r="B7" s="173" t="s">
        <v>70</v>
      </c>
      <c r="C7" s="174"/>
      <c r="D7" s="174"/>
      <c r="E7" s="174"/>
      <c r="F7" s="174"/>
      <c r="G7" s="174"/>
      <c r="H7" s="174"/>
      <c r="I7" s="239" t="s">
        <v>71</v>
      </c>
      <c r="J7" s="239"/>
      <c r="K7" s="240" t="s">
        <v>47</v>
      </c>
      <c r="L7" s="240"/>
      <c r="M7" s="240"/>
      <c r="N7" s="241"/>
    </row>
    <row r="8" ht="17.25" spans="1:14">
      <c r="A8" s="172"/>
      <c r="B8" s="175" t="s">
        <v>72</v>
      </c>
      <c r="C8" s="176"/>
      <c r="D8" s="176"/>
      <c r="E8" s="177">
        <f>D10</f>
        <v>105530</v>
      </c>
      <c r="F8" s="178"/>
      <c r="G8" s="178"/>
      <c r="H8" s="179"/>
      <c r="I8" s="242" t="s">
        <v>73</v>
      </c>
      <c r="J8" s="243" t="s">
        <v>74</v>
      </c>
      <c r="K8" s="244" t="s">
        <v>75</v>
      </c>
      <c r="L8" s="244"/>
      <c r="M8" s="244"/>
      <c r="N8" s="245"/>
    </row>
    <row r="9" ht="15.75" spans="1:14">
      <c r="A9" s="172"/>
      <c r="B9" s="180" t="s">
        <v>76</v>
      </c>
      <c r="C9" s="181"/>
      <c r="D9" s="181"/>
      <c r="E9" s="182">
        <f>G24</f>
        <v>105530</v>
      </c>
      <c r="F9" s="183"/>
      <c r="G9" s="183"/>
      <c r="H9" s="184"/>
      <c r="I9" s="244" t="s">
        <v>73</v>
      </c>
      <c r="J9" s="246" t="s">
        <v>77</v>
      </c>
      <c r="K9" s="247" t="s">
        <v>78</v>
      </c>
      <c r="L9" s="247"/>
      <c r="M9" s="247"/>
      <c r="N9" s="248"/>
    </row>
    <row r="10" ht="30.75" spans="1:14">
      <c r="A10" s="172"/>
      <c r="B10" s="185" t="s">
        <v>79</v>
      </c>
      <c r="C10" s="186"/>
      <c r="D10" s="187">
        <f>G24</f>
        <v>105530</v>
      </c>
      <c r="E10" s="188" t="s">
        <v>80</v>
      </c>
      <c r="F10" s="189"/>
      <c r="G10" s="190"/>
      <c r="H10" s="191">
        <v>0</v>
      </c>
      <c r="I10" s="249" t="s">
        <v>73</v>
      </c>
      <c r="J10" s="250" t="s">
        <v>81</v>
      </c>
      <c r="K10" s="251" t="s">
        <v>82</v>
      </c>
      <c r="L10" s="251"/>
      <c r="M10" s="251"/>
      <c r="N10" s="252"/>
    </row>
    <row r="11" ht="14.25" spans="1:14">
      <c r="A11" s="172"/>
      <c r="B11" s="192" t="s">
        <v>83</v>
      </c>
      <c r="C11" s="193"/>
      <c r="D11" s="194"/>
      <c r="E11" s="195" t="s">
        <v>84</v>
      </c>
      <c r="F11" s="196"/>
      <c r="G11" s="197"/>
      <c r="H11" s="198"/>
      <c r="I11" s="253"/>
      <c r="J11" s="254"/>
      <c r="K11" s="253"/>
      <c r="L11" s="253"/>
      <c r="M11" s="253"/>
      <c r="N11" s="255"/>
    </row>
    <row r="12" spans="1:14">
      <c r="A12" s="169"/>
      <c r="B12" s="192" t="s">
        <v>85</v>
      </c>
      <c r="C12" s="193"/>
      <c r="D12" s="194">
        <v>0</v>
      </c>
      <c r="E12" s="195" t="s">
        <v>86</v>
      </c>
      <c r="F12" s="196"/>
      <c r="G12" s="197"/>
      <c r="H12" s="198"/>
      <c r="I12" s="256"/>
      <c r="J12" s="257"/>
      <c r="K12" s="258"/>
      <c r="L12" s="258"/>
      <c r="M12" s="258"/>
      <c r="N12" s="258"/>
    </row>
    <row r="13" ht="14.25" spans="1:14">
      <c r="A13" s="159"/>
      <c r="B13" s="199" t="s">
        <v>87</v>
      </c>
      <c r="C13" s="200"/>
      <c r="D13" s="201">
        <v>0</v>
      </c>
      <c r="E13" s="202"/>
      <c r="F13" s="203"/>
      <c r="G13" s="204"/>
      <c r="H13" s="205"/>
      <c r="I13" s="172"/>
      <c r="J13" s="259"/>
      <c r="K13" s="260"/>
      <c r="L13" s="260"/>
      <c r="M13" s="260"/>
      <c r="N13" s="260"/>
    </row>
    <row r="14" ht="5.25" customHeight="1" spans="1:14">
      <c r="A14" s="206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</row>
    <row r="15" spans="1:14">
      <c r="A15" s="159" t="s">
        <v>88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ht="3" customHeight="1" spans="1:14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ht="18.75" spans="2:13">
      <c r="B17" s="207" t="s">
        <v>0</v>
      </c>
      <c r="C17" s="208" t="s">
        <v>89</v>
      </c>
      <c r="D17" s="208" t="s">
        <v>90</v>
      </c>
      <c r="E17" s="208"/>
      <c r="F17" s="209" t="s">
        <v>91</v>
      </c>
      <c r="G17" s="210" t="s">
        <v>31</v>
      </c>
      <c r="H17" s="211" t="s">
        <v>24</v>
      </c>
      <c r="J17" s="261" t="s">
        <v>92</v>
      </c>
      <c r="K17" s="261"/>
      <c r="L17" s="261"/>
      <c r="M17" s="261"/>
    </row>
    <row r="18" ht="16.5" spans="2:13">
      <c r="B18" s="212">
        <v>1</v>
      </c>
      <c r="C18" s="213" t="s">
        <v>93</v>
      </c>
      <c r="D18" s="214" t="s">
        <v>94</v>
      </c>
      <c r="E18" s="214"/>
      <c r="F18" s="215"/>
      <c r="G18" s="216">
        <f>年终奖!H20</f>
        <v>105530</v>
      </c>
      <c r="H18" s="217"/>
      <c r="J18" s="261"/>
      <c r="K18" s="261"/>
      <c r="L18" s="261"/>
      <c r="M18" s="261"/>
    </row>
    <row r="19" ht="16.5" spans="2:13">
      <c r="B19" s="212">
        <v>2</v>
      </c>
      <c r="C19" s="213"/>
      <c r="D19" s="218" t="s">
        <v>95</v>
      </c>
      <c r="E19" s="219" t="s">
        <v>96</v>
      </c>
      <c r="F19" s="215"/>
      <c r="G19" s="216"/>
      <c r="H19" s="220"/>
      <c r="J19" s="261"/>
      <c r="K19" s="261"/>
      <c r="L19" s="261"/>
      <c r="M19" s="261"/>
    </row>
    <row r="20" ht="16.5" spans="2:13">
      <c r="B20" s="212">
        <v>3</v>
      </c>
      <c r="C20" s="213"/>
      <c r="D20" s="218" t="s">
        <v>97</v>
      </c>
      <c r="E20" s="219" t="s">
        <v>96</v>
      </c>
      <c r="F20" s="215"/>
      <c r="G20" s="216"/>
      <c r="H20" s="220"/>
      <c r="J20" s="261"/>
      <c r="K20" s="261"/>
      <c r="L20" s="261"/>
      <c r="M20" s="261"/>
    </row>
    <row r="21" ht="16.5" spans="2:13">
      <c r="B21" s="212">
        <v>4</v>
      </c>
      <c r="C21" s="213"/>
      <c r="D21" s="221" t="s">
        <v>38</v>
      </c>
      <c r="E21" s="221"/>
      <c r="F21" s="215"/>
      <c r="G21" s="222">
        <f>G18+G19+G20</f>
        <v>105530</v>
      </c>
      <c r="H21" s="223"/>
      <c r="J21" s="261"/>
      <c r="K21" s="261"/>
      <c r="L21" s="261"/>
      <c r="M21" s="261"/>
    </row>
    <row r="22" ht="16.5" spans="2:13">
      <c r="B22" s="212">
        <v>5</v>
      </c>
      <c r="C22" s="213" t="s">
        <v>98</v>
      </c>
      <c r="D22" s="221" t="s">
        <v>99</v>
      </c>
      <c r="E22" s="221"/>
      <c r="F22" s="215"/>
      <c r="G22" s="222"/>
      <c r="H22" s="217"/>
      <c r="J22" s="261"/>
      <c r="K22" s="261"/>
      <c r="L22" s="261"/>
      <c r="M22" s="261"/>
    </row>
    <row r="23" ht="18" customHeight="1" spans="2:13">
      <c r="B23" s="212">
        <v>6</v>
      </c>
      <c r="C23" s="224" t="s">
        <v>100</v>
      </c>
      <c r="D23" s="225">
        <v>0.056</v>
      </c>
      <c r="E23" s="225"/>
      <c r="F23" s="225"/>
      <c r="G23" s="222"/>
      <c r="H23" s="217"/>
      <c r="J23" s="261"/>
      <c r="K23" s="261"/>
      <c r="L23" s="261"/>
      <c r="M23" s="261"/>
    </row>
    <row r="24" ht="16.5" spans="2:8">
      <c r="B24" s="226" t="s">
        <v>101</v>
      </c>
      <c r="C24" s="227"/>
      <c r="D24" s="227"/>
      <c r="E24" s="227"/>
      <c r="F24" s="227"/>
      <c r="G24" s="228">
        <f>G21+G22</f>
        <v>105530</v>
      </c>
      <c r="H24" s="229"/>
    </row>
    <row r="25" ht="16" customHeight="1" spans="2:8">
      <c r="B25" s="230" t="s">
        <v>102</v>
      </c>
      <c r="C25" s="231"/>
      <c r="D25" s="231"/>
      <c r="E25" s="231"/>
      <c r="F25" s="231"/>
      <c r="G25" s="232">
        <f>G24</f>
        <v>105530</v>
      </c>
      <c r="H25" s="233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opLeftCell="C1" workbookViewId="0">
      <selection activeCell="M16" sqref="M16:N16"/>
    </sheetView>
  </sheetViews>
  <sheetFormatPr defaultColWidth="9" defaultRowHeight="13.5"/>
  <cols>
    <col min="1" max="1" width="5.25" customWidth="1"/>
    <col min="2" max="2" width="11.375" customWidth="1"/>
    <col min="3" max="3" width="22.125" customWidth="1"/>
    <col min="4" max="4" width="8.5" customWidth="1"/>
    <col min="5" max="5" width="10.375"/>
    <col min="6" max="6" width="26.25" style="131" customWidth="1"/>
    <col min="7" max="7" width="12.625" style="131" customWidth="1"/>
    <col min="8" max="8" width="11.875" style="131" customWidth="1"/>
    <col min="9" max="9" width="12.625"/>
    <col min="10" max="10" width="12.625" style="132" customWidth="1"/>
    <col min="13" max="13" width="9.375"/>
    <col min="14" max="14" width="10.375"/>
    <col min="15" max="15" width="17.25" customWidth="1"/>
    <col min="16" max="16" width="11.75" customWidth="1"/>
  </cols>
  <sheetData>
    <row r="1" customFormat="1" ht="18.75" spans="1:10">
      <c r="A1" s="133" t="s">
        <v>103</v>
      </c>
      <c r="F1" s="131"/>
      <c r="G1" s="131"/>
      <c r="H1" s="131"/>
      <c r="J1" s="132"/>
    </row>
    <row r="2" customFormat="1" spans="1:10">
      <c r="A2" s="134" t="s">
        <v>104</v>
      </c>
      <c r="B2" s="135">
        <v>44927</v>
      </c>
      <c r="F2" s="131"/>
      <c r="G2" s="131"/>
      <c r="H2" s="131"/>
      <c r="J2" s="132"/>
    </row>
    <row r="3" s="130" customFormat="1" ht="27" spans="1:17">
      <c r="A3" s="136" t="s">
        <v>0</v>
      </c>
      <c r="B3" s="136" t="s">
        <v>105</v>
      </c>
      <c r="C3" s="136" t="s">
        <v>106</v>
      </c>
      <c r="D3" s="137" t="s">
        <v>107</v>
      </c>
      <c r="E3" s="137" t="s">
        <v>108</v>
      </c>
      <c r="F3" s="138" t="s">
        <v>109</v>
      </c>
      <c r="G3" s="138" t="s">
        <v>110</v>
      </c>
      <c r="H3" s="139" t="s">
        <v>111</v>
      </c>
      <c r="I3" s="136" t="s">
        <v>112</v>
      </c>
      <c r="J3" s="146" t="s">
        <v>113</v>
      </c>
      <c r="K3" s="136" t="s">
        <v>114</v>
      </c>
      <c r="L3" s="136" t="s">
        <v>115</v>
      </c>
      <c r="M3" s="136" t="s">
        <v>116</v>
      </c>
      <c r="N3" s="147" t="s">
        <v>117</v>
      </c>
      <c r="O3" s="148" t="s">
        <v>24</v>
      </c>
      <c r="P3" s="148" t="s">
        <v>118</v>
      </c>
      <c r="Q3" s="154"/>
    </row>
    <row r="4" customFormat="1" spans="3:16">
      <c r="C4" s="140" t="s">
        <v>119</v>
      </c>
      <c r="D4" t="s">
        <v>61</v>
      </c>
      <c r="E4" s="141" t="s">
        <v>120</v>
      </c>
      <c r="F4" s="142" t="s">
        <v>62</v>
      </c>
      <c r="G4" s="142">
        <v>13944441728</v>
      </c>
      <c r="H4" s="131"/>
      <c r="I4" s="149">
        <v>8000</v>
      </c>
      <c r="J4" s="150">
        <f t="shared" ref="J4:J14" si="0">I4/12</f>
        <v>666.666666666667</v>
      </c>
      <c r="K4" s="151">
        <f t="shared" ref="K4:K14" si="1">(ROUND(IF(J4&lt;=0,0%,IF(J4&lt;=3000,3%,IF(J4&lt;=12000,10%,IF(J4&lt;=25000,20%,IF(J4&lt;=35000,25%,0))))),2)+ROUND(IF(J4&gt;35000,IF(J4&lt;=55000,30%,IF(J4&lt;=80000,35%,45%))),2))*100</f>
        <v>3</v>
      </c>
      <c r="L4" s="151">
        <f t="shared" ref="L4:L14" si="2">IF(K4&lt;10,0,IF(K4=10,210,IF(K4=20,1410,IF(K4=25,2660,IF(K4=30,4410,IF(K4=35,7160,IF(K4=45,,1160)))))))</f>
        <v>0</v>
      </c>
      <c r="M4" s="151">
        <f t="shared" ref="M4:M14" si="3">ROUND(I4*K4*0.01-L4,2)</f>
        <v>240</v>
      </c>
      <c r="N4" s="152">
        <f t="shared" ref="N4:N14" si="4">I4-M4</f>
        <v>7760</v>
      </c>
      <c r="P4" s="153"/>
    </row>
    <row r="5" customFormat="1" spans="3:16">
      <c r="C5" s="140" t="s">
        <v>119</v>
      </c>
      <c r="D5" t="s">
        <v>121</v>
      </c>
      <c r="E5" s="141" t="s">
        <v>120</v>
      </c>
      <c r="F5" s="351" t="s">
        <v>122</v>
      </c>
      <c r="G5" s="142">
        <v>15360550807</v>
      </c>
      <c r="H5" s="131"/>
      <c r="I5" s="149">
        <v>4880</v>
      </c>
      <c r="J5" s="150">
        <f t="shared" si="0"/>
        <v>406.666666666667</v>
      </c>
      <c r="K5" s="151">
        <f t="shared" si="1"/>
        <v>3</v>
      </c>
      <c r="L5" s="151">
        <f t="shared" si="2"/>
        <v>0</v>
      </c>
      <c r="M5" s="151">
        <f t="shared" si="3"/>
        <v>146.4</v>
      </c>
      <c r="N5" s="152">
        <f t="shared" si="4"/>
        <v>4733.6</v>
      </c>
      <c r="P5" s="153"/>
    </row>
    <row r="6" customFormat="1" spans="3:16">
      <c r="C6" s="140" t="s">
        <v>119</v>
      </c>
      <c r="D6" t="s">
        <v>123</v>
      </c>
      <c r="E6" s="141" t="s">
        <v>120</v>
      </c>
      <c r="F6" s="351" t="s">
        <v>124</v>
      </c>
      <c r="G6" s="142" t="s">
        <v>125</v>
      </c>
      <c r="H6" s="131"/>
      <c r="I6" s="149">
        <v>24000</v>
      </c>
      <c r="J6" s="150">
        <f t="shared" si="0"/>
        <v>2000</v>
      </c>
      <c r="K6" s="151">
        <f t="shared" si="1"/>
        <v>3</v>
      </c>
      <c r="L6" s="151">
        <f t="shared" si="2"/>
        <v>0</v>
      </c>
      <c r="M6" s="151">
        <f t="shared" si="3"/>
        <v>720</v>
      </c>
      <c r="N6" s="152">
        <f t="shared" si="4"/>
        <v>23280</v>
      </c>
      <c r="P6" s="153"/>
    </row>
    <row r="7" customFormat="1" spans="3:16">
      <c r="C7" s="140" t="s">
        <v>119</v>
      </c>
      <c r="D7" t="s">
        <v>126</v>
      </c>
      <c r="E7" s="141" t="s">
        <v>120</v>
      </c>
      <c r="F7" s="351" t="s">
        <v>127</v>
      </c>
      <c r="G7" s="142" t="s">
        <v>128</v>
      </c>
      <c r="H7" s="131"/>
      <c r="I7" s="149">
        <v>7200</v>
      </c>
      <c r="J7" s="150">
        <f t="shared" si="0"/>
        <v>600</v>
      </c>
      <c r="K7" s="151">
        <f t="shared" si="1"/>
        <v>3</v>
      </c>
      <c r="L7" s="151">
        <f t="shared" si="2"/>
        <v>0</v>
      </c>
      <c r="M7" s="151">
        <f t="shared" si="3"/>
        <v>216</v>
      </c>
      <c r="N7" s="152">
        <f t="shared" si="4"/>
        <v>6984</v>
      </c>
      <c r="P7" s="153"/>
    </row>
    <row r="8" customFormat="1" spans="3:16">
      <c r="C8" s="140" t="s">
        <v>119</v>
      </c>
      <c r="D8" t="s">
        <v>129</v>
      </c>
      <c r="E8" s="141" t="s">
        <v>120</v>
      </c>
      <c r="F8" s="351" t="s">
        <v>130</v>
      </c>
      <c r="G8" s="142">
        <v>19356875630</v>
      </c>
      <c r="H8" s="131"/>
      <c r="I8" s="149">
        <v>5250</v>
      </c>
      <c r="J8" s="150">
        <f t="shared" si="0"/>
        <v>437.5</v>
      </c>
      <c r="K8" s="151">
        <f t="shared" si="1"/>
        <v>3</v>
      </c>
      <c r="L8" s="151">
        <f t="shared" si="2"/>
        <v>0</v>
      </c>
      <c r="M8" s="151">
        <f t="shared" si="3"/>
        <v>157.5</v>
      </c>
      <c r="N8" s="152">
        <f t="shared" si="4"/>
        <v>5092.5</v>
      </c>
      <c r="P8" s="153"/>
    </row>
    <row r="9" customFormat="1" spans="3:16">
      <c r="C9" s="140" t="s">
        <v>119</v>
      </c>
      <c r="D9" t="s">
        <v>131</v>
      </c>
      <c r="E9" s="141" t="s">
        <v>120</v>
      </c>
      <c r="F9" s="351" t="s">
        <v>132</v>
      </c>
      <c r="G9" s="142">
        <v>13973652684</v>
      </c>
      <c r="H9" s="131"/>
      <c r="I9" s="149">
        <v>3250</v>
      </c>
      <c r="J9" s="150">
        <f t="shared" si="0"/>
        <v>270.833333333333</v>
      </c>
      <c r="K9" s="151">
        <f t="shared" si="1"/>
        <v>3</v>
      </c>
      <c r="L9" s="151">
        <f t="shared" si="2"/>
        <v>0</v>
      </c>
      <c r="M9" s="151">
        <f t="shared" si="3"/>
        <v>97.5</v>
      </c>
      <c r="N9" s="152">
        <f t="shared" si="4"/>
        <v>3152.5</v>
      </c>
      <c r="P9" s="153"/>
    </row>
    <row r="10" customFormat="1" spans="3:16">
      <c r="C10" s="140" t="s">
        <v>119</v>
      </c>
      <c r="D10" t="s">
        <v>133</v>
      </c>
      <c r="E10" s="141" t="s">
        <v>120</v>
      </c>
      <c r="F10" s="351" t="s">
        <v>134</v>
      </c>
      <c r="G10" s="142">
        <v>18356553626</v>
      </c>
      <c r="H10" s="131"/>
      <c r="I10" s="149">
        <v>7200</v>
      </c>
      <c r="J10" s="150">
        <f>I10/12</f>
        <v>600</v>
      </c>
      <c r="K10" s="151">
        <f>(ROUND(IF(J10&lt;=0,0%,IF(J10&lt;=3000,3%,IF(J10&lt;=12000,10%,IF(J10&lt;=25000,20%,IF(J10&lt;=35000,25%,0))))),2)+ROUND(IF(J10&gt;35000,IF(J10&lt;=55000,30%,IF(J10&lt;=80000,35%,45%))),2))*100</f>
        <v>3</v>
      </c>
      <c r="L10" s="151">
        <f>IF(K10&lt;10,0,IF(K10=10,210,IF(K10=20,1410,IF(K10=25,2660,IF(K10=30,4410,IF(K10=35,7160,IF(K10=45,,1160)))))))</f>
        <v>0</v>
      </c>
      <c r="M10" s="151">
        <f>ROUND(I10*K10*0.01-L10,2)</f>
        <v>216</v>
      </c>
      <c r="N10" s="152">
        <f>I10-M10</f>
        <v>6984</v>
      </c>
      <c r="P10" s="153"/>
    </row>
    <row r="11" customFormat="1" spans="3:16">
      <c r="C11" s="140" t="s">
        <v>119</v>
      </c>
      <c r="D11" t="s">
        <v>135</v>
      </c>
      <c r="E11" s="141" t="s">
        <v>120</v>
      </c>
      <c r="F11" s="351" t="s">
        <v>136</v>
      </c>
      <c r="G11" s="142">
        <v>18326897140</v>
      </c>
      <c r="H11" s="131"/>
      <c r="I11" s="149">
        <v>3750</v>
      </c>
      <c r="J11" s="150">
        <f>I11/12</f>
        <v>312.5</v>
      </c>
      <c r="K11" s="151">
        <f>(ROUND(IF(J11&lt;=0,0%,IF(J11&lt;=3000,3%,IF(J11&lt;=12000,10%,IF(J11&lt;=25000,20%,IF(J11&lt;=35000,25%,0))))),2)+ROUND(IF(J11&gt;35000,IF(J11&lt;=55000,30%,IF(J11&lt;=80000,35%,45%))),2))*100</f>
        <v>3</v>
      </c>
      <c r="L11" s="151">
        <f>IF(K11&lt;10,0,IF(K11=10,210,IF(K11=20,1410,IF(K11=25,2660,IF(K11=30,4410,IF(K11=35,7160,IF(K11=45,,1160)))))))</f>
        <v>0</v>
      </c>
      <c r="M11" s="151">
        <f>ROUND(I11*K11*0.01-L11,2)</f>
        <v>112.5</v>
      </c>
      <c r="N11" s="152">
        <f>I11-M11</f>
        <v>3637.5</v>
      </c>
      <c r="P11" s="153"/>
    </row>
    <row r="12" customFormat="1" spans="3:16">
      <c r="C12" s="140" t="s">
        <v>119</v>
      </c>
      <c r="D12" t="s">
        <v>137</v>
      </c>
      <c r="E12" s="141" t="s">
        <v>120</v>
      </c>
      <c r="F12" s="351" t="s">
        <v>138</v>
      </c>
      <c r="G12" s="142">
        <v>17201857014</v>
      </c>
      <c r="H12" s="131"/>
      <c r="I12" s="149">
        <v>16000</v>
      </c>
      <c r="J12" s="150">
        <f>I12/12</f>
        <v>1333.33333333333</v>
      </c>
      <c r="K12" s="151">
        <f>(ROUND(IF(J12&lt;=0,0%,IF(J12&lt;=3000,3%,IF(J12&lt;=12000,10%,IF(J12&lt;=25000,20%,IF(J12&lt;=35000,25%,0))))),2)+ROUND(IF(J12&gt;35000,IF(J12&lt;=55000,30%,IF(J12&lt;=80000,35%,45%))),2))*100</f>
        <v>3</v>
      </c>
      <c r="L12" s="151">
        <f>IF(K12&lt;10,0,IF(K12=10,210,IF(K12=20,1410,IF(K12=25,2660,IF(K12=30,4410,IF(K12=35,7160,IF(K12=45,,1160)))))))</f>
        <v>0</v>
      </c>
      <c r="M12" s="151">
        <f>ROUND(I12*K12*0.01-L12,2)</f>
        <v>480</v>
      </c>
      <c r="N12" s="152">
        <f>I12-M12</f>
        <v>15520</v>
      </c>
      <c r="P12" s="153"/>
    </row>
    <row r="13" customFormat="1" spans="3:16">
      <c r="C13" s="140" t="s">
        <v>119</v>
      </c>
      <c r="D13" t="s">
        <v>139</v>
      </c>
      <c r="E13" s="141" t="s">
        <v>120</v>
      </c>
      <c r="F13" s="351" t="s">
        <v>140</v>
      </c>
      <c r="G13" s="142"/>
      <c r="H13" s="131"/>
      <c r="I13" s="149">
        <v>6000</v>
      </c>
      <c r="J13" s="150">
        <f>I13/12</f>
        <v>500</v>
      </c>
      <c r="K13" s="151">
        <f>(ROUND(IF(J13&lt;=0,0%,IF(J13&lt;=3000,3%,IF(J13&lt;=12000,10%,IF(J13&lt;=25000,20%,IF(J13&lt;=35000,25%,0))))),2)+ROUND(IF(J13&gt;35000,IF(J13&lt;=55000,30%,IF(J13&lt;=80000,35%,45%))),2))*100</f>
        <v>3</v>
      </c>
      <c r="L13" s="151">
        <f>IF(K13&lt;10,0,IF(K13=10,210,IF(K13=20,1410,IF(K13=25,2660,IF(K13=30,4410,IF(K13=35,7160,IF(K13=45,,1160)))))))</f>
        <v>0</v>
      </c>
      <c r="M13" s="151">
        <f>ROUND(I13*K13*0.01-L13,2)</f>
        <v>180</v>
      </c>
      <c r="N13" s="152">
        <f>I13-M13</f>
        <v>5820</v>
      </c>
      <c r="P13" s="153"/>
    </row>
    <row r="14" customFormat="1" spans="3:16">
      <c r="C14" s="140" t="s">
        <v>119</v>
      </c>
      <c r="D14" t="s">
        <v>141</v>
      </c>
      <c r="E14" s="141" t="s">
        <v>120</v>
      </c>
      <c r="F14" s="351" t="s">
        <v>142</v>
      </c>
      <c r="G14" s="142">
        <v>15056587375</v>
      </c>
      <c r="H14" s="131"/>
      <c r="I14" s="149">
        <v>20000</v>
      </c>
      <c r="J14" s="150">
        <f>I14/12</f>
        <v>1666.66666666667</v>
      </c>
      <c r="K14" s="151">
        <f>(ROUND(IF(J14&lt;=0,0%,IF(J14&lt;=3000,3%,IF(J14&lt;=12000,10%,IF(J14&lt;=25000,20%,IF(J14&lt;=35000,25%,0))))),2)+ROUND(IF(J14&gt;35000,IF(J14&lt;=55000,30%,IF(J14&lt;=80000,35%,45%))),2))*100</f>
        <v>3</v>
      </c>
      <c r="L14" s="151">
        <f>IF(K14&lt;10,0,IF(K14=10,210,IF(K14=20,1410,IF(K14=25,2660,IF(K14=30,4410,IF(K14=35,7160,IF(K14=45,,1160)))))))</f>
        <v>0</v>
      </c>
      <c r="M14" s="151">
        <f>ROUND(I14*K14*0.01-L14,2)</f>
        <v>600</v>
      </c>
      <c r="N14" s="152">
        <f>I14-M14</f>
        <v>19400</v>
      </c>
      <c r="P14" s="153"/>
    </row>
    <row r="15" customFormat="1" spans="3:16">
      <c r="C15" s="140"/>
      <c r="E15" s="141"/>
      <c r="F15" s="131"/>
      <c r="G15" s="131"/>
      <c r="H15" s="131"/>
      <c r="I15" s="149"/>
      <c r="J15" s="150"/>
      <c r="K15" s="151"/>
      <c r="L15" s="151"/>
      <c r="M15" s="151"/>
      <c r="N15" s="152"/>
      <c r="P15" s="153"/>
    </row>
    <row r="16" customFormat="1" spans="2:16">
      <c r="B16" s="143" t="s">
        <v>143</v>
      </c>
      <c r="C16" s="144"/>
      <c r="D16" s="144"/>
      <c r="E16" s="144"/>
      <c r="F16" s="145"/>
      <c r="G16" s="145"/>
      <c r="H16" s="145"/>
      <c r="I16" s="144">
        <f t="shared" ref="I16:N16" si="5">SUM(I4:I15)</f>
        <v>105530</v>
      </c>
      <c r="J16" s="144">
        <f t="shared" si="5"/>
        <v>8794.16666666667</v>
      </c>
      <c r="K16" s="144">
        <f t="shared" si="5"/>
        <v>33</v>
      </c>
      <c r="L16" s="144">
        <f t="shared" si="5"/>
        <v>0</v>
      </c>
      <c r="M16" s="144">
        <f t="shared" si="5"/>
        <v>3165.9</v>
      </c>
      <c r="N16" s="144">
        <f t="shared" si="5"/>
        <v>102364.1</v>
      </c>
      <c r="O16" s="143"/>
      <c r="P16" s="143"/>
    </row>
    <row r="19" customFormat="1" spans="5:10">
      <c r="E19" s="47" t="s">
        <v>144</v>
      </c>
      <c r="F19" s="47" t="s">
        <v>145</v>
      </c>
      <c r="G19" s="47" t="s">
        <v>22</v>
      </c>
      <c r="H19" s="47" t="s">
        <v>23</v>
      </c>
      <c r="J19" s="132"/>
    </row>
    <row r="20" customFormat="1" spans="5:10">
      <c r="E20" s="48">
        <f>N16</f>
        <v>102364.1</v>
      </c>
      <c r="F20" s="48">
        <f>M16</f>
        <v>3165.9</v>
      </c>
      <c r="G20" s="48">
        <f>AN15</f>
        <v>0</v>
      </c>
      <c r="H20" s="48">
        <f>E20+F20+G20</f>
        <v>105530</v>
      </c>
      <c r="J20" s="132"/>
    </row>
  </sheetData>
  <conditionalFormatting sqref="F1:F3">
    <cfRule type="duplicateValues" dxfId="4" priority="6"/>
  </conditionalFormatting>
  <conditionalFormatting sqref="F19:F20">
    <cfRule type="duplicateValues" dxfId="4" priority="1" stopIfTrue="1"/>
    <cfRule type="expression" dxfId="5" priority="2" stopIfTrue="1">
      <formula>AND(COUNTIF($B$15:$B$65442,F19)+COUNTIF($B$1:$B$3,F19)&gt;1,NOT(ISBLANK(F19)))</formula>
    </cfRule>
    <cfRule type="expression" dxfId="5" priority="3" stopIfTrue="1">
      <formula>AND(COUNTIF($B$19:$B$65393,F19)+COUNTIF($B$1:$B$18,F19)&gt;1,NOT(ISBLANK(F19)))</formula>
    </cfRule>
    <cfRule type="expression" dxfId="5" priority="4" stopIfTrue="1">
      <formula>AND(COUNTIF($B$15:$B$65431,F19)+COUNTIF($B$1:$B$3,F19)&gt;1,NOT(ISBLANK(F19)))</formula>
    </cfRule>
  </conditionalFormatting>
  <conditionalFormatting sqref="G1:G3">
    <cfRule type="duplicateValues" dxfId="6" priority="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48000</v>
      </c>
      <c r="T4" s="91">
        <f>5000+IFERROR(VLOOKUP($E:$E,'（居民）工资表-6月'!$E:$T,16,0),0)</f>
        <v>30000</v>
      </c>
      <c r="U4" s="91">
        <f>Q4+IFERROR(VLOOKUP($E:$E,'（居民）工资表-6月'!$E:$U,17,0),0)</f>
        <v>3564.53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-2364.53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360.73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186</v>
      </c>
      <c r="AN4" s="12" t="s">
        <v>51</v>
      </c>
    </row>
    <row r="5" s="12" customFormat="1" ht="18" customHeight="1" spans="1:40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35460</v>
      </c>
      <c r="T5" s="91">
        <f>5000+IFERROR(VLOOKUP($E:$E,'（居民）工资表-6月'!$E:$T,16,0),0)</f>
        <v>30000</v>
      </c>
      <c r="U5" s="91">
        <f>Q5+IFERROR(VLOOKUP($E:$E,'（居民）工资表-6月'!$E:$U,17,0),0)</f>
        <v>4124.88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-5664.88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26.92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180360</v>
      </c>
      <c r="T6" s="91">
        <f>5000+IFERROR(VLOOKUP($E:$E,'（居民）工资表-6月'!$E:$T,16,0),0)</f>
        <v>30000</v>
      </c>
      <c r="U6" s="91">
        <f>Q6+IFERROR(VLOOKUP($E:$E,'（居民）工资表-6月'!$E:$U,17,0),0)</f>
        <v>5706.07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134153.93</v>
      </c>
      <c r="AE6" s="96">
        <f>ROUND(MAX((AD6)*{0.03;0.1;0.2;0.25;0.3;0.35;0.45}-{0;2520;16920;31920;52920;85920;181920},0),2)</f>
        <v>10895.39</v>
      </c>
      <c r="AF6" s="97">
        <f>IFERROR(VLOOKUP(E:E,'（居民）工资表-6月'!E:AF,28,0)+VLOOKUP(E:E,'（居民）工资表-6月'!E:AG,29,0),0)</f>
        <v>9534.25</v>
      </c>
      <c r="AG6" s="97">
        <f>IF((AE6-AF6)&lt;0,0,AE6-AF6)</f>
        <v>1361.14</v>
      </c>
      <c r="AH6" s="107">
        <f>ROUND(IF((L6-Q6-AG6)&lt;0,0,(L6-Q6-AG6)),2)</f>
        <v>27750.31</v>
      </c>
      <c r="AI6" s="108"/>
      <c r="AJ6" s="107">
        <f>AH6+AI6</f>
        <v>27750.31</v>
      </c>
      <c r="AK6" s="109"/>
      <c r="AL6" s="107">
        <f>AJ6+AG6+AK6</f>
        <v>29111.45</v>
      </c>
      <c r="AM6" s="12" t="s">
        <v>188</v>
      </c>
      <c r="AN6" s="12" t="s">
        <v>189</v>
      </c>
    </row>
    <row r="7" s="12" customFormat="1" ht="18" customHeight="1" spans="1:40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54000</v>
      </c>
      <c r="T7" s="91">
        <f>5000+IFERROR(VLOOKUP($E:$E,'（居民）工资表-6月'!$E:$T,16,0),0)</f>
        <v>30000</v>
      </c>
      <c r="U7" s="91">
        <f>Q7+IFERROR(VLOOKUP($E:$E,'（居民）工资表-6月'!$E:$U,17,0),0)</f>
        <v>3188.55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15811.45</v>
      </c>
      <c r="AE7" s="96">
        <f>ROUND(MAX((AD7)*{0.03;0.1;0.2;0.25;0.3;0.35;0.45}-{0;2520;16920;31920;52920;85920;181920},0),2)</f>
        <v>474.34</v>
      </c>
      <c r="AF7" s="97">
        <f>IFERROR(VLOOKUP(E:E,'（居民）工资表-6月'!E:AF,28,0)+VLOOKUP(E:E,'（居民）工资表-6月'!E:AG,29,0),0)</f>
        <v>460.17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190</v>
      </c>
      <c r="AN7" s="12" t="s">
        <v>51</v>
      </c>
    </row>
    <row r="8" s="12" customFormat="1" ht="18" customHeight="1" spans="1:40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65000</v>
      </c>
      <c r="T8" s="91">
        <f>5000+IFERROR(VLOOKUP($E:$E,'（居民）工资表-6月'!$E:$T,16,0),0)</f>
        <v>30000</v>
      </c>
      <c r="U8" s="91">
        <f>Q8+IFERROR(VLOOKUP($E:$E,'（居民）工资表-6月'!$E:$U,17,0),0)</f>
        <v>4653.84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30346.16</v>
      </c>
      <c r="AE8" s="96">
        <f>ROUND(MAX((AD8)*{0.03;0.1;0.2;0.25;0.3;0.35;0.45}-{0;2520;16920;31920;52920;85920;181920},0),2)</f>
        <v>910.38</v>
      </c>
      <c r="AF8" s="97">
        <f>IFERROR(VLOOKUP(E:E,'（居民）工资表-6月'!E:AF,28,0)+VLOOKUP(E:E,'（居民）工资表-6月'!E:AG,29,0),0)</f>
        <v>708.54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190</v>
      </c>
      <c r="AN8" s="12" t="s">
        <v>51</v>
      </c>
    </row>
    <row r="9" s="12" customFormat="1" ht="18" customHeight="1" spans="1:40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39000</v>
      </c>
      <c r="T9" s="91">
        <f>5000+IFERROR(VLOOKUP($E:$E,'（居民）工资表-6月'!$E:$T,16,0),0)</f>
        <v>30000</v>
      </c>
      <c r="U9" s="91">
        <f>Q9+IFERROR(VLOOKUP($E:$E,'（居民）工资表-6月'!$E:$U,17,0),0)</f>
        <v>3163.78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5836.22</v>
      </c>
      <c r="AE9" s="96">
        <f>ROUND(MAX((AD9)*{0.03;0.1;0.2;0.25;0.3;0.35;0.45}-{0;2520;16920;31920;52920;85920;181920},0),2)</f>
        <v>175.09</v>
      </c>
      <c r="AF9" s="97">
        <f>IFERROR(VLOOKUP(E:E,'（居民）工资表-6月'!E:AF,28,0)+VLOOKUP(E:E,'（居民）工资表-6月'!E:AG,29,0),0)</f>
        <v>145.89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191</v>
      </c>
      <c r="AN9" s="12" t="s">
        <v>51</v>
      </c>
    </row>
    <row r="10" s="12" customFormat="1" ht="18" customHeight="1" spans="1:40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27052.1</v>
      </c>
      <c r="T10" s="91">
        <f>5000+IFERROR(VLOOKUP($E:$E,'（居民）工资表-6月'!$E:$T,16,0),0)</f>
        <v>30000</v>
      </c>
      <c r="U10" s="91">
        <f>Q10+IFERROR(VLOOKUP($E:$E,'（居民）工资表-6月'!$E:$U,17,0),0)</f>
        <v>3813.67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-6761.57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195</v>
      </c>
      <c r="AN10" s="12" t="s">
        <v>196</v>
      </c>
    </row>
    <row r="11" s="12" customFormat="1" ht="18" customHeight="1" spans="1:40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52500</v>
      </c>
      <c r="T11" s="91">
        <f>5000+IFERROR(VLOOKUP($E:$E,'（居民）工资表-6月'!$E:$T,16,0),0)</f>
        <v>30000</v>
      </c>
      <c r="U11" s="91">
        <f>Q11+IFERROR(VLOOKUP($E:$E,'（居民）工资表-6月'!$E:$U,17,0),0)</f>
        <v>3375.84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19124.16</v>
      </c>
      <c r="AE11" s="96">
        <f>ROUND(MAX((AD11)*{0.03;0.1;0.2;0.25;0.3;0.35;0.45}-{0;2520;16920;31920;52920;85920;181920},0),2)</f>
        <v>573.72</v>
      </c>
      <c r="AF11" s="97">
        <f>IFERROR(VLOOKUP(E:E,'（居民）工资表-6月'!E:AF,28,0)+VLOOKUP(E:E,'（居民）工资表-6月'!E:AG,29,0),0)</f>
        <v>455.49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197</v>
      </c>
      <c r="AN11" s="12" t="s">
        <v>198</v>
      </c>
    </row>
    <row r="12" s="12" customFormat="1" ht="18" customHeight="1" spans="1:40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43500</v>
      </c>
      <c r="T12" s="91">
        <f>5000+IFERROR(VLOOKUP($E:$E,'（居民）工资表-6月'!$E:$T,16,0),0)</f>
        <v>30000</v>
      </c>
      <c r="U12" s="91">
        <f>Q12+IFERROR(VLOOKUP($E:$E,'（居民）工资表-6月'!$E:$U,17,0),0)</f>
        <v>4653.84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8846.16</v>
      </c>
      <c r="AE12" s="96">
        <f>ROUND(MAX((AD12)*{0.03;0.1;0.2;0.25;0.3;0.35;0.45}-{0;2520;16920;31920;52920;85920;181920},0),2)</f>
        <v>265.38</v>
      </c>
      <c r="AF12" s="97">
        <f>IFERROR(VLOOKUP(E:E,'（居民）工资表-6月'!E:AF,28,0)+VLOOKUP(E:E,'（居民）工资表-6月'!E:AG,29,0),0)</f>
        <v>198.54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190</v>
      </c>
      <c r="AN12" s="12" t="s">
        <v>51</v>
      </c>
    </row>
    <row r="13" s="12" customFormat="1" ht="18" customHeight="1" spans="1:40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45000</v>
      </c>
      <c r="T13" s="91">
        <f>5000+IFERROR(VLOOKUP($E:$E,'（居民）工资表-6月'!$E:$T,16,0),0)</f>
        <v>30000</v>
      </c>
      <c r="U13" s="91">
        <f>Q13+IFERROR(VLOOKUP($E:$E,'（居民）工资表-6月'!$E:$U,17,0),0)</f>
        <v>4653.84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10346.16</v>
      </c>
      <c r="AE13" s="96">
        <f>ROUND(MAX((AD13)*{0.03;0.1;0.2;0.25;0.3;0.35;0.45}-{0;2520;16920;31920;52920;85920;181920},0),2)</f>
        <v>310.38</v>
      </c>
      <c r="AF13" s="97">
        <f>IFERROR(VLOOKUP(E:E,'（居民）工资表-6月'!E:AF,28,0)+VLOOKUP(E:E,'（居民）工资表-6月'!E:AG,29,0),0)</f>
        <v>213.54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190</v>
      </c>
      <c r="AN13" s="12" t="s">
        <v>51</v>
      </c>
    </row>
    <row r="14" s="12" customFormat="1" ht="18" customHeight="1" spans="1:40">
      <c r="A14" s="36">
        <v>11</v>
      </c>
      <c r="B14" s="37" t="s">
        <v>184</v>
      </c>
      <c r="C14" s="37" t="s">
        <v>199</v>
      </c>
      <c r="D14" s="37" t="s">
        <v>120</v>
      </c>
      <c r="E14" s="352" t="s">
        <v>200</v>
      </c>
      <c r="F14" s="38" t="s">
        <v>187</v>
      </c>
      <c r="G14" s="39" t="s">
        <v>201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35600</v>
      </c>
      <c r="T14" s="91">
        <f>5000+IFERROR(VLOOKUP($E:$E,'（居民）工资表-6月'!$E:$T,16,0),0)</f>
        <v>25000</v>
      </c>
      <c r="U14" s="91">
        <f>Q14+IFERROR(VLOOKUP($E:$E,'（居民）工资表-6月'!$E:$U,17,0),0)</f>
        <v>2795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7805</v>
      </c>
      <c r="AE14" s="96">
        <f>ROUND(MAX((AD14)*{0.03;0.1;0.2;0.25;0.3;0.35;0.45}-{0;2520;16920;31920;52920;85920;181920},0),2)</f>
        <v>234.15</v>
      </c>
      <c r="AF14" s="97">
        <f>IFERROR(VLOOKUP(E:E,'（居民）工资表-6月'!E:AF,28,0)+VLOOKUP(E:E,'（居民）工资表-6月'!E:AG,29,0),0)</f>
        <v>172.92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190</v>
      </c>
      <c r="AN14" s="12" t="s">
        <v>51</v>
      </c>
    </row>
    <row r="15" s="12" customFormat="1" ht="18" customHeight="1" spans="1:40">
      <c r="A15" s="36">
        <v>12</v>
      </c>
      <c r="B15" s="37" t="s">
        <v>184</v>
      </c>
      <c r="C15" s="37" t="s">
        <v>202</v>
      </c>
      <c r="D15" s="37" t="s">
        <v>120</v>
      </c>
      <c r="E15" s="352" t="s">
        <v>203</v>
      </c>
      <c r="F15" s="38" t="s">
        <v>187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31105.64</v>
      </c>
      <c r="T15" s="91">
        <f>5000+IFERROR(VLOOKUP($E:$E,'（居民）工资表-6月'!$E:$T,16,0),0)</f>
        <v>25000</v>
      </c>
      <c r="U15" s="91">
        <f>Q15+IFERROR(VLOOKUP($E:$E,'（居民）工资表-6月'!$E:$U,17,0),0)</f>
        <v>2638.55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3467.09</v>
      </c>
      <c r="AE15" s="96">
        <f>ROUND(MAX((AD15)*{0.03;0.1;0.2;0.25;0.3;0.35;0.45}-{0;2520;16920;31920;52920;85920;181920},0),2)</f>
        <v>104.01</v>
      </c>
      <c r="AF15" s="97">
        <f>IFERROR(VLOOKUP(E:E,'（居民）工资表-6月'!E:AF,28,0)+VLOOKUP(E:E,'（居民）工资表-6月'!E:AG,29,0),0)</f>
        <v>71.07</v>
      </c>
      <c r="AG15" s="97">
        <f t="shared" si="3"/>
        <v>32.94</v>
      </c>
      <c r="AH15" s="107">
        <f t="shared" si="4"/>
        <v>6064.99</v>
      </c>
      <c r="AI15" s="108"/>
      <c r="AJ15" s="107">
        <f t="shared" si="5"/>
        <v>6064.99</v>
      </c>
      <c r="AK15" s="109"/>
      <c r="AL15" s="107">
        <f t="shared" si="6"/>
        <v>6097.93</v>
      </c>
      <c r="AM15" s="12" t="s">
        <v>190</v>
      </c>
      <c r="AN15" s="12" t="s">
        <v>51</v>
      </c>
    </row>
    <row r="16" s="12" customFormat="1" ht="18" customHeight="1" spans="1:40">
      <c r="A16" s="36">
        <v>13</v>
      </c>
      <c r="B16" s="37" t="s">
        <v>184</v>
      </c>
      <c r="C16" s="37" t="s">
        <v>139</v>
      </c>
      <c r="D16" s="37" t="s">
        <v>120</v>
      </c>
      <c r="E16" s="352" t="s">
        <v>140</v>
      </c>
      <c r="F16" s="38" t="s">
        <v>187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36000</v>
      </c>
      <c r="T16" s="91">
        <f>5000+IFERROR(VLOOKUP($E:$E,'（居民）工资表-6月'!$E:$T,16,0),0)</f>
        <v>30000</v>
      </c>
      <c r="U16" s="91">
        <f>Q16+IFERROR(VLOOKUP($E:$E,'（居民）工资表-6月'!$E:$U,17,0),0)</f>
        <v>3171.84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2828.16</v>
      </c>
      <c r="AE16" s="96">
        <f>ROUND(MAX((AD16)*{0.03;0.1;0.2;0.25;0.3;0.35;0.45}-{0;2520;16920;31920;52920;85920;181920},0),2)</f>
        <v>84.84</v>
      </c>
      <c r="AF16" s="97">
        <f>IFERROR(VLOOKUP(E:E,'（居民）工资表-6月'!E:AF,28,0)+VLOOKUP(E:E,'（居民）工资表-6月'!E:AG,29,0),0)</f>
        <v>70.59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190</v>
      </c>
      <c r="AN16" s="12" t="s">
        <v>51</v>
      </c>
    </row>
    <row r="17" s="12" customFormat="1" ht="18" customHeight="1" spans="1:40">
      <c r="A17" s="36">
        <v>14</v>
      </c>
      <c r="B17" s="37" t="s">
        <v>184</v>
      </c>
      <c r="C17" s="37" t="s">
        <v>141</v>
      </c>
      <c r="D17" s="37" t="s">
        <v>120</v>
      </c>
      <c r="E17" s="352" t="s">
        <v>142</v>
      </c>
      <c r="F17" s="38" t="s">
        <v>185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59904.76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3188.55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26716.21</v>
      </c>
      <c r="AE17" s="96">
        <f>ROUND(MAX((AD17)*{0.03;0.1;0.2;0.25;0.3;0.35;0.45}-{0;2520;16920;31920;52920;85920;181920},0),2)</f>
        <v>801.49</v>
      </c>
      <c r="AF17" s="97">
        <f>IFERROR(VLOOKUP(E:E,'（居民）工资表-6月'!E:AF,28,0)+VLOOKUP(E:E,'（居民）工资表-6月'!E:AG,29,0),0)</f>
        <v>667.32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191</v>
      </c>
      <c r="AN17" s="12" t="s">
        <v>51</v>
      </c>
    </row>
    <row r="18" s="12" customFormat="1" ht="21" customHeight="1" spans="1:40">
      <c r="A18" s="36">
        <v>15</v>
      </c>
      <c r="B18" s="37" t="s">
        <v>184</v>
      </c>
      <c r="C18" s="37" t="s">
        <v>204</v>
      </c>
      <c r="D18" s="37" t="s">
        <v>120</v>
      </c>
      <c r="E18" s="37" t="s">
        <v>205</v>
      </c>
      <c r="F18" s="38" t="s">
        <v>185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20750.3</v>
      </c>
      <c r="T18" s="91">
        <f>5000+IFERROR(VLOOKUP($E:$E,'（居民）工资表-6月'!$E:$T,16,0),0)</f>
        <v>20000</v>
      </c>
      <c r="U18" s="91">
        <f>Q18+IFERROR(VLOOKUP($E:$E,'（居民）工资表-6月'!$E:$U,17,0),0)</f>
        <v>2762.85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-2012.55</v>
      </c>
      <c r="AE18" s="96">
        <f>ROUND(MAX((AD18)*{0.03;0.1;0.2;0.25;0.3;0.35;0.45}-{0;2520;16920;31920;52920;85920;181920},0),2)</f>
        <v>0</v>
      </c>
      <c r="AF18" s="97">
        <f>IFERROR(VLOOKUP(E:E,'（居民）工资表-6月'!E:AF,28,0)+VLOOKUP(E:E,'（居民）工资表-6月'!E:AG,29,0),0)</f>
        <v>0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190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143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773232.8</v>
      </c>
      <c r="T20" s="74">
        <f t="shared" si="7"/>
        <v>430000</v>
      </c>
      <c r="U20" s="74">
        <f t="shared" si="7"/>
        <v>55455.63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248477.17</v>
      </c>
      <c r="AE20" s="74">
        <f t="shared" si="7"/>
        <v>14829.17</v>
      </c>
      <c r="AF20" s="74">
        <f t="shared" si="7"/>
        <v>13085.97</v>
      </c>
      <c r="AG20" s="74">
        <f t="shared" si="7"/>
        <v>2130.85</v>
      </c>
      <c r="AH20" s="74">
        <f t="shared" si="7"/>
        <v>130393.41</v>
      </c>
      <c r="AI20" s="74">
        <f t="shared" si="7"/>
        <v>0</v>
      </c>
      <c r="AJ20" s="74">
        <f t="shared" si="7"/>
        <v>130393.41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144</v>
      </c>
      <c r="C24" s="47" t="s">
        <v>145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130393.41</v>
      </c>
      <c r="C25" s="48">
        <f>AG20</f>
        <v>2130.85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206</v>
      </c>
      <c r="B27" s="52" t="s">
        <v>207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208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209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210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211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212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213</v>
      </c>
    </row>
    <row r="35" spans="2:2">
      <c r="B35" s="59" t="s">
        <v>214</v>
      </c>
    </row>
    <row r="36" spans="2:2">
      <c r="B36" s="59" t="s">
        <v>215</v>
      </c>
    </row>
  </sheetData>
  <autoFilter xmlns:etc="http://www.wps.cn/officeDocument/2017/etCustomData" ref="A3:AL20" etc:filterBottomFollowUsedRange="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32000</v>
      </c>
      <c r="T4" s="91">
        <f>5000+IFERROR(VLOOKUP($E:$E,'（居民）工资表-4月'!$E:$T,16,0),0)</f>
        <v>20000</v>
      </c>
      <c r="U4" s="91">
        <f>Q4+IFERROR(VLOOKUP($E:$E,'（居民）工资表-4月'!$E:$U,17,0),0)</f>
        <v>2387.13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9612.87</v>
      </c>
      <c r="AE4" s="96">
        <f>ROUND(MAX((AD4)*{0.03;0.1;0.2;0.25;0.3;0.35;0.45}-{0;2520;16920;31920;52920;85920;181920},0),2)</f>
        <v>288.39</v>
      </c>
      <c r="AF4" s="97">
        <f>IFERROR(VLOOKUP(E:E,'（居民）工资表-4月'!E:AF,28,0)+VLOOKUP(E:E,'（居民）工资表-4月'!E:AG,29,0),0)</f>
        <v>216.05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186</v>
      </c>
      <c r="AV4" s="12" t="s">
        <v>51</v>
      </c>
    </row>
    <row r="5" s="12" customFormat="1" ht="18" customHeight="1" spans="1:48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23260</v>
      </c>
      <c r="T5" s="91">
        <f>5000+IFERROR(VLOOKUP($E:$E,'（居民）工资表-4月'!$E:$T,16,0),0)</f>
        <v>20000</v>
      </c>
      <c r="U5" s="91">
        <f>Q5+IFERROR(VLOOKUP($E:$E,'（居民）工资表-4月'!$E:$U,17,0),0)</f>
        <v>2800.4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459.6</v>
      </c>
      <c r="AE5" s="96">
        <f>ROUND(MAX((AD5)*{0.03;0.1;0.2;0.25;0.3;0.35;0.45}-{0;2520;16920;31920;52920;85920;181920},0),2)</f>
        <v>13.79</v>
      </c>
      <c r="AF5" s="97">
        <f>IFERROR(VLOOKUP(E:E,'（居民）工资表-4月'!E:AF,28,0)+VLOOKUP(E:E,'（居民）工资表-4月'!E:AG,29,0),0)</f>
        <v>12.66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120240</v>
      </c>
      <c r="T6" s="91">
        <f>5000+IFERROR(VLOOKUP($E:$E,'（居民）工资表-4月'!$E:$T,16,0),0)</f>
        <v>20000</v>
      </c>
      <c r="U6" s="91">
        <f>Q6+IFERROR(VLOOKUP($E:$E,'（居民）工资表-4月'!$E:$U,17,0),0)</f>
        <v>3808.97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96431.03</v>
      </c>
      <c r="AE6" s="96">
        <f>ROUND(MAX((AD6)*{0.03;0.1;0.2;0.25;0.3;0.35;0.45}-{0;2520;16920;31920;52920;85920;181920},0),2)</f>
        <v>7123.1</v>
      </c>
      <c r="AF6" s="97">
        <f>IFERROR(VLOOKUP(E:E,'（居民）工资表-4月'!E:AF,28,0)+VLOOKUP(E:E,'（居民）工资表-4月'!E:AG,29,0),0)</f>
        <v>4711.96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188</v>
      </c>
      <c r="AV6" s="12" t="s">
        <v>189</v>
      </c>
    </row>
    <row r="7" s="12" customFormat="1" ht="18" customHeight="1" spans="1:48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34000</v>
      </c>
      <c r="T7" s="91">
        <f>5000+IFERROR(VLOOKUP($E:$E,'（居民）工资表-4月'!$E:$T,16,0),0)</f>
        <v>20000</v>
      </c>
      <c r="U7" s="91">
        <f>Q7+IFERROR(VLOOKUP($E:$E,'（居民）工资表-4月'!$E:$U,17,0),0)</f>
        <v>2133.13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11866.87</v>
      </c>
      <c r="AE7" s="96">
        <f>ROUND(MAX((AD7)*{0.03;0.1;0.2;0.25;0.3;0.35;0.45}-{0;2520;16920;31920;52920;85920;181920},0),2)</f>
        <v>356.01</v>
      </c>
      <c r="AF7" s="97">
        <f>IFERROR(VLOOKUP(E:E,'（居民）工资表-4月'!E:AF,28,0)+VLOOKUP(E:E,'（居民）工资表-4月'!E:AG,29,0),0)</f>
        <v>251.84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190</v>
      </c>
      <c r="AV7" s="12" t="s">
        <v>51</v>
      </c>
    </row>
    <row r="8" s="12" customFormat="1" ht="18" customHeight="1" spans="1:48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42000</v>
      </c>
      <c r="T8" s="91">
        <f>5000+IFERROR(VLOOKUP($E:$E,'（居民）工资表-4月'!$E:$T,16,0),0)</f>
        <v>20000</v>
      </c>
      <c r="U8" s="91">
        <f>Q8+IFERROR(VLOOKUP($E:$E,'（居民）工资表-4月'!$E:$U,17,0),0)</f>
        <v>3109.84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18890.16</v>
      </c>
      <c r="AE8" s="96">
        <f>ROUND(MAX((AD8)*{0.03;0.1;0.2;0.25;0.3;0.35;0.45}-{0;2520;16920;31920;52920;85920;181920},0),2)</f>
        <v>566.7</v>
      </c>
      <c r="AF8" s="97">
        <f>IFERROR(VLOOKUP(E:E,'（居民）工资表-4月'!E:AF,28,0)+VLOOKUP(E:E,'（居民）工资表-4月'!E:AG,29,0),0)</f>
        <v>424.86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190</v>
      </c>
      <c r="AV8" s="12" t="s">
        <v>51</v>
      </c>
    </row>
    <row r="9" s="12" customFormat="1" ht="18" customHeight="1" spans="1:48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26000</v>
      </c>
      <c r="T9" s="91">
        <f>5000+IFERROR(VLOOKUP($E:$E,'（居民）工资表-4月'!$E:$T,16,0),0)</f>
        <v>20000</v>
      </c>
      <c r="U9" s="91">
        <f>Q9+IFERROR(VLOOKUP($E:$E,'（居民）工资表-4月'!$E:$U,17,0),0)</f>
        <v>2110.18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3889.82</v>
      </c>
      <c r="AE9" s="96">
        <f>ROUND(MAX((AD9)*{0.03;0.1;0.2;0.25;0.3;0.35;0.45}-{0;2520;16920;31920;52920;85920;181920},0),2)</f>
        <v>116.69</v>
      </c>
      <c r="AF9" s="97">
        <f>IFERROR(VLOOKUP(E:E,'（居民）工资表-4月'!E:AF,28,0)+VLOOKUP(E:E,'（居民）工资表-4月'!E:AG,29,0),0)</f>
        <v>87.5</v>
      </c>
      <c r="AG9" s="97">
        <f t="shared" si="8"/>
        <v>29.19</v>
      </c>
      <c r="AH9" s="107">
        <f t="shared" si="9"/>
        <v>5944.01</v>
      </c>
      <c r="AI9" s="108"/>
      <c r="AJ9" s="107">
        <f t="shared" si="13"/>
        <v>5944.01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191</v>
      </c>
      <c r="AV9" s="12" t="s">
        <v>51</v>
      </c>
    </row>
    <row r="10" s="12" customFormat="1" ht="18" customHeight="1" spans="1:48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18000.42</v>
      </c>
      <c r="T10" s="91">
        <f>5000+IFERROR(VLOOKUP($E:$E,'（居民）工资表-4月'!$E:$T,16,0),0)</f>
        <v>20000</v>
      </c>
      <c r="U10" s="91">
        <f>Q10+IFERROR(VLOOKUP($E:$E,'（居民）工资表-4月'!$E:$U,17,0),0)</f>
        <v>2553.95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-4553.53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195</v>
      </c>
      <c r="AV10" s="12" t="s">
        <v>196</v>
      </c>
    </row>
    <row r="11" s="12" customFormat="1" ht="18" customHeight="1" spans="1:48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34500</v>
      </c>
      <c r="T11" s="91">
        <f>5000+IFERROR(VLOOKUP($E:$E,'（居民）工资表-4月'!$E:$T,16,0),0)</f>
        <v>20000</v>
      </c>
      <c r="U11" s="91">
        <f>Q11+IFERROR(VLOOKUP($E:$E,'（居民）工资表-4月'!$E:$U,17,0),0)</f>
        <v>2257.84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12242.16</v>
      </c>
      <c r="AE11" s="96">
        <f>ROUND(MAX((AD11)*{0.03;0.1;0.2;0.25;0.3;0.35;0.45}-{0;2520;16920;31920;52920;85920;181920},0),2)</f>
        <v>367.26</v>
      </c>
      <c r="AF11" s="97">
        <f>IFERROR(VLOOKUP(E:E,'（居民）工资表-4月'!E:AF,28,0)+VLOOKUP(E:E,'（居民）工资表-4月'!E:AG,29,0),0)</f>
        <v>279.03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197</v>
      </c>
      <c r="AV11" s="12" t="s">
        <v>198</v>
      </c>
    </row>
    <row r="12" s="12" customFormat="1" ht="18" customHeight="1" spans="1:48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28500</v>
      </c>
      <c r="T12" s="91">
        <f>5000+IFERROR(VLOOKUP($E:$E,'（居民）工资表-4月'!$E:$T,16,0),0)</f>
        <v>20000</v>
      </c>
      <c r="U12" s="91">
        <f>Q12+IFERROR(VLOOKUP($E:$E,'（居民）工资表-4月'!$E:$U,17,0),0)</f>
        <v>3109.84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5390.16</v>
      </c>
      <c r="AE12" s="96">
        <f>ROUND(MAX((AD12)*{0.03;0.1;0.2;0.25;0.3;0.35;0.45}-{0;2520;16920;31920;52920;85920;181920},0),2)</f>
        <v>161.7</v>
      </c>
      <c r="AF12" s="97">
        <f>IFERROR(VLOOKUP(E:E,'（居民）工资表-4月'!E:AF,28,0)+VLOOKUP(E:E,'（居民）工资表-4月'!E:AG,29,0),0)</f>
        <v>124.86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190</v>
      </c>
      <c r="AV12" s="12" t="s">
        <v>51</v>
      </c>
    </row>
    <row r="13" s="12" customFormat="1" ht="18" customHeight="1" spans="1:48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29000</v>
      </c>
      <c r="T13" s="91">
        <f>5000+IFERROR(VLOOKUP($E:$E,'（居民）工资表-4月'!$E:$T,16,0),0)</f>
        <v>20000</v>
      </c>
      <c r="U13" s="91">
        <f>Q13+IFERROR(VLOOKUP($E:$E,'（居民）工资表-4月'!$E:$U,17,0),0)</f>
        <v>3109.84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5890.16</v>
      </c>
      <c r="AE13" s="96">
        <f>ROUND(MAX((AD13)*{0.03;0.1;0.2;0.25;0.3;0.35;0.45}-{0;2520;16920;31920;52920;85920;181920},0),2)</f>
        <v>176.7</v>
      </c>
      <c r="AF13" s="97">
        <f>IFERROR(VLOOKUP(E:E,'（居民）工资表-4月'!E:AF,28,0)+VLOOKUP(E:E,'（居民）工资表-4月'!E:AG,29,0),0)</f>
        <v>139.86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190</v>
      </c>
      <c r="AV13" s="12" t="s">
        <v>51</v>
      </c>
    </row>
    <row r="14" s="12" customFormat="1" ht="18" customHeight="1" spans="1:48">
      <c r="A14" s="36">
        <v>11</v>
      </c>
      <c r="B14" s="37" t="s">
        <v>184</v>
      </c>
      <c r="C14" s="37" t="s">
        <v>199</v>
      </c>
      <c r="D14" s="37" t="s">
        <v>120</v>
      </c>
      <c r="E14" s="352" t="s">
        <v>200</v>
      </c>
      <c r="F14" s="38" t="s">
        <v>187</v>
      </c>
      <c r="G14" s="39" t="s">
        <v>201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21000</v>
      </c>
      <c r="T14" s="91">
        <f>5000+IFERROR(VLOOKUP($E:$E,'（居民）工资表-4月'!$E:$T,16,0),0)</f>
        <v>15000</v>
      </c>
      <c r="U14" s="91">
        <f>Q14+IFERROR(VLOOKUP($E:$E,'（居民）工资表-4月'!$E:$U,17,0),0)</f>
        <v>1677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IFERROR(VLOOKUP(E:E,'（居民）工资表-4月'!E:AF,28,0)+VLOOKUP(E:E,'（居民）工资表-4月'!E:AG,29,0),0)</f>
        <v>86.46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190</v>
      </c>
      <c r="AV14" s="12" t="s">
        <v>51</v>
      </c>
    </row>
    <row r="15" s="12" customFormat="1" ht="18" customHeight="1" spans="1:48">
      <c r="A15" s="36">
        <v>12</v>
      </c>
      <c r="B15" s="37" t="s">
        <v>184</v>
      </c>
      <c r="C15" s="37" t="s">
        <v>202</v>
      </c>
      <c r="D15" s="37" t="s">
        <v>120</v>
      </c>
      <c r="E15" s="352" t="s">
        <v>203</v>
      </c>
      <c r="F15" s="38" t="s">
        <v>187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18420</v>
      </c>
      <c r="T15" s="91">
        <f>5000+IFERROR(VLOOKUP($E:$E,'（居民）工资表-4月'!$E:$T,16,0),0)</f>
        <v>15000</v>
      </c>
      <c r="U15" s="91">
        <f>Q15+IFERROR(VLOOKUP($E:$E,'（居民）工资表-4月'!$E:$U,17,0),0)</f>
        <v>1583.13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1836.87</v>
      </c>
      <c r="AE15" s="96">
        <f>ROUND(MAX((AD15)*{0.03;0.1;0.2;0.25;0.3;0.35;0.45}-{0;2520;16920;31920;52920;85920;181920},0),2)</f>
        <v>55.11</v>
      </c>
      <c r="AF15" s="97">
        <f>IFERROR(VLOOKUP(E:E,'（居民）工资表-4月'!E:AF,28,0)+VLOOKUP(E:E,'（居民）工资表-4月'!E:AG,29,0),0)</f>
        <v>39.14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190</v>
      </c>
      <c r="AV15" s="12" t="s">
        <v>51</v>
      </c>
    </row>
    <row r="16" s="12" customFormat="1" ht="18" customHeight="1" spans="1:48">
      <c r="A16" s="36">
        <v>13</v>
      </c>
      <c r="B16" s="37" t="s">
        <v>184</v>
      </c>
      <c r="C16" s="37" t="s">
        <v>139</v>
      </c>
      <c r="D16" s="37" t="s">
        <v>120</v>
      </c>
      <c r="E16" s="352" t="s">
        <v>140</v>
      </c>
      <c r="F16" s="38" t="s">
        <v>187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24000</v>
      </c>
      <c r="T16" s="91">
        <f>5000+IFERROR(VLOOKUP($E:$E,'（居民）工资表-4月'!$E:$T,16,0),0)</f>
        <v>20000</v>
      </c>
      <c r="U16" s="91">
        <f>Q16+IFERROR(VLOOKUP($E:$E,'（居民）工资表-4月'!$E:$U,17,0),0)</f>
        <v>2121.84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1878.16</v>
      </c>
      <c r="AE16" s="96">
        <f>ROUND(MAX((AD16)*{0.03;0.1;0.2;0.25;0.3;0.35;0.45}-{0;2520;16920;31920;52920;85920;181920},0),2)</f>
        <v>56.34</v>
      </c>
      <c r="AF16" s="97">
        <f>IFERROR(VLOOKUP(E:E,'（居民）工资表-4月'!E:AF,28,0)+VLOOKUP(E:E,'（居民）工资表-4月'!E:AG,29,0),0)</f>
        <v>42.09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190</v>
      </c>
      <c r="AV16" s="12" t="s">
        <v>51</v>
      </c>
    </row>
    <row r="17" s="12" customFormat="1" ht="18" customHeight="1" spans="1:48">
      <c r="A17" s="36">
        <v>14</v>
      </c>
      <c r="B17" s="37" t="s">
        <v>184</v>
      </c>
      <c r="C17" s="37" t="s">
        <v>141</v>
      </c>
      <c r="D17" s="37" t="s">
        <v>120</v>
      </c>
      <c r="E17" s="352" t="s">
        <v>142</v>
      </c>
      <c r="F17" s="38" t="s">
        <v>185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39904.76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2133.13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17771.63</v>
      </c>
      <c r="AE17" s="96">
        <f>ROUND(MAX((AD17)*{0.03;0.1;0.2;0.25;0.3;0.35;0.45}-{0;2520;16920;31920;52920;85920;181920},0),2)</f>
        <v>533.15</v>
      </c>
      <c r="AF17" s="97">
        <f>IFERROR(VLOOKUP(E:E,'（居民）工资表-4月'!E:AF,28,0)+VLOOKUP(E:E,'（居民）工资表-4月'!E:AG,29,0),0)</f>
        <v>398.98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191</v>
      </c>
      <c r="AV17" s="12" t="s">
        <v>51</v>
      </c>
    </row>
    <row r="18" s="12" customFormat="1" ht="18" customHeight="1" spans="1:48">
      <c r="A18" s="36">
        <v>15</v>
      </c>
      <c r="B18" s="37" t="s">
        <v>184</v>
      </c>
      <c r="C18" s="37" t="s">
        <v>204</v>
      </c>
      <c r="D18" s="37" t="s">
        <v>120</v>
      </c>
      <c r="E18" s="37" t="s">
        <v>205</v>
      </c>
      <c r="F18" s="38" t="s">
        <v>185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190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143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498931.85</v>
      </c>
      <c r="T20" s="74">
        <f t="shared" si="19"/>
        <v>280000</v>
      </c>
      <c r="U20" s="74">
        <f t="shared" si="19"/>
        <v>36553.93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182377.92</v>
      </c>
      <c r="AE20" s="74">
        <f t="shared" si="19"/>
        <v>9944.63</v>
      </c>
      <c r="AF20" s="74">
        <f t="shared" si="19"/>
        <v>6815.29</v>
      </c>
      <c r="AG20" s="74">
        <f t="shared" si="19"/>
        <v>3129.34</v>
      </c>
      <c r="AH20" s="74">
        <f t="shared" si="19"/>
        <v>119345.65</v>
      </c>
      <c r="AI20" s="74">
        <f t="shared" si="19"/>
        <v>0</v>
      </c>
      <c r="AJ20" s="74">
        <f t="shared" si="19"/>
        <v>119345.65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144</v>
      </c>
      <c r="C24" s="47" t="s">
        <v>145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119345.65</v>
      </c>
      <c r="C25" s="48">
        <f>AG20</f>
        <v>3129.34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206</v>
      </c>
      <c r="B27" s="52" t="s">
        <v>207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208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209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210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211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212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213</v>
      </c>
    </row>
    <row r="35" spans="2:2">
      <c r="B35" s="59" t="s">
        <v>214</v>
      </c>
    </row>
    <row r="36" spans="2:2">
      <c r="B36" s="59" t="s">
        <v>215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40000</v>
      </c>
      <c r="T4" s="91">
        <f>5000+IFERROR(VLOOKUP($E:$E,'（居民）工资表-5月'!$E:$T,16,0),0)</f>
        <v>25000</v>
      </c>
      <c r="U4" s="91">
        <f>Q4+IFERROR(VLOOKUP($E:$E,'（居民）工资表-5月'!$E:$U,17,0),0)</f>
        <v>2975.83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12024.17</v>
      </c>
      <c r="AE4" s="96">
        <f>ROUND(MAX((AD4)*{0.03;0.1;0.2;0.25;0.3;0.35;0.45}-{0;2520;16920;31920;52920;85920;181920},0),2)</f>
        <v>360.73</v>
      </c>
      <c r="AF4" s="97">
        <f>IFERROR(VLOOKUP(E:E,'（居民）工资表-5月'!E:AF,28,0)+VLOOKUP(E:E,'（居民）工资表-5月'!E:AG,29,0),0)</f>
        <v>288.39</v>
      </c>
      <c r="AG4" s="97">
        <f>IF((AE4-AF4)&lt;0,0,AE4-AF4)</f>
        <v>72.34</v>
      </c>
      <c r="AH4" s="107">
        <f>ROUND(IF((L4-Q4-AG4)&lt;0,0,(L4-Q4-AG4)),2)</f>
        <v>7338.96</v>
      </c>
      <c r="AI4" s="108"/>
      <c r="AJ4" s="107">
        <f>AH4+AI4</f>
        <v>7338.96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29360</v>
      </c>
      <c r="T5" s="91">
        <f>5000+IFERROR(VLOOKUP($E:$E,'（居民）工资表-5月'!$E:$T,16,0),0)</f>
        <v>25000</v>
      </c>
      <c r="U5" s="91">
        <f>Q5+IFERROR(VLOOKUP($E:$E,'（居民）工资表-5月'!$E:$U,17,0),0)</f>
        <v>3462.64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897.36</v>
      </c>
      <c r="AE5" s="96">
        <f>ROUND(MAX((AD5)*{0.03;0.1;0.2;0.25;0.3;0.35;0.45}-{0;2520;16920;31920;52920;85920;181920},0),2)</f>
        <v>26.92</v>
      </c>
      <c r="AF5" s="97">
        <f>IFERROR(VLOOKUP(E:E,'（居民）工资表-5月'!E:AF,28,0)+VLOOKUP(E:E,'（居民）工资表-5月'!E:AG,29,0),0)</f>
        <v>13.79</v>
      </c>
      <c r="AG5" s="97">
        <f>IF((AE5-AF5)&lt;0,0,AE5-AF5)</f>
        <v>13.13</v>
      </c>
      <c r="AH5" s="107">
        <f>ROUND(IF((L5-Q5-AG5)&lt;0,0,(L5-Q5-AG5)),2)</f>
        <v>5424.63</v>
      </c>
      <c r="AI5" s="108"/>
      <c r="AJ5" s="107">
        <f>AH5+AI5</f>
        <v>5424.63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150300</v>
      </c>
      <c r="T6" s="91">
        <f>5000+IFERROR(VLOOKUP($E:$E,'（居民）工资表-5月'!$E:$T,16,0),0)</f>
        <v>25000</v>
      </c>
      <c r="U6" s="91">
        <f>Q6+IFERROR(VLOOKUP($E:$E,'（居民）工资表-5月'!$E:$U,17,0),0)</f>
        <v>4757.52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120542.48</v>
      </c>
      <c r="AE6" s="96">
        <f>ROUND(MAX((AD6)*{0.03;0.1;0.2;0.25;0.3;0.35;0.45}-{0;2520;16920;31920;52920;85920;181920},0),2)</f>
        <v>9534.25</v>
      </c>
      <c r="AF6" s="97">
        <f>IFERROR(VLOOKUP(E:E,'（居民）工资表-5月'!E:AF,28,0)+VLOOKUP(E:E,'（居民）工资表-5月'!E:AG,29,0),0)</f>
        <v>7123.1</v>
      </c>
      <c r="AG6" s="97">
        <f>IF((AE6-AF6)&lt;0,0,AE6-AF6)</f>
        <v>2411.15</v>
      </c>
      <c r="AH6" s="107">
        <f>ROUND(IF((L6-Q6-AG6)&lt;0,0,(L6-Q6-AG6)),2)</f>
        <v>26700.3</v>
      </c>
      <c r="AI6" s="108"/>
      <c r="AJ6" s="107">
        <f>AH6+AI6</f>
        <v>26700.3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43000</v>
      </c>
      <c r="T7" s="91">
        <f>5000+IFERROR(VLOOKUP($E:$E,'（居民）工资表-5月'!$E:$T,16,0),0)</f>
        <v>25000</v>
      </c>
      <c r="U7" s="91">
        <f>Q7+IFERROR(VLOOKUP($E:$E,'（居民）工资表-5月'!$E:$U,17,0),0)</f>
        <v>2660.84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15339.16</v>
      </c>
      <c r="AE7" s="96">
        <f>ROUND(MAX((AD7)*{0.03;0.1;0.2;0.25;0.3;0.35;0.45}-{0;2520;16920;31920;52920;85920;181920},0),2)</f>
        <v>460.17</v>
      </c>
      <c r="AF7" s="97">
        <f>IFERROR(VLOOKUP(E:E,'（居民）工资表-5月'!E:AF,28,0)+VLOOKUP(E:E,'（居民）工资表-5月'!E:AG,29,0),0)</f>
        <v>356.01</v>
      </c>
      <c r="AG7" s="97">
        <f t="shared" ref="AG7:AG18" si="3">IF((AE7-AF7)&lt;0,0,AE7-AF7)</f>
        <v>104.16</v>
      </c>
      <c r="AH7" s="107">
        <f t="shared" ref="AH7:AH18" si="4">ROUND(IF((L7-Q7-AG7)&lt;0,0,(L7-Q7-AG7)),2)</f>
        <v>8368.13</v>
      </c>
      <c r="AI7" s="108"/>
      <c r="AJ7" s="107">
        <f t="shared" ref="AJ7:AJ18" si="5">AH7+AI7</f>
        <v>8368.13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52500</v>
      </c>
      <c r="T8" s="91">
        <f>5000+IFERROR(VLOOKUP($E:$E,'（居民）工资表-5月'!$E:$T,16,0),0)</f>
        <v>25000</v>
      </c>
      <c r="U8" s="91">
        <f>Q8+IFERROR(VLOOKUP($E:$E,'（居民）工资表-5月'!$E:$U,17,0),0)</f>
        <v>3881.84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23618.16</v>
      </c>
      <c r="AE8" s="96">
        <f>ROUND(MAX((AD8)*{0.03;0.1;0.2;0.25;0.3;0.35;0.45}-{0;2520;16920;31920;52920;85920;181920},0),2)</f>
        <v>708.54</v>
      </c>
      <c r="AF8" s="97">
        <f>IFERROR(VLOOKUP(E:E,'（居民）工资表-5月'!E:AF,28,0)+VLOOKUP(E:E,'（居民）工资表-5月'!E:AG,29,0),0)</f>
        <v>566.7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32500</v>
      </c>
      <c r="T9" s="91">
        <f>5000+IFERROR(VLOOKUP($E:$E,'（居民）工资表-5月'!$E:$T,16,0),0)</f>
        <v>25000</v>
      </c>
      <c r="U9" s="91">
        <f>Q9+IFERROR(VLOOKUP($E:$E,'（居民）工资表-5月'!$E:$U,17,0),0)</f>
        <v>2636.98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4863.02</v>
      </c>
      <c r="AE9" s="96">
        <f>ROUND(MAX((AD9)*{0.03;0.1;0.2;0.25;0.3;0.35;0.45}-{0;2520;16920;31920;52920;85920;181920},0),2)</f>
        <v>145.89</v>
      </c>
      <c r="AF9" s="97">
        <f>IFERROR(VLOOKUP(E:E,'（居民）工资表-5月'!E:AF,28,0)+VLOOKUP(E:E,'（居民）工资表-5月'!E:AG,29,0),0)</f>
        <v>116.69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22526.26</v>
      </c>
      <c r="T10" s="91">
        <f>5000+IFERROR(VLOOKUP($E:$E,'（居民）工资表-5月'!$E:$T,16,0),0)</f>
        <v>25000</v>
      </c>
      <c r="U10" s="91">
        <f>Q10+IFERROR(VLOOKUP($E:$E,'（居民）工资表-5月'!$E:$U,17,0),0)</f>
        <v>3183.81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-5657.55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43000</v>
      </c>
      <c r="T11" s="91">
        <f>5000+IFERROR(VLOOKUP($E:$E,'（居民）工资表-5月'!$E:$T,16,0),0)</f>
        <v>25000</v>
      </c>
      <c r="U11" s="91">
        <f>Q11+IFERROR(VLOOKUP($E:$E,'（居民）工资表-5月'!$E:$U,17,0),0)</f>
        <v>2816.84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15183.16</v>
      </c>
      <c r="AE11" s="96">
        <f>ROUND(MAX((AD11)*{0.03;0.1;0.2;0.25;0.3;0.35;0.45}-{0;2520;16920;31920;52920;85920;181920},0),2)</f>
        <v>455.49</v>
      </c>
      <c r="AF11" s="97">
        <f>IFERROR(VLOOKUP(E:E,'（居民）工资表-5月'!E:AF,28,0)+VLOOKUP(E:E,'（居民）工资表-5月'!E:AG,29,0),0)</f>
        <v>367.26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35500</v>
      </c>
      <c r="T12" s="91">
        <f>5000+IFERROR(VLOOKUP($E:$E,'（居民）工资表-5月'!$E:$T,16,0),0)</f>
        <v>25000</v>
      </c>
      <c r="U12" s="91">
        <f>Q12+IFERROR(VLOOKUP($E:$E,'（居民）工资表-5月'!$E:$U,17,0),0)</f>
        <v>3881.84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6618.16</v>
      </c>
      <c r="AE12" s="96">
        <f>ROUND(MAX((AD12)*{0.03;0.1;0.2;0.25;0.3;0.35;0.45}-{0;2520;16920;31920;52920;85920;181920},0),2)</f>
        <v>198.54</v>
      </c>
      <c r="AF12" s="97">
        <f>IFERROR(VLOOKUP(E:E,'（居民）工资表-5月'!E:AF,28,0)+VLOOKUP(E:E,'（居民）工资表-5月'!E:AG,29,0),0)</f>
        <v>161.7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36000</v>
      </c>
      <c r="T13" s="91">
        <f>5000+IFERROR(VLOOKUP($E:$E,'（居民）工资表-5月'!$E:$T,16,0),0)</f>
        <v>25000</v>
      </c>
      <c r="U13" s="91">
        <f>Q13+IFERROR(VLOOKUP($E:$E,'（居民）工资表-5月'!$E:$U,17,0),0)</f>
        <v>3881.84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7118.16</v>
      </c>
      <c r="AE13" s="96">
        <f>ROUND(MAX((AD13)*{0.03;0.1;0.2;0.25;0.3;0.35;0.45}-{0;2520;16920;31920;52920;85920;181920},0),2)</f>
        <v>213.54</v>
      </c>
      <c r="AF13" s="97">
        <f>IFERROR(VLOOKUP(E:E,'（居民）工资表-5月'!E:AF,28,0)+VLOOKUP(E:E,'（居民）工资表-5月'!E:AG,29,0),0)</f>
        <v>176.7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184</v>
      </c>
      <c r="C14" s="37" t="s">
        <v>199</v>
      </c>
      <c r="D14" s="37" t="s">
        <v>120</v>
      </c>
      <c r="E14" s="352" t="s">
        <v>200</v>
      </c>
      <c r="F14" s="38" t="s">
        <v>187</v>
      </c>
      <c r="G14" s="39" t="s">
        <v>201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28000</v>
      </c>
      <c r="T14" s="91">
        <f>5000+IFERROR(VLOOKUP($E:$E,'（居民）工资表-5月'!$E:$T,16,0),0)</f>
        <v>20000</v>
      </c>
      <c r="U14" s="91">
        <f>Q14+IFERROR(VLOOKUP($E:$E,'（居民）工资表-5月'!$E:$U,17,0),0)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IFERROR(VLOOKUP(E:E,'（居民）工资表-5月'!E:AF,28,0)+VLOOKUP(E:E,'（居民）工资表-5月'!E:AG,29,0),0)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184</v>
      </c>
      <c r="C15" s="37" t="s">
        <v>202</v>
      </c>
      <c r="D15" s="37" t="s">
        <v>120</v>
      </c>
      <c r="E15" s="352" t="s">
        <v>203</v>
      </c>
      <c r="F15" s="38" t="s">
        <v>187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24480</v>
      </c>
      <c r="T15" s="91">
        <f>5000+IFERROR(VLOOKUP($E:$E,'（居民）工资表-5月'!$E:$T,16,0),0)</f>
        <v>20000</v>
      </c>
      <c r="U15" s="91">
        <f>Q15+IFERROR(VLOOKUP($E:$E,'（居民）工资表-5月'!$E:$U,17,0),0)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2369.16</v>
      </c>
      <c r="AE15" s="96">
        <f>ROUND(MAX((AD15)*{0.03;0.1;0.2;0.25;0.3;0.35;0.45}-{0;2520;16920;31920;52920;85920;181920},0),2)</f>
        <v>71.07</v>
      </c>
      <c r="AF15" s="97">
        <f>IFERROR(VLOOKUP(E:E,'（居民）工资表-5月'!E:AF,28,0)+VLOOKUP(E:E,'（居民）工资表-5月'!E:AG,29,0),0)</f>
        <v>55.11</v>
      </c>
      <c r="AG15" s="97">
        <f t="shared" si="3"/>
        <v>15.96</v>
      </c>
      <c r="AH15" s="107">
        <f t="shared" si="4"/>
        <v>5516.33</v>
      </c>
      <c r="AI15" s="108"/>
      <c r="AJ15" s="107">
        <f t="shared" si="5"/>
        <v>5516.33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184</v>
      </c>
      <c r="C16" s="37" t="s">
        <v>139</v>
      </c>
      <c r="D16" s="37" t="s">
        <v>120</v>
      </c>
      <c r="E16" s="352" t="s">
        <v>140</v>
      </c>
      <c r="F16" s="38" t="s">
        <v>187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25000</v>
      </c>
      <c r="U16" s="91">
        <f>Q16+IFERROR(VLOOKUP($E:$E,'（居民）工资表-5月'!$E:$U,17,0),0)</f>
        <v>2646.84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2353.16</v>
      </c>
      <c r="AE16" s="96">
        <f>ROUND(MAX((AD16)*{0.03;0.1;0.2;0.25;0.3;0.35;0.45}-{0;2520;16920;31920;52920;85920;181920},0),2)</f>
        <v>70.59</v>
      </c>
      <c r="AF16" s="97">
        <f>IFERROR(VLOOKUP(E:E,'（居民）工资表-5月'!E:AF,28,0)+VLOOKUP(E:E,'（居民）工资表-5月'!E:AG,29,0),0)</f>
        <v>56.34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184</v>
      </c>
      <c r="C17" s="37" t="s">
        <v>141</v>
      </c>
      <c r="D17" s="37" t="s">
        <v>120</v>
      </c>
      <c r="E17" s="352" t="s">
        <v>142</v>
      </c>
      <c r="F17" s="38" t="s">
        <v>185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49904.76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2660.84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22243.92</v>
      </c>
      <c r="AE17" s="96">
        <f>ROUND(MAX((AD17)*{0.03;0.1;0.2;0.25;0.3;0.35;0.45}-{0;2520;16920;31920;52920;85920;181920},0),2)</f>
        <v>667.32</v>
      </c>
      <c r="AF17" s="97">
        <f>IFERROR(VLOOKUP(E:E,'（居民）工资表-5月'!E:AF,28,0)+VLOOKUP(E:E,'（居民）工资表-5月'!E:AG,29,0),0)</f>
        <v>533.15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184</v>
      </c>
      <c r="C18" s="37" t="s">
        <v>204</v>
      </c>
      <c r="D18" s="37" t="s">
        <v>120</v>
      </c>
      <c r="E18" s="37" t="s">
        <v>205</v>
      </c>
      <c r="F18" s="38" t="s">
        <v>185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143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631257.69</v>
      </c>
      <c r="T20" s="74">
        <f t="shared" si="10"/>
        <v>355000</v>
      </c>
      <c r="U20" s="74">
        <f t="shared" si="10"/>
        <v>46004.78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230252.91</v>
      </c>
      <c r="AE20" s="74">
        <f t="shared" si="10"/>
        <v>13085.97</v>
      </c>
      <c r="AF20" s="74">
        <f t="shared" si="10"/>
        <v>9944.63</v>
      </c>
      <c r="AG20" s="74">
        <f t="shared" si="10"/>
        <v>3141.34</v>
      </c>
      <c r="AH20" s="74">
        <f t="shared" si="10"/>
        <v>119733.65</v>
      </c>
      <c r="AI20" s="126">
        <f t="shared" si="10"/>
        <v>0</v>
      </c>
      <c r="AJ20" s="74">
        <f t="shared" si="10"/>
        <v>119733.65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144</v>
      </c>
      <c r="C24" s="47" t="s">
        <v>145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119733.65</v>
      </c>
      <c r="C25" s="48">
        <f>AG20</f>
        <v>3141.34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206</v>
      </c>
      <c r="B27" s="52" t="s">
        <v>207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208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209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210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211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212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213</v>
      </c>
    </row>
    <row r="35" spans="2:2">
      <c r="B35" s="59" t="s">
        <v>214</v>
      </c>
    </row>
    <row r="36" spans="2:2">
      <c r="B36" s="59" t="s">
        <v>215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56000</v>
      </c>
      <c r="T4" s="91">
        <f>5000+IFERROR(VLOOKUP($E:$E,'（居民）工资表-7月'!$E:$T,16,0),0)</f>
        <v>35000</v>
      </c>
      <c r="U4" s="91">
        <f>Q4+IFERROR(VLOOKUP($E:$E,'（居民）工资表-7月'!$E:$U,17,0),0)</f>
        <v>4205.02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16794.98</v>
      </c>
      <c r="AE4" s="96">
        <f>ROUND(MAX((AD4)*{0.03;0.1;0.2;0.25;0.3;0.35;0.45}-{0;2520;16920;31920;52920;85920;181920},0),2)</f>
        <v>503.85</v>
      </c>
      <c r="AF4" s="97">
        <f>IFERROR(VLOOKUP(E:E,'（居民）工资表-7月'!E:AF,28,0)+VLOOKUP(E:E,'（居民）工资表-7月'!E:AG,29,0),0)</f>
        <v>360.73</v>
      </c>
      <c r="AG4" s="97">
        <f>IF((AE4-AF4)&lt;0,0,AE4-AF4)</f>
        <v>143.12</v>
      </c>
      <c r="AH4" s="107">
        <f>ROUND(IF((L4-Q4-AG4)&lt;0,0,(L4-Q4-AG4)),2)</f>
        <v>7216.39</v>
      </c>
      <c r="AI4" s="108"/>
      <c r="AJ4" s="107">
        <f>AH4+AI4</f>
        <v>7216.39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41560</v>
      </c>
      <c r="T5" s="91">
        <f>5000+IFERROR(VLOOKUP($E:$E,'（居民）工资表-7月'!$E:$T,16,0),0)</f>
        <v>35000</v>
      </c>
      <c r="U5" s="91">
        <f>Q5+IFERROR(VLOOKUP($E:$E,'（居民）工资表-7月'!$E:$U,17,0),0)</f>
        <v>4787.12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1772.88</v>
      </c>
      <c r="AE5" s="96">
        <f>ROUND(MAX((AD5)*{0.03;0.1;0.2;0.25;0.3;0.35;0.45}-{0;2520;16920;31920;52920;85920;181920},0),2)</f>
        <v>53.19</v>
      </c>
      <c r="AF5" s="97">
        <f>IFERROR(VLOOKUP(E:E,'（居民）工资表-7月'!E:AF,28,0)+VLOOKUP(E:E,'（居民）工资表-7月'!E:AG,29,0),0)</f>
        <v>26.92</v>
      </c>
      <c r="AG5" s="97">
        <f>IF((AE5-AF5)&lt;0,0,AE5-AF5)</f>
        <v>26.27</v>
      </c>
      <c r="AH5" s="107">
        <f>ROUND(IF((L5-Q5-AG5)&lt;0,0,(L5-Q5-AG5)),2)</f>
        <v>5411.49</v>
      </c>
      <c r="AI5" s="108"/>
      <c r="AJ5" s="107">
        <f>AH5+AI5</f>
        <v>5411.49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210420</v>
      </c>
      <c r="T6" s="91">
        <f>5000+IFERROR(VLOOKUP($E:$E,'（居民）工资表-7月'!$E:$T,16,0),0)</f>
        <v>35000</v>
      </c>
      <c r="U6" s="91">
        <f>Q6+IFERROR(VLOOKUP($E:$E,'（居民）工资表-7月'!$E:$U,17,0),0)</f>
        <v>6670.16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168749.84</v>
      </c>
      <c r="AE6" s="96">
        <f>ROUND(MAX((AD6)*{0.03;0.1;0.2;0.25;0.3;0.35;0.45}-{0;2520;16920;31920;52920;85920;181920},0),2)</f>
        <v>16829.97</v>
      </c>
      <c r="AF6" s="97">
        <f>IFERROR(VLOOKUP(E:E,'（居民）工资表-7月'!E:AF,28,0)+VLOOKUP(E:E,'（居民）工资表-7月'!E:AG,29,0),0)</f>
        <v>10895.39</v>
      </c>
      <c r="AG6" s="97">
        <f t="shared" ref="AG6:AG19" si="3">IF((AE6-AF6)&lt;0,0,AE6-AF6)</f>
        <v>5934.58</v>
      </c>
      <c r="AH6" s="107">
        <f t="shared" ref="AH6:AH19" si="4">ROUND(IF((L6-Q6-AG6)&lt;0,0,(L6-Q6-AG6)),2)</f>
        <v>23161.33</v>
      </c>
      <c r="AI6" s="108"/>
      <c r="AJ6" s="107">
        <f t="shared" ref="AJ6:AJ19" si="5">AH6+AI6</f>
        <v>23161.33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64000</v>
      </c>
      <c r="T7" s="91">
        <f>5000+IFERROR(VLOOKUP($E:$E,'（居民）工资表-7月'!$E:$T,16,0),0)</f>
        <v>35000</v>
      </c>
      <c r="U7" s="91">
        <f>Q7+IFERROR(VLOOKUP($E:$E,'（居民）工资表-7月'!$E:$U,17,0),0)</f>
        <v>3716.26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25283.74</v>
      </c>
      <c r="AE7" s="96">
        <f>ROUND(MAX((AD7)*{0.03;0.1;0.2;0.25;0.3;0.35;0.45}-{0;2520;16920;31920;52920;85920;181920},0),2)</f>
        <v>758.51</v>
      </c>
      <c r="AF7" s="97">
        <f>IFERROR(VLOOKUP(E:E,'（居民）工资表-7月'!E:AF,28,0)+VLOOKUP(E:E,'（居民）工资表-7月'!E:AG,29,0),0)</f>
        <v>474.34</v>
      </c>
      <c r="AG7" s="97">
        <f t="shared" si="3"/>
        <v>284.17</v>
      </c>
      <c r="AH7" s="107">
        <f t="shared" si="4"/>
        <v>9188.12</v>
      </c>
      <c r="AI7" s="108"/>
      <c r="AJ7" s="107">
        <f t="shared" si="5"/>
        <v>9188.12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76500</v>
      </c>
      <c r="T8" s="91">
        <f>5000+IFERROR(VLOOKUP($E:$E,'（居民）工资表-7月'!$E:$T,16,0),0)</f>
        <v>35000</v>
      </c>
      <c r="U8" s="91">
        <f>Q8+IFERROR(VLOOKUP($E:$E,'（居民）工资表-7月'!$E:$U,17,0),0)</f>
        <v>5425.84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36074.16</v>
      </c>
      <c r="AE8" s="96">
        <f>ROUND(MAX((AD8)*{0.03;0.1;0.2;0.25;0.3;0.35;0.45}-{0;2520;16920;31920;52920;85920;181920},0),2)</f>
        <v>1087.42</v>
      </c>
      <c r="AF8" s="97">
        <f>IFERROR(VLOOKUP(E:E,'（居民）工资表-7月'!E:AF,28,0)+VLOOKUP(E:E,'（居民）工资表-7月'!E:AG,29,0),0)</f>
        <v>910.38</v>
      </c>
      <c r="AG8" s="97">
        <f t="shared" si="3"/>
        <v>177.04</v>
      </c>
      <c r="AH8" s="107">
        <f t="shared" si="4"/>
        <v>10550.96</v>
      </c>
      <c r="AI8" s="108"/>
      <c r="AJ8" s="107">
        <f t="shared" si="5"/>
        <v>10550.96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45500</v>
      </c>
      <c r="T9" s="91">
        <f>5000+IFERROR(VLOOKUP($E:$E,'（居民）工资表-7月'!$E:$T,16,0),0)</f>
        <v>35000</v>
      </c>
      <c r="U9" s="91">
        <f>Q9+IFERROR(VLOOKUP($E:$E,'（居民）工资表-7月'!$E:$U,17,0),0)</f>
        <v>3690.58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6809.42</v>
      </c>
      <c r="AE9" s="96">
        <f>ROUND(MAX((AD9)*{0.03;0.1;0.2;0.25;0.3;0.35;0.45}-{0;2520;16920;31920;52920;85920;181920},0),2)</f>
        <v>204.28</v>
      </c>
      <c r="AF9" s="97">
        <f>IFERROR(VLOOKUP(E:E,'（居民）工资表-7月'!E:AF,28,0)+VLOOKUP(E:E,'（居民）工资表-7月'!E:AG,29,0),0)</f>
        <v>175.09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31493.07</v>
      </c>
      <c r="T10" s="91">
        <f>5000+IFERROR(VLOOKUP($E:$E,'（居民）工资表-7月'!$E:$T,16,0),0)</f>
        <v>35000</v>
      </c>
      <c r="U10" s="91">
        <f>Q10+IFERROR(VLOOKUP($E:$E,'（居民）工资表-7月'!$E:$U,17,0),0)</f>
        <v>4485.04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-7991.97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61500</v>
      </c>
      <c r="T11" s="91">
        <f>5000+IFERROR(VLOOKUP($E:$E,'（居民）工资表-7月'!$E:$T,16,0),0)</f>
        <v>35000</v>
      </c>
      <c r="U11" s="91">
        <f>Q11+IFERROR(VLOOKUP($E:$E,'（居民）工资表-7月'!$E:$U,17,0),0)</f>
        <v>3934.84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22565.16</v>
      </c>
      <c r="AE11" s="96">
        <f>ROUND(MAX((AD11)*{0.03;0.1;0.2;0.25;0.3;0.35;0.45}-{0;2520;16920;31920;52920;85920;181920},0),2)</f>
        <v>676.95</v>
      </c>
      <c r="AF11" s="97">
        <f>IFERROR(VLOOKUP(E:E,'（居民）工资表-7月'!E:AF,28,0)+VLOOKUP(E:E,'（居民）工资表-7月'!E:AG,29,0),0)</f>
        <v>573.72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51000</v>
      </c>
      <c r="T12" s="91">
        <f>5000+IFERROR(VLOOKUP($E:$E,'（居民）工资表-7月'!$E:$T,16,0),0)</f>
        <v>35000</v>
      </c>
      <c r="U12" s="91">
        <f>Q12+IFERROR(VLOOKUP($E:$E,'（居民）工资表-7月'!$E:$U,17,0),0)</f>
        <v>5425.84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10574.16</v>
      </c>
      <c r="AE12" s="96">
        <f>ROUND(MAX((AD12)*{0.03;0.1;0.2;0.25;0.3;0.35;0.45}-{0;2520;16920;31920;52920;85920;181920},0),2)</f>
        <v>317.22</v>
      </c>
      <c r="AF12" s="97">
        <f>IFERROR(VLOOKUP(E:E,'（居民）工资表-7月'!E:AF,28,0)+VLOOKUP(E:E,'（居民）工资表-7月'!E:AG,29,0),0)</f>
        <v>265.38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53000</v>
      </c>
      <c r="T13" s="91">
        <f>5000+IFERROR(VLOOKUP($E:$E,'（居民）工资表-7月'!$E:$T,16,0),0)</f>
        <v>35000</v>
      </c>
      <c r="U13" s="91">
        <f>Q13+IFERROR(VLOOKUP($E:$E,'（居民）工资表-7月'!$E:$U,17,0),0)</f>
        <v>5425.84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12574.16</v>
      </c>
      <c r="AE13" s="96">
        <f>ROUND(MAX((AD13)*{0.03;0.1;0.2;0.25;0.3;0.35;0.45}-{0;2520;16920;31920;52920;85920;181920},0),2)</f>
        <v>377.22</v>
      </c>
      <c r="AF13" s="97">
        <f>IFERROR(VLOOKUP(E:E,'（居民）工资表-7月'!E:AF,28,0)+VLOOKUP(E:E,'（居民）工资表-7月'!E:AG,29,0),0)</f>
        <v>310.38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184</v>
      </c>
      <c r="C14" s="37" t="s">
        <v>199</v>
      </c>
      <c r="D14" s="37" t="s">
        <v>120</v>
      </c>
      <c r="E14" s="352" t="s">
        <v>200</v>
      </c>
      <c r="F14" s="38" t="s">
        <v>187</v>
      </c>
      <c r="G14" s="39" t="s">
        <v>201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41572.73</v>
      </c>
      <c r="T14" s="91">
        <f>5000+IFERROR(VLOOKUP($E:$E,'（居民）工资表-7月'!$E:$T,16,0),0)</f>
        <v>30000</v>
      </c>
      <c r="U14" s="91">
        <f>Q14+IFERROR(VLOOKUP($E:$E,'（居民）工资表-7月'!$E:$U,17,0),0)</f>
        <v>2795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8777.73</v>
      </c>
      <c r="AE14" s="96">
        <f>ROUND(MAX((AD14)*{0.03;0.1;0.2;0.25;0.3;0.35;0.45}-{0;2520;16920;31920;52920;85920;181920},0),2)</f>
        <v>263.33</v>
      </c>
      <c r="AF14" s="97">
        <f>IFERROR(VLOOKUP(E:E,'（居民）工资表-7月'!E:AF,28,0)+VLOOKUP(E:E,'（居民）工资表-7月'!E:AG,29,0),0)</f>
        <v>234.15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184</v>
      </c>
      <c r="C15" s="37" t="s">
        <v>202</v>
      </c>
      <c r="D15" s="37" t="s">
        <v>120</v>
      </c>
      <c r="E15" s="352" t="s">
        <v>203</v>
      </c>
      <c r="F15" s="38" t="s">
        <v>187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35401.09</v>
      </c>
      <c r="T15" s="91">
        <f>5000+IFERROR(VLOOKUP($E:$E,'（居民）工资表-7月'!$E:$T,16,0),0)</f>
        <v>30000</v>
      </c>
      <c r="U15" s="91">
        <f>Q15+IFERROR(VLOOKUP($E:$E,'（居民）工资表-7月'!$E:$U,17,0),0)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3290.25</v>
      </c>
      <c r="AE15" s="96">
        <f>ROUND(MAX((AD15)*{0.03;0.1;0.2;0.25;0.3;0.35;0.45}-{0;2520;16920;31920;52920;85920;181920},0),2)</f>
        <v>98.71</v>
      </c>
      <c r="AF15" s="97">
        <f>IFERROR(VLOOKUP(E:E,'（居民）工资表-7月'!E:AF,28,0)+VLOOKUP(E:E,'（居民）工资表-7月'!E:AG,29,0),0)</f>
        <v>104.01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184</v>
      </c>
      <c r="C16" s="37" t="s">
        <v>139</v>
      </c>
      <c r="D16" s="37" t="s">
        <v>120</v>
      </c>
      <c r="E16" s="352" t="s">
        <v>140</v>
      </c>
      <c r="F16" s="38" t="s">
        <v>187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42000</v>
      </c>
      <c r="T16" s="91">
        <f>5000+IFERROR(VLOOKUP($E:$E,'（居民）工资表-7月'!$E:$T,16,0),0)</f>
        <v>35000</v>
      </c>
      <c r="U16" s="91">
        <f>Q16+IFERROR(VLOOKUP($E:$E,'（居民）工资表-7月'!$E:$U,17,0),0)</f>
        <v>3696.84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3303.16</v>
      </c>
      <c r="AE16" s="96">
        <f>ROUND(MAX((AD16)*{0.03;0.1;0.2;0.25;0.3;0.35;0.45}-{0;2520;16920;31920;52920;85920;181920},0),2)</f>
        <v>99.09</v>
      </c>
      <c r="AF16" s="97">
        <f>IFERROR(VLOOKUP(E:E,'（居民）工资表-7月'!E:AF,28,0)+VLOOKUP(E:E,'（居民）工资表-7月'!E:AG,29,0),0)</f>
        <v>84.84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184</v>
      </c>
      <c r="C17" s="37" t="s">
        <v>141</v>
      </c>
      <c r="D17" s="37" t="s">
        <v>120</v>
      </c>
      <c r="E17" s="352" t="s">
        <v>142</v>
      </c>
      <c r="F17" s="38" t="s">
        <v>185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69904.76</v>
      </c>
      <c r="T17" s="91">
        <f>5000+IFERROR(VLOOKUP($E:$E,'（居民）工资表-7月'!$E:$T,16,0),0)</f>
        <v>35000</v>
      </c>
      <c r="U17" s="91">
        <f>Q17+IFERROR(VLOOKUP($E:$E,'（居民）工资表-7月'!$E:$U,17,0),0)</f>
        <v>3716.26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31188.5</v>
      </c>
      <c r="AE17" s="96">
        <f>ROUND(MAX((AD17)*{0.03;0.1;0.2;0.25;0.3;0.35;0.45}-{0;2520;16920;31920;52920;85920;181920},0),2)</f>
        <v>935.66</v>
      </c>
      <c r="AF17" s="97">
        <f>IFERROR(VLOOKUP(E:E,'（居民）工资表-7月'!E:AF,28,0)+VLOOKUP(E:E,'（居民）工资表-7月'!E:AG,29,0),0)</f>
        <v>801.49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184</v>
      </c>
      <c r="C18" s="37" t="s">
        <v>204</v>
      </c>
      <c r="D18" s="37" t="s">
        <v>120</v>
      </c>
      <c r="E18" s="37" t="s">
        <v>205</v>
      </c>
      <c r="F18" s="38" t="s">
        <v>185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28350.3</v>
      </c>
      <c r="T18" s="91">
        <f>5000+IFERROR(VLOOKUP($E:$E,'（居民）工资表-7月'!$E:$T,16,0),0)</f>
        <v>25000</v>
      </c>
      <c r="U18" s="91">
        <f>Q18+IFERROR(VLOOKUP($E:$E,'（居民）工资表-7月'!$E:$U,17,0),0)</f>
        <v>3315.42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34.88</v>
      </c>
      <c r="AE18" s="96">
        <f>ROUND(MAX((AD18)*{0.03;0.1;0.2;0.25;0.3;0.35;0.45}-{0;2520;16920;31920;52920;85920;181920},0),2)</f>
        <v>1.05</v>
      </c>
      <c r="AF18" s="97">
        <f>IFERROR(VLOOKUP(E:E,'（居民）工资表-7月'!E:AF,28,0)+VLOOKUP(E:E,'（居民）工资表-7月'!E:AG,29,0),0)</f>
        <v>0</v>
      </c>
      <c r="AG18" s="97">
        <f t="shared" si="3"/>
        <v>1.05</v>
      </c>
      <c r="AH18" s="107">
        <f t="shared" si="4"/>
        <v>7046.38</v>
      </c>
      <c r="AI18" s="108"/>
      <c r="AJ18" s="107">
        <f t="shared" si="5"/>
        <v>7046.38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143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908201.95</v>
      </c>
      <c r="T20" s="74">
        <f t="shared" si="10"/>
        <v>505000</v>
      </c>
      <c r="U20" s="74">
        <f t="shared" si="10"/>
        <v>63400.9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339801.05</v>
      </c>
      <c r="AE20" s="74">
        <f t="shared" si="10"/>
        <v>22206.45</v>
      </c>
      <c r="AF20" s="74">
        <f t="shared" si="10"/>
        <v>15216.82</v>
      </c>
      <c r="AG20" s="74">
        <f t="shared" si="10"/>
        <v>6994.93</v>
      </c>
      <c r="AH20" s="74">
        <f t="shared" si="10"/>
        <v>120028.95</v>
      </c>
      <c r="AI20" s="74">
        <f t="shared" si="10"/>
        <v>0</v>
      </c>
      <c r="AJ20" s="74">
        <f t="shared" si="10"/>
        <v>120028.95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144</v>
      </c>
      <c r="C24" s="47" t="s">
        <v>145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120028.95</v>
      </c>
      <c r="C25" s="48">
        <f>AG20</f>
        <v>6994.93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206</v>
      </c>
      <c r="B27" s="52" t="s">
        <v>207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208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209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210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211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212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213</v>
      </c>
    </row>
    <row r="35" spans="2:2">
      <c r="B35" s="59" t="s">
        <v>214</v>
      </c>
    </row>
    <row r="36" spans="2:2">
      <c r="B36" s="59" t="s">
        <v>215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L4+IFERROR(VLOOKUP($E:$E,'（居民）工资表-8月'!$E:$S,15,0),0)</f>
        <v>64000</v>
      </c>
      <c r="T4" s="91">
        <f>5000+IFERROR(VLOOKUP($E:$E,'（居民）工资表-8月'!$E:$T,16,0),0)</f>
        <v>40000</v>
      </c>
      <c r="U4" s="91">
        <f>Q4+IFERROR(VLOOKUP($E:$E,'（居民）工资表-8月'!$E:$U,17,0),0)</f>
        <v>4826.05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19173.95</v>
      </c>
      <c r="AE4" s="96">
        <f>ROUND(MAX((AD4)*{0.03;0.1;0.2;0.25;0.3;0.35;0.45}-{0;2520;16920;31920;52920;85920;181920},0),2)</f>
        <v>575.22</v>
      </c>
      <c r="AF4" s="97">
        <f>IFERROR(VLOOKUP(E:E,'（居民）工资表-8月'!E:AF,28,0)+VLOOKUP(E:E,'（居民）工资表-8月'!E:AG,29,0),0)</f>
        <v>503.85</v>
      </c>
      <c r="AG4" s="97">
        <f>AE4-AF4</f>
        <v>71.37</v>
      </c>
      <c r="AH4" s="107">
        <f>ROUND(IF((L4-Q4-AG4)&lt;0,0,(L4-Q4-AG4)),2)</f>
        <v>7307.6</v>
      </c>
      <c r="AI4" s="108"/>
      <c r="AJ4" s="107">
        <f>AH4+AI4</f>
        <v>7307.6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ref="Q5:Q19" si="0">ROUND(SUM(M5:P5),2)</f>
        <v>662.24</v>
      </c>
      <c r="R5" s="70">
        <v>0</v>
      </c>
      <c r="S5" s="90">
        <f>L5+IFERROR(VLOOKUP($E:$E,'（居民）工资表-8月'!$E:$S,15,0),0)</f>
        <v>47660</v>
      </c>
      <c r="T5" s="91">
        <f>5000+IFERROR(VLOOKUP($E:$E,'（居民）工资表-8月'!$E:$T,16,0),0)</f>
        <v>40000</v>
      </c>
      <c r="U5" s="91">
        <f>Q5+IFERROR(VLOOKUP($E:$E,'（居民）工资表-8月'!$E:$U,17,0),0)</f>
        <v>5449.36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2210.64</v>
      </c>
      <c r="AE5" s="96">
        <f>ROUND(MAX((AD5)*{0.03;0.1;0.2;0.25;0.3;0.35;0.45}-{0;2520;16920;31920;52920;85920;181920},0),2)</f>
        <v>66.32</v>
      </c>
      <c r="AF5" s="97">
        <f>IFERROR(VLOOKUP(E:E,'（居民）工资表-8月'!E:AF,28,0)+VLOOKUP(E:E,'（居民）工资表-8月'!E:AG,29,0),0)</f>
        <v>53.19</v>
      </c>
      <c r="AG5" s="97">
        <f t="shared" ref="AG5:AG19" si="3">AE5-AF5</f>
        <v>13.13</v>
      </c>
      <c r="AH5" s="107">
        <f t="shared" ref="AH5:AH19" si="4">ROUND(IF((L5-Q5-AG5)&lt;0,0,(L5-Q5-AG5)),2)</f>
        <v>5424.63</v>
      </c>
      <c r="AI5" s="108"/>
      <c r="AJ5" s="107">
        <f t="shared" ref="AJ5:AJ19" si="5">AH5+AI5</f>
        <v>5424.63</v>
      </c>
      <c r="AK5" s="109"/>
      <c r="AL5" s="107">
        <f t="shared" ref="AL5:AL19" si="6">AJ5+AG5+AK5</f>
        <v>5437.76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202</v>
      </c>
      <c r="Q6" s="89">
        <f t="shared" si="0"/>
        <v>977.32</v>
      </c>
      <c r="R6" s="70">
        <v>0</v>
      </c>
      <c r="S6" s="90">
        <f>L6+IFERROR(VLOOKUP($E:$E,'（居民）工资表-8月'!$E:$S,15,0),0)</f>
        <v>240480</v>
      </c>
      <c r="T6" s="91">
        <f>5000+IFERROR(VLOOKUP($E:$E,'（居民）工资表-8月'!$E:$T,16,0),0)</f>
        <v>40000</v>
      </c>
      <c r="U6" s="91">
        <f>Q6+IFERROR(VLOOKUP($E:$E,'（居民）工资表-8月'!$E:$U,17,0),0)</f>
        <v>7647.48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192832.52</v>
      </c>
      <c r="AE6" s="96">
        <f>ROUND(MAX((AD6)*{0.03;0.1;0.2;0.25;0.3;0.35;0.45}-{0;2520;16920;31920;52920;85920;181920},0),2)</f>
        <v>21646.5</v>
      </c>
      <c r="AF6" s="97">
        <f>IFERROR(VLOOKUP(E:E,'（居民）工资表-8月'!E:AF,28,0)+VLOOKUP(E:E,'（居民）工资表-8月'!E:AG,29,0),0)</f>
        <v>16829.97</v>
      </c>
      <c r="AG6" s="97">
        <f t="shared" si="3"/>
        <v>4816.53</v>
      </c>
      <c r="AH6" s="107">
        <f t="shared" si="4"/>
        <v>24266.15</v>
      </c>
      <c r="AI6" s="108"/>
      <c r="AJ6" s="107">
        <f t="shared" si="5"/>
        <v>24266.15</v>
      </c>
      <c r="AK6" s="109"/>
      <c r="AL6" s="107">
        <f t="shared" si="6"/>
        <v>29082.68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9000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L7+IFERROR(VLOOKUP($E:$E,'（居民）工资表-8月'!$E:$S,15,0),0)</f>
        <v>73000</v>
      </c>
      <c r="T7" s="91">
        <f>5000+IFERROR(VLOOKUP($E:$E,'（居民）工资表-8月'!$E:$T,16,0),0)</f>
        <v>40000</v>
      </c>
      <c r="U7" s="91">
        <f>Q7+IFERROR(VLOOKUP($E:$E,'（居民）工资表-8月'!$E:$U,17,0),0)</f>
        <v>4243.97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28756.03</v>
      </c>
      <c r="AE7" s="96">
        <f>ROUND(MAX((AD7)*{0.03;0.1;0.2;0.25;0.3;0.35;0.45}-{0;2520;16920;31920;52920;85920;181920},0),2)</f>
        <v>862.68</v>
      </c>
      <c r="AF7" s="97">
        <f>IFERROR(VLOOKUP(E:E,'（居民）工资表-8月'!E:AF,28,0)+VLOOKUP(E:E,'（居民）工资表-8月'!E:AG,29,0),0)</f>
        <v>758.51</v>
      </c>
      <c r="AG7" s="97">
        <f t="shared" si="3"/>
        <v>104.17</v>
      </c>
      <c r="AH7" s="107">
        <f t="shared" si="4"/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L8+IFERROR(VLOOKUP($E:$E,'（居民）工资表-8月'!$E:$S,15,0),0)</f>
        <v>87000</v>
      </c>
      <c r="T8" s="91">
        <f>5000+IFERROR(VLOOKUP($E:$E,'（居民）工资表-8月'!$E:$T,16,0),0)</f>
        <v>40000</v>
      </c>
      <c r="U8" s="91">
        <f>Q8+IFERROR(VLOOKUP($E:$E,'（居民）工资表-8月'!$E:$U,17,0),0)</f>
        <v>6197.84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40802.16</v>
      </c>
      <c r="AE8" s="96">
        <f>ROUND(MAX((AD8)*{0.03;0.1;0.2;0.25;0.3;0.35;0.45}-{0;2520;16920;31920;52920;85920;181920},0),2)</f>
        <v>1560.22</v>
      </c>
      <c r="AF8" s="97">
        <f>IFERROR(VLOOKUP(E:E,'（居民）工资表-8月'!E:AF,28,0)+VLOOKUP(E:E,'（居民）工资表-8月'!E:AG,29,0),0)</f>
        <v>1087.42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L9+IFERROR(VLOOKUP($E:$E,'（居民）工资表-8月'!$E:$S,15,0),0)</f>
        <v>52000</v>
      </c>
      <c r="T9" s="91">
        <f>5000+IFERROR(VLOOKUP($E:$E,'（居民）工资表-8月'!$E:$T,16,0),0)</f>
        <v>40000</v>
      </c>
      <c r="U9" s="91">
        <f>Q9+IFERROR(VLOOKUP($E:$E,'（居民）工资表-8月'!$E:$U,17,0),0)</f>
        <v>4217.38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7782.62</v>
      </c>
      <c r="AE9" s="96">
        <f>ROUND(MAX((AD9)*{0.03;0.1;0.2;0.25;0.3;0.35;0.45}-{0;2520;16920;31920;52920;85920;181920},0),2)</f>
        <v>233.48</v>
      </c>
      <c r="AF9" s="97">
        <f>IFERROR(VLOOKUP(E:E,'（居民）工资表-8月'!E:AF,28,0)+VLOOKUP(E:E,'（居民）工资表-8月'!E:AG,29,0),0)</f>
        <v>204.28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L10+IFERROR(VLOOKUP($E:$E,'（居民）工资表-8月'!$E:$S,15,0),0)</f>
        <v>35941.04</v>
      </c>
      <c r="T10" s="91">
        <f>5000+IFERROR(VLOOKUP($E:$E,'（居民）工资表-8月'!$E:$T,16,0),0)</f>
        <v>40000</v>
      </c>
      <c r="U10" s="91">
        <f>Q10+IFERROR(VLOOKUP($E:$E,'（居民）工资表-8月'!$E:$U,17,0),0)</f>
        <v>5149.41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-9208.37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L11+IFERROR(VLOOKUP($E:$E,'（居民）工资表-8月'!$E:$S,15,0),0)</f>
        <v>70500</v>
      </c>
      <c r="T11" s="91">
        <f>5000+IFERROR(VLOOKUP($E:$E,'（居民）工资表-8月'!$E:$T,16,0),0)</f>
        <v>40000</v>
      </c>
      <c r="U11" s="91">
        <f>Q11+IFERROR(VLOOKUP($E:$E,'（居民）工资表-8月'!$E:$U,17,0),0)</f>
        <v>4493.84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26006.16</v>
      </c>
      <c r="AE11" s="96">
        <f>ROUND(MAX((AD11)*{0.03;0.1;0.2;0.25;0.3;0.35;0.45}-{0;2520;16920;31920;52920;85920;181920},0),2)</f>
        <v>780.18</v>
      </c>
      <c r="AF11" s="97">
        <f>IFERROR(VLOOKUP(E:E,'（居民）工资表-8月'!E:AF,28,0)+VLOOKUP(E:E,'（居民）工资表-8月'!E:AG,29,0),0)</f>
        <v>676.95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L12+IFERROR(VLOOKUP($E:$E,'（居民）工资表-8月'!$E:$S,15,0),0)</f>
        <v>58500</v>
      </c>
      <c r="T12" s="91">
        <f>5000+IFERROR(VLOOKUP($E:$E,'（居民）工资表-8月'!$E:$T,16,0),0)</f>
        <v>40000</v>
      </c>
      <c r="U12" s="91">
        <f>Q12+IFERROR(VLOOKUP($E:$E,'（居民）工资表-8月'!$E:$U,17,0),0)</f>
        <v>6197.84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12302.16</v>
      </c>
      <c r="AE12" s="96">
        <f>ROUND(MAX((AD12)*{0.03;0.1;0.2;0.25;0.3;0.35;0.45}-{0;2520;16920;31920;52920;85920;181920},0),2)</f>
        <v>369.06</v>
      </c>
      <c r="AF12" s="97">
        <f>IFERROR(VLOOKUP(E:E,'（居民）工资表-8月'!E:AF,28,0)+VLOOKUP(E:E,'（居民）工资表-8月'!E:AG,29,0),0)</f>
        <v>317.22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L13+IFERROR(VLOOKUP($E:$E,'（居民）工资表-8月'!$E:$S,15,0),0)</f>
        <v>61000</v>
      </c>
      <c r="T13" s="91">
        <f>5000+IFERROR(VLOOKUP($E:$E,'（居民）工资表-8月'!$E:$T,16,0),0)</f>
        <v>40000</v>
      </c>
      <c r="U13" s="91">
        <f>Q13+IFERROR(VLOOKUP($E:$E,'（居民）工资表-8月'!$E:$U,17,0),0)</f>
        <v>6197.84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14802.16</v>
      </c>
      <c r="AE13" s="96">
        <f>ROUND(MAX((AD13)*{0.03;0.1;0.2;0.25;0.3;0.35;0.45}-{0;2520;16920;31920;52920;85920;181920},0),2)</f>
        <v>444.06</v>
      </c>
      <c r="AF13" s="97">
        <f>IFERROR(VLOOKUP(E:E,'（居民）工资表-8月'!E:AF,28,0)+VLOOKUP(E:E,'（居民）工资表-8月'!E:AG,29,0),0)</f>
        <v>377.22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13</v>
      </c>
      <c r="B14" s="37" t="s">
        <v>184</v>
      </c>
      <c r="C14" s="37" t="s">
        <v>139</v>
      </c>
      <c r="D14" s="37" t="s">
        <v>120</v>
      </c>
      <c r="E14" s="352" t="s">
        <v>140</v>
      </c>
      <c r="F14" s="38" t="s">
        <v>187</v>
      </c>
      <c r="G14" s="39"/>
      <c r="H14" s="40"/>
      <c r="I14" s="40"/>
      <c r="J14" s="69"/>
      <c r="K14" s="40"/>
      <c r="L14" s="70">
        <v>6000</v>
      </c>
      <c r="M14" s="71">
        <v>321.52</v>
      </c>
      <c r="N14" s="71">
        <v>80.38</v>
      </c>
      <c r="O14" s="71">
        <v>20.1</v>
      </c>
      <c r="P14" s="71">
        <v>103</v>
      </c>
      <c r="Q14" s="89">
        <f t="shared" si="0"/>
        <v>525</v>
      </c>
      <c r="R14" s="70">
        <v>0</v>
      </c>
      <c r="S14" s="90">
        <f>L14+IFERROR(VLOOKUP($E:$E,'（居民）工资表-8月'!$E:$S,15,0),0)</f>
        <v>48000</v>
      </c>
      <c r="T14" s="91">
        <f>5000+IFERROR(VLOOKUP($E:$E,'（居民）工资表-8月'!$E:$T,16,0),0)</f>
        <v>40000</v>
      </c>
      <c r="U14" s="91">
        <f>Q14+IFERROR(VLOOKUP($E:$E,'（居民）工资表-8月'!$E:$U,17,0),0)</f>
        <v>4221.84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3778.16</v>
      </c>
      <c r="AE14" s="96">
        <f>ROUND(MAX((AD14)*{0.03;0.1;0.2;0.25;0.3;0.35;0.45}-{0;2520;16920;31920;52920;85920;181920},0),2)</f>
        <v>113.34</v>
      </c>
      <c r="AF14" s="97">
        <f>IFERROR(VLOOKUP(E:E,'（居民）工资表-8月'!E:AF,28,0)+VLOOKUP(E:E,'（居民）工资表-8月'!E:AG,29,0),0)</f>
        <v>99.09</v>
      </c>
      <c r="AG14" s="97">
        <f t="shared" si="3"/>
        <v>14.25</v>
      </c>
      <c r="AH14" s="107">
        <f t="shared" si="4"/>
        <v>5460.75</v>
      </c>
      <c r="AI14" s="108"/>
      <c r="AJ14" s="107">
        <f t="shared" si="5"/>
        <v>5460.75</v>
      </c>
      <c r="AK14" s="109"/>
      <c r="AL14" s="107">
        <f t="shared" si="6"/>
        <v>5475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</row>
    <row r="15" s="12" customFormat="1" ht="18" customHeight="1" spans="1:46">
      <c r="A15" s="36">
        <v>14</v>
      </c>
      <c r="B15" s="37" t="s">
        <v>184</v>
      </c>
      <c r="C15" s="37" t="s">
        <v>141</v>
      </c>
      <c r="D15" s="37" t="s">
        <v>120</v>
      </c>
      <c r="E15" s="352" t="s">
        <v>142</v>
      </c>
      <c r="F15" s="38" t="s">
        <v>185</v>
      </c>
      <c r="G15" s="39">
        <v>15056587375</v>
      </c>
      <c r="H15" s="40"/>
      <c r="I15" s="40"/>
      <c r="J15" s="69"/>
      <c r="K15" s="40"/>
      <c r="L15" s="70">
        <v>10000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L15+IFERROR(VLOOKUP($E:$E,'（居民）工资表-8月'!$E:$S,15,0),0)</f>
        <v>79904.76</v>
      </c>
      <c r="T15" s="91">
        <f>5000+IFERROR(VLOOKUP($E:$E,'（居民）工资表-8月'!$E:$T,16,0),0)</f>
        <v>40000</v>
      </c>
      <c r="U15" s="91">
        <f>Q15+IFERROR(VLOOKUP($E:$E,'（居民）工资表-8月'!$E:$U,17,0),0)</f>
        <v>4243.97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35660.79</v>
      </c>
      <c r="AE15" s="96">
        <f>ROUND(MAX((AD15)*{0.03;0.1;0.2;0.25;0.3;0.35;0.45}-{0;2520;16920;31920;52920;85920;181920},0),2)</f>
        <v>1069.82</v>
      </c>
      <c r="AF15" s="97">
        <f>IFERROR(VLOOKUP(E:E,'（居民）工资表-8月'!E:AF,28,0)+VLOOKUP(E:E,'（居民）工资表-8月'!E:AG,29,0),0)</f>
        <v>935.66</v>
      </c>
      <c r="AG15" s="97">
        <f t="shared" si="3"/>
        <v>134.16</v>
      </c>
      <c r="AH15" s="107">
        <f t="shared" si="4"/>
        <v>9338.13</v>
      </c>
      <c r="AI15" s="108"/>
      <c r="AJ15" s="107">
        <f t="shared" si="5"/>
        <v>9338.13</v>
      </c>
      <c r="AK15" s="109"/>
      <c r="AL15" s="107">
        <f t="shared" si="6"/>
        <v>9472.29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</row>
    <row r="16" s="12" customFormat="1" ht="18" customHeight="1" spans="1:46">
      <c r="A16" s="36">
        <v>15</v>
      </c>
      <c r="B16" s="37" t="s">
        <v>184</v>
      </c>
      <c r="C16" s="37" t="s">
        <v>204</v>
      </c>
      <c r="D16" s="37" t="s">
        <v>120</v>
      </c>
      <c r="E16" s="37" t="s">
        <v>205</v>
      </c>
      <c r="F16" s="38" t="s">
        <v>185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L16+IFERROR(VLOOKUP($E:$E,'（居民）工资表-7月'!$E:$S,15,0),0)</f>
        <v>28350.3</v>
      </c>
      <c r="T16" s="91">
        <f>5000+IFERROR(VLOOKUP($E:$E,'（居民）工资表-7月'!$E:$T,16,0),0)</f>
        <v>25000</v>
      </c>
      <c r="U16" s="91">
        <f>Q16+IFERROR(VLOOKUP($E:$E,'（居民）工资表-7月'!$E:$U,17,0),0)</f>
        <v>3315.42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34.88</v>
      </c>
      <c r="AE16" s="96">
        <f>ROUND(MAX((AD16)*{0.03;0.1;0.2;0.25;0.3;0.35;0.45}-{0;2520;16920;31920;52920;85920;181920},0),2)</f>
        <v>1.05</v>
      </c>
      <c r="AF16" s="97">
        <f>IFERROR(VLOOKUP(E:E,'（居民）工资表-7月'!E:AF,28,0)+VLOOKUP(E:E,'（居民）工资表-7月'!E:AG,29,0),0)</f>
        <v>0</v>
      </c>
      <c r="AG16" s="97">
        <f>IF((AE16-AF16)&lt;0,0,AE16-AF16)</f>
        <v>1.05</v>
      </c>
      <c r="AH16" s="107">
        <f t="shared" si="4"/>
        <v>7046.38</v>
      </c>
      <c r="AI16" s="108"/>
      <c r="AJ16" s="107">
        <f t="shared" si="5"/>
        <v>7046.38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IF(SUMPRODUCT(N(E$1:E$18=E16))&gt;1,"重复","不")</f>
        <v>不</v>
      </c>
      <c r="AT16" s="116" t="str">
        <f>IF(SUMPRODUCT(N(AO$1:AO$18=AO16))&gt;1,"重复","不")</f>
        <v>重复</v>
      </c>
    </row>
    <row r="17" s="12" customFormat="1" ht="19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9" customHeight="1" spans="1:46">
      <c r="A18" s="41"/>
      <c r="B18" s="42" t="s">
        <v>143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122707.97</v>
      </c>
      <c r="M18" s="74">
        <f>SUM(M4:M17)</f>
        <v>4671.85</v>
      </c>
      <c r="N18" s="74">
        <f>SUM(N4:N17)</f>
        <v>1295.96</v>
      </c>
      <c r="O18" s="74">
        <f t="shared" ref="O18:AL18" si="10">SUM(O4:O17)</f>
        <v>245.04</v>
      </c>
      <c r="P18" s="74">
        <f t="shared" si="10"/>
        <v>2246.9</v>
      </c>
      <c r="Q18" s="74">
        <f t="shared" si="10"/>
        <v>8459.75</v>
      </c>
      <c r="R18" s="74">
        <f t="shared" si="10"/>
        <v>0</v>
      </c>
      <c r="S18" s="74">
        <f t="shared" si="10"/>
        <v>946336.1</v>
      </c>
      <c r="T18" s="74">
        <f t="shared" si="10"/>
        <v>505000</v>
      </c>
      <c r="U18" s="74">
        <f t="shared" si="10"/>
        <v>66402.24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374933.86</v>
      </c>
      <c r="AE18" s="74">
        <f t="shared" si="10"/>
        <v>27721.93</v>
      </c>
      <c r="AF18" s="74">
        <f t="shared" si="10"/>
        <v>21843.36</v>
      </c>
      <c r="AG18" s="74">
        <f t="shared" si="10"/>
        <v>5878.57</v>
      </c>
      <c r="AH18" s="74">
        <f t="shared" si="10"/>
        <v>108369.65</v>
      </c>
      <c r="AI18" s="74">
        <f t="shared" si="10"/>
        <v>0</v>
      </c>
      <c r="AJ18" s="74">
        <f t="shared" si="10"/>
        <v>108369.65</v>
      </c>
      <c r="AK18" s="74">
        <f t="shared" si="10"/>
        <v>0</v>
      </c>
      <c r="AL18" s="74">
        <f t="shared" si="10"/>
        <v>114248.22</v>
      </c>
      <c r="AM18" s="110"/>
      <c r="AN18" s="110"/>
      <c r="AO18" s="110"/>
      <c r="AP18" s="110"/>
      <c r="AQ18" s="110"/>
      <c r="AR18" s="45"/>
      <c r="AS18" s="45"/>
      <c r="AT18" s="118"/>
    </row>
    <row r="19" ht="19" customHeight="1"/>
    <row r="20" ht="19" customHeight="1"/>
    <row r="21" ht="19" customHeight="1" spans="30:30">
      <c r="AD21" s="101"/>
    </row>
    <row r="22" ht="19" customHeight="1" spans="2:30">
      <c r="B22" s="47" t="s">
        <v>144</v>
      </c>
      <c r="C22" s="47" t="s">
        <v>145</v>
      </c>
      <c r="D22" s="47" t="s">
        <v>22</v>
      </c>
      <c r="E22" s="47" t="s">
        <v>23</v>
      </c>
      <c r="AD22" s="10"/>
    </row>
    <row r="23" ht="19" customHeight="1" spans="2:5">
      <c r="B23" s="48">
        <f>AJ18</f>
        <v>108369.65</v>
      </c>
      <c r="C23" s="48">
        <f>AG18</f>
        <v>5878.57</v>
      </c>
      <c r="D23" s="48">
        <f>AK18</f>
        <v>0</v>
      </c>
      <c r="E23" s="48">
        <f>B23+C23+D23</f>
        <v>114248.22</v>
      </c>
    </row>
    <row r="24" ht="19" customHeight="1" spans="2:5">
      <c r="B24" s="49"/>
      <c r="C24" s="49"/>
      <c r="D24" s="49"/>
      <c r="E24" s="49"/>
    </row>
    <row r="25" s="14" customFormat="1" ht="19" customHeight="1" spans="1:35">
      <c r="A25" s="51" t="s">
        <v>206</v>
      </c>
      <c r="B25" s="52" t="s">
        <v>207</v>
      </c>
      <c r="C25" s="50"/>
      <c r="D25" s="50"/>
      <c r="E25" s="50"/>
      <c r="G25" s="53"/>
      <c r="J25" s="75"/>
      <c r="M25" s="76"/>
      <c r="AI25" s="112"/>
    </row>
    <row r="26" s="14" customFormat="1" ht="19" customHeight="1" spans="1:35">
      <c r="A26" s="54"/>
      <c r="B26" s="55" t="s">
        <v>208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209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210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211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212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213</v>
      </c>
    </row>
    <row r="33" spans="2:2">
      <c r="B33" s="59" t="s">
        <v>214</v>
      </c>
    </row>
    <row r="34" spans="2:2">
      <c r="B34" s="59" t="s">
        <v>215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146</v>
      </c>
      <c r="B1" s="21"/>
      <c r="C1" s="22"/>
      <c r="D1" s="23"/>
      <c r="E1" s="24"/>
      <c r="F1" s="24"/>
      <c r="G1" s="25"/>
      <c r="J1" s="60"/>
      <c r="L1" s="61"/>
      <c r="M1" s="62" t="s">
        <v>147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148</v>
      </c>
      <c r="C2" s="28" t="s">
        <v>149</v>
      </c>
      <c r="D2" s="28" t="s">
        <v>150</v>
      </c>
      <c r="E2" s="29" t="s">
        <v>151</v>
      </c>
      <c r="F2" s="30" t="s">
        <v>152</v>
      </c>
      <c r="G2" s="29" t="s">
        <v>153</v>
      </c>
      <c r="H2" s="29" t="s">
        <v>154</v>
      </c>
      <c r="I2" s="29" t="s">
        <v>155</v>
      </c>
      <c r="J2" s="63" t="s">
        <v>156</v>
      </c>
      <c r="K2" s="29" t="s">
        <v>157</v>
      </c>
      <c r="L2" s="29" t="s">
        <v>158</v>
      </c>
      <c r="M2" s="64" t="s">
        <v>159</v>
      </c>
      <c r="N2" s="65"/>
      <c r="O2" s="65"/>
      <c r="P2" s="66"/>
      <c r="Q2" s="30" t="s">
        <v>160</v>
      </c>
      <c r="R2" s="29" t="s">
        <v>161</v>
      </c>
      <c r="S2" s="30" t="s">
        <v>162</v>
      </c>
      <c r="T2" s="84" t="s">
        <v>163</v>
      </c>
      <c r="U2" s="30" t="s">
        <v>164</v>
      </c>
      <c r="V2" s="85" t="s">
        <v>165</v>
      </c>
      <c r="W2" s="86"/>
      <c r="X2" s="86"/>
      <c r="Y2" s="86"/>
      <c r="Z2" s="86"/>
      <c r="AA2" s="94"/>
      <c r="AB2" s="30" t="s">
        <v>166</v>
      </c>
      <c r="AC2" s="30" t="s">
        <v>167</v>
      </c>
      <c r="AD2" s="84" t="s">
        <v>168</v>
      </c>
      <c r="AE2" s="84" t="s">
        <v>169</v>
      </c>
      <c r="AF2" s="84" t="s">
        <v>170</v>
      </c>
      <c r="AG2" s="84" t="s">
        <v>171</v>
      </c>
      <c r="AH2" s="103" t="s">
        <v>172</v>
      </c>
      <c r="AI2" s="104" t="s">
        <v>173</v>
      </c>
      <c r="AJ2" s="103" t="s">
        <v>144</v>
      </c>
      <c r="AK2" s="28" t="s">
        <v>22</v>
      </c>
      <c r="AL2" s="103" t="s">
        <v>174</v>
      </c>
      <c r="AM2" s="29" t="s">
        <v>216</v>
      </c>
      <c r="AN2" s="29" t="s">
        <v>217</v>
      </c>
      <c r="AO2" s="114" t="s">
        <v>218</v>
      </c>
      <c r="AP2" s="29" t="s">
        <v>219</v>
      </c>
      <c r="AQ2" s="29" t="s">
        <v>220</v>
      </c>
      <c r="AR2" s="30" t="s">
        <v>221</v>
      </c>
      <c r="AS2" s="30" t="s">
        <v>222</v>
      </c>
      <c r="AT2" s="30" t="s">
        <v>223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175</v>
      </c>
      <c r="N3" s="68" t="s">
        <v>176</v>
      </c>
      <c r="O3" s="68" t="s">
        <v>177</v>
      </c>
      <c r="P3" s="68" t="s">
        <v>37</v>
      </c>
      <c r="Q3" s="35"/>
      <c r="R3" s="34"/>
      <c r="S3" s="35"/>
      <c r="T3" s="87"/>
      <c r="U3" s="35"/>
      <c r="V3" s="88" t="s">
        <v>178</v>
      </c>
      <c r="W3" s="88" t="s">
        <v>179</v>
      </c>
      <c r="X3" s="88" t="s">
        <v>180</v>
      </c>
      <c r="Y3" s="88" t="s">
        <v>181</v>
      </c>
      <c r="Z3" s="88" t="s">
        <v>182</v>
      </c>
      <c r="AA3" s="88" t="s">
        <v>183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184</v>
      </c>
      <c r="C4" s="37" t="s">
        <v>61</v>
      </c>
      <c r="D4" s="37" t="s">
        <v>120</v>
      </c>
      <c r="E4" s="37" t="s">
        <v>62</v>
      </c>
      <c r="F4" s="38" t="s">
        <v>185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1" si="0">ROUND(SUM(M4:P4),2)</f>
        <v>621.03</v>
      </c>
      <c r="R4" s="70">
        <v>0</v>
      </c>
      <c r="S4" s="90">
        <f>L4+IFERROR(VLOOKUP($E:$E,'（居民）工资表-9月'!$E:$S,15,0),0)</f>
        <v>72000</v>
      </c>
      <c r="T4" s="91">
        <f>5000+IFERROR(VLOOKUP($E:$E,'（居民）工资表-9月'!$E:$T,16,0),0)</f>
        <v>45000</v>
      </c>
      <c r="U4" s="91">
        <f>Q4+IFERROR(VLOOKUP($E:$E,'（居民）工资表-9月'!$E:$U,17,0),0)</f>
        <v>5447.08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-2447.08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575.22</v>
      </c>
      <c r="AG4" s="97">
        <f t="shared" ref="AG4:AG11" si="3">IF((AE4-AF4)&lt;0,0,AE4-AF4)</f>
        <v>0</v>
      </c>
      <c r="AH4" s="107">
        <f t="shared" ref="AH4:AH11" si="4">ROUND(IF((L4-Q4-AG4)&lt;0,0,(L4-Q4-AG4)),2)</f>
        <v>7378.97</v>
      </c>
      <c r="AI4" s="108"/>
      <c r="AJ4" s="107">
        <f t="shared" ref="AJ4:AJ11" si="5">AH4+AI4</f>
        <v>7378.97</v>
      </c>
      <c r="AK4" s="109"/>
      <c r="AL4" s="107">
        <f t="shared" ref="AL4:AL11" si="6">AJ4+AG4+AK4</f>
        <v>7378.97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186</v>
      </c>
      <c r="AW4" s="12" t="s">
        <v>51</v>
      </c>
    </row>
    <row r="5" s="12" customFormat="1" ht="18" customHeight="1" spans="1:49">
      <c r="A5" s="36">
        <v>2</v>
      </c>
      <c r="B5" s="37" t="s">
        <v>184</v>
      </c>
      <c r="C5" s="37" t="s">
        <v>121</v>
      </c>
      <c r="D5" s="37" t="s">
        <v>120</v>
      </c>
      <c r="E5" s="352" t="s">
        <v>122</v>
      </c>
      <c r="F5" s="38" t="s">
        <v>187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L5+IFERROR(VLOOKUP($E:$E,'（居民）工资表-9月'!$E:$S,15,0),0)</f>
        <v>53760</v>
      </c>
      <c r="T5" s="91">
        <f>5000+IFERROR(VLOOKUP($E:$E,'（居民）工资表-9月'!$E:$T,16,0),0)</f>
        <v>45000</v>
      </c>
      <c r="U5" s="91">
        <f>Q5+IFERROR(VLOOKUP($E:$E,'（居民）工资表-9月'!$E:$U,17,0),0)</f>
        <v>6111.6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2648.4</v>
      </c>
      <c r="AE5" s="96">
        <f>ROUND(MAX((AD5)*{0.03;0.1;0.2;0.25;0.3;0.35;0.45}-{0;2520;16920;31920;52920;85920;181920},0),2)</f>
        <v>79.45</v>
      </c>
      <c r="AF5" s="97">
        <f>IFERROR(VLOOKUP(E:E,'（居民）工资表-9月'!E:AF,28,0)+VLOOKUP(E:E,'（居民）工资表-9月'!E:AG,29,0),0)</f>
        <v>66.32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184</v>
      </c>
      <c r="C6" s="37" t="s">
        <v>123</v>
      </c>
      <c r="D6" s="37" t="s">
        <v>120</v>
      </c>
      <c r="E6" s="352" t="s">
        <v>124</v>
      </c>
      <c r="F6" s="38" t="s">
        <v>185</v>
      </c>
      <c r="G6" s="39" t="s">
        <v>125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L6+IFERROR(VLOOKUP($E:$E,'（居民）工资表-9月'!$E:$S,15,0),0)</f>
        <v>270540</v>
      </c>
      <c r="T6" s="91">
        <f>5000+IFERROR(VLOOKUP($E:$E,'（居民）工资表-9月'!$E:$T,16,0),0)</f>
        <v>45000</v>
      </c>
      <c r="U6" s="91">
        <f>Q6+IFERROR(VLOOKUP($E:$E,'（居民）工资表-9月'!$E:$U,17,0),0)</f>
        <v>8610.8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216929.2</v>
      </c>
      <c r="AE6" s="96">
        <f>ROUND(MAX((AD6)*{0.03;0.1;0.2;0.25;0.3;0.35;0.45}-{0;2520;16920;31920;52920;85920;181920},0),2)</f>
        <v>26465.84</v>
      </c>
      <c r="AF6" s="97">
        <f>IFERROR(VLOOKUP(E:E,'（居民）工资表-9月'!E:AF,28,0)+VLOOKUP(E:E,'（居民）工资表-9月'!E:AG,29,0),0)</f>
        <v>21646.5</v>
      </c>
      <c r="AG6" s="97">
        <f t="shared" si="3"/>
        <v>4819.34</v>
      </c>
      <c r="AH6" s="107">
        <f t="shared" si="4"/>
        <v>24277.34</v>
      </c>
      <c r="AI6" s="108"/>
      <c r="AJ6" s="107">
        <f t="shared" si="5"/>
        <v>24277.34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188</v>
      </c>
      <c r="AW6" s="12" t="s">
        <v>189</v>
      </c>
    </row>
    <row r="7" s="12" customFormat="1" ht="18" customHeight="1" spans="1:49">
      <c r="A7" s="36">
        <v>4</v>
      </c>
      <c r="B7" s="37" t="s">
        <v>184</v>
      </c>
      <c r="C7" s="37" t="s">
        <v>126</v>
      </c>
      <c r="D7" s="37" t="s">
        <v>120</v>
      </c>
      <c r="E7" s="352" t="s">
        <v>127</v>
      </c>
      <c r="F7" s="38" t="s">
        <v>185</v>
      </c>
      <c r="G7" s="39" t="s">
        <v>128</v>
      </c>
      <c r="H7" s="40"/>
      <c r="I7" s="40"/>
      <c r="J7" s="69"/>
      <c r="K7" s="40"/>
      <c r="L7" s="70">
        <v>9000</v>
      </c>
      <c r="M7" s="71">
        <v>504.56</v>
      </c>
      <c r="N7" s="71">
        <v>139.8</v>
      </c>
      <c r="O7" s="71">
        <v>31.54</v>
      </c>
      <c r="P7" s="71">
        <v>97</v>
      </c>
      <c r="Q7" s="89">
        <f t="shared" si="0"/>
        <v>772.9</v>
      </c>
      <c r="R7" s="70">
        <v>0</v>
      </c>
      <c r="S7" s="90">
        <f>L7+IFERROR(VLOOKUP($E:$E,'（居民）工资表-9月'!$E:$S,15,0),0)</f>
        <v>82000</v>
      </c>
      <c r="T7" s="91">
        <f>5000+IFERROR(VLOOKUP($E:$E,'（居民）工资表-9月'!$E:$T,16,0),0)</f>
        <v>45000</v>
      </c>
      <c r="U7" s="91">
        <f>Q7+IFERROR(VLOOKUP($E:$E,'（居民）工资表-9月'!$E:$U,17,0),0)</f>
        <v>5016.87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31983.13</v>
      </c>
      <c r="AE7" s="96">
        <f>ROUND(MAX((AD7)*{0.03;0.1;0.2;0.25;0.3;0.35;0.45}-{0;2520;16920;31920;52920;85920;181920},0),2)</f>
        <v>959.49</v>
      </c>
      <c r="AF7" s="97">
        <f>IFERROR(VLOOKUP(E:E,'（居民）工资表-9月'!E:AF,28,0)+VLOOKUP(E:E,'（居民）工资表-9月'!E:AG,29,0),0)</f>
        <v>862.68</v>
      </c>
      <c r="AG7" s="97">
        <f t="shared" si="3"/>
        <v>96.8100000000001</v>
      </c>
      <c r="AH7" s="107">
        <f t="shared" si="4"/>
        <v>8130.29</v>
      </c>
      <c r="AI7" s="108"/>
      <c r="AJ7" s="107">
        <f t="shared" si="5"/>
        <v>8130.29</v>
      </c>
      <c r="AK7" s="109"/>
      <c r="AL7" s="107">
        <f t="shared" si="6"/>
        <v>8227.1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190</v>
      </c>
      <c r="AW7" s="12" t="s">
        <v>51</v>
      </c>
    </row>
    <row r="8" s="12" customFormat="1" ht="18" customHeight="1" spans="1:49">
      <c r="A8" s="36">
        <v>5</v>
      </c>
      <c r="B8" s="37" t="s">
        <v>184</v>
      </c>
      <c r="C8" s="37" t="s">
        <v>129</v>
      </c>
      <c r="D8" s="37" t="s">
        <v>120</v>
      </c>
      <c r="E8" s="352" t="s">
        <v>130</v>
      </c>
      <c r="F8" s="38" t="s">
        <v>185</v>
      </c>
      <c r="G8" s="39">
        <v>19356875630</v>
      </c>
      <c r="H8" s="40"/>
      <c r="I8" s="40"/>
      <c r="J8" s="69"/>
      <c r="K8" s="40"/>
      <c r="L8" s="70">
        <v>10500</v>
      </c>
      <c r="M8" s="71">
        <v>504.56</v>
      </c>
      <c r="N8" s="71">
        <v>132.14</v>
      </c>
      <c r="O8" s="71">
        <v>31.54</v>
      </c>
      <c r="P8" s="71">
        <v>344</v>
      </c>
      <c r="Q8" s="89">
        <f t="shared" si="0"/>
        <v>1012.24</v>
      </c>
      <c r="R8" s="70">
        <v>0</v>
      </c>
      <c r="S8" s="90">
        <f>L8+IFERROR(VLOOKUP($E:$E,'（居民）工资表-9月'!$E:$S,15,0),0)</f>
        <v>97500</v>
      </c>
      <c r="T8" s="91">
        <f>5000+IFERROR(VLOOKUP($E:$E,'（居民）工资表-9月'!$E:$T,16,0),0)</f>
        <v>45000</v>
      </c>
      <c r="U8" s="91">
        <f>Q8+IFERROR(VLOOKUP($E:$E,'（居民）工资表-9月'!$E:$U,17,0),0)</f>
        <v>7210.08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45289.92</v>
      </c>
      <c r="AE8" s="96">
        <f>ROUND(MAX((AD8)*{0.03;0.1;0.2;0.25;0.3;0.35;0.45}-{0;2520;16920;31920;52920;85920;181920},0),2)</f>
        <v>2008.99</v>
      </c>
      <c r="AF8" s="97">
        <f>IFERROR(VLOOKUP(E:E,'（居民）工资表-9月'!E:AF,28,0)+VLOOKUP(E:E,'（居民）工资表-9月'!E:AG,29,0),0)</f>
        <v>1560.22</v>
      </c>
      <c r="AG8" s="97">
        <f t="shared" si="3"/>
        <v>448.77</v>
      </c>
      <c r="AH8" s="107">
        <f t="shared" si="4"/>
        <v>9038.99</v>
      </c>
      <c r="AI8" s="108"/>
      <c r="AJ8" s="107">
        <f t="shared" si="5"/>
        <v>9038.99</v>
      </c>
      <c r="AK8" s="109"/>
      <c r="AL8" s="107">
        <f t="shared" si="6"/>
        <v>9487.76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190</v>
      </c>
      <c r="AW8" s="12" t="s">
        <v>51</v>
      </c>
    </row>
    <row r="9" s="12" customFormat="1" ht="18" customHeight="1" spans="1:49">
      <c r="A9" s="36">
        <v>6</v>
      </c>
      <c r="B9" s="37" t="s">
        <v>184</v>
      </c>
      <c r="C9" s="37" t="s">
        <v>131</v>
      </c>
      <c r="D9" s="37" t="s">
        <v>120</v>
      </c>
      <c r="E9" s="352" t="s">
        <v>132</v>
      </c>
      <c r="F9" s="38" t="s">
        <v>185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105.82</v>
      </c>
      <c r="O9" s="71">
        <v>12.16</v>
      </c>
      <c r="P9" s="71">
        <v>100</v>
      </c>
      <c r="Q9" s="89">
        <f t="shared" si="0"/>
        <v>542.22</v>
      </c>
      <c r="R9" s="70">
        <v>0</v>
      </c>
      <c r="S9" s="90">
        <f>L9+IFERROR(VLOOKUP($E:$E,'（居民）工资表-9月'!$E:$S,15,0),0)</f>
        <v>58500</v>
      </c>
      <c r="T9" s="91">
        <f>5000+IFERROR(VLOOKUP($E:$E,'（居民）工资表-9月'!$E:$T,16,0),0)</f>
        <v>45000</v>
      </c>
      <c r="U9" s="91">
        <f>Q9+IFERROR(VLOOKUP($E:$E,'（居民）工资表-9月'!$E:$U,17,0),0)</f>
        <v>4759.6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8740.4</v>
      </c>
      <c r="AE9" s="96">
        <f>ROUND(MAX((AD9)*{0.03;0.1;0.2;0.25;0.3;0.35;0.45}-{0;2520;16920;31920;52920;85920;181920},0),2)</f>
        <v>262.21</v>
      </c>
      <c r="AF9" s="97">
        <f>IFERROR(VLOOKUP(E:E,'（居民）工资表-9月'!E:AF,28,0)+VLOOKUP(E:E,'（居民）工资表-9月'!E:AG,29,0),0)</f>
        <v>233.48</v>
      </c>
      <c r="AG9" s="97">
        <f t="shared" si="3"/>
        <v>28.73</v>
      </c>
      <c r="AH9" s="107">
        <f t="shared" si="4"/>
        <v>5929.05</v>
      </c>
      <c r="AI9" s="108"/>
      <c r="AJ9" s="107">
        <f t="shared" si="5"/>
        <v>5929.05</v>
      </c>
      <c r="AK9" s="109"/>
      <c r="AL9" s="107">
        <f t="shared" si="6"/>
        <v>5957.78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191</v>
      </c>
      <c r="AW9" s="12" t="s">
        <v>51</v>
      </c>
    </row>
    <row r="10" s="12" customFormat="1" ht="18" customHeight="1" spans="1:49">
      <c r="A10" s="36">
        <v>7</v>
      </c>
      <c r="B10" s="37" t="s">
        <v>184</v>
      </c>
      <c r="C10" s="37" t="s">
        <v>192</v>
      </c>
      <c r="D10" s="37" t="s">
        <v>120</v>
      </c>
      <c r="E10" s="352" t="s">
        <v>193</v>
      </c>
      <c r="F10" s="38" t="s">
        <v>187</v>
      </c>
      <c r="G10" s="39" t="s">
        <v>194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L10+IFERROR(VLOOKUP($E:$E,'（居民）工资表-9月'!$E:$S,15,0),0)</f>
        <v>40389.01</v>
      </c>
      <c r="T10" s="91">
        <f>5000+IFERROR(VLOOKUP($E:$E,'（居民）工资表-9月'!$E:$T,16,0),0)</f>
        <v>45000</v>
      </c>
      <c r="U10" s="91">
        <f>Q10+IFERROR(VLOOKUP($E:$E,'（居民）工资表-9月'!$E:$U,17,0),0)</f>
        <v>5813.78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-10424.77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195</v>
      </c>
      <c r="AW10" s="12" t="s">
        <v>224</v>
      </c>
    </row>
    <row r="11" s="12" customFormat="1" ht="18" customHeight="1" spans="1:49">
      <c r="A11" s="36">
        <v>8</v>
      </c>
      <c r="B11" s="37" t="s">
        <v>184</v>
      </c>
      <c r="C11" s="37" t="s">
        <v>133</v>
      </c>
      <c r="D11" s="37" t="s">
        <v>120</v>
      </c>
      <c r="E11" s="352" t="s">
        <v>134</v>
      </c>
      <c r="F11" s="38" t="s">
        <v>185</v>
      </c>
      <c r="G11" s="39">
        <v>18356553626</v>
      </c>
      <c r="H11" s="40"/>
      <c r="I11" s="40"/>
      <c r="J11" s="69"/>
      <c r="K11" s="40"/>
      <c r="L11" s="70">
        <v>9000</v>
      </c>
      <c r="M11" s="71">
        <v>504.56</v>
      </c>
      <c r="N11" s="71">
        <v>166.14</v>
      </c>
      <c r="O11" s="71">
        <v>31.54</v>
      </c>
      <c r="P11" s="71">
        <v>97</v>
      </c>
      <c r="Q11" s="89">
        <f t="shared" ref="Q11:Q19" si="10">ROUND(SUM(M11:P11),2)</f>
        <v>799.24</v>
      </c>
      <c r="R11" s="70">
        <v>0</v>
      </c>
      <c r="S11" s="90">
        <f>L11+IFERROR(VLOOKUP($E:$E,'（居民）工资表-9月'!$E:$S,15,0),0)</f>
        <v>79500</v>
      </c>
      <c r="T11" s="91">
        <f>5000+IFERROR(VLOOKUP($E:$E,'（居民）工资表-9月'!$E:$T,16,0),0)</f>
        <v>45000</v>
      </c>
      <c r="U11" s="91">
        <f>Q11+IFERROR(VLOOKUP($E:$E,'（居民）工资表-9月'!$E:$U,17,0),0)</f>
        <v>5293.08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29206.92</v>
      </c>
      <c r="AE11" s="96">
        <f>ROUND(MAX((AD11)*{0.03;0.1;0.2;0.25;0.3;0.35;0.45}-{0;2520;16920;31920;52920;85920;181920},0),2)</f>
        <v>876.21</v>
      </c>
      <c r="AF11" s="97">
        <f>IFERROR(VLOOKUP(E:E,'（居民）工资表-9月'!E:AF,28,0)+VLOOKUP(E:E,'（居民）工资表-9月'!E:AG,29,0),0)</f>
        <v>780.18</v>
      </c>
      <c r="AG11" s="97">
        <f t="shared" ref="AG11:AG19" si="13">IF((AE11-AF11)&lt;0,0,AE11-AF11)</f>
        <v>96.0300000000001</v>
      </c>
      <c r="AH11" s="107">
        <f t="shared" ref="AH11:AH19" si="14">ROUND(IF((L11-Q11-AG11)&lt;0,0,(L11-Q11-AG11)),2)</f>
        <v>8104.73</v>
      </c>
      <c r="AI11" s="108"/>
      <c r="AJ11" s="107">
        <f t="shared" ref="AJ11:AJ19" si="15">AH11+AI11</f>
        <v>8104.73</v>
      </c>
      <c r="AK11" s="109"/>
      <c r="AL11" s="107">
        <f t="shared" ref="AL11:AL19" si="16">AJ11+AG11+AK11</f>
        <v>8200.76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197</v>
      </c>
      <c r="AW11" s="12" t="s">
        <v>198</v>
      </c>
    </row>
    <row r="12" s="12" customFormat="1" ht="18" customHeight="1" spans="1:49">
      <c r="A12" s="36">
        <v>9</v>
      </c>
      <c r="B12" s="37" t="s">
        <v>184</v>
      </c>
      <c r="C12" s="37" t="s">
        <v>135</v>
      </c>
      <c r="D12" s="37" t="s">
        <v>120</v>
      </c>
      <c r="E12" s="352" t="s">
        <v>136</v>
      </c>
      <c r="F12" s="38" t="s">
        <v>185</v>
      </c>
      <c r="G12" s="39">
        <v>18326897140</v>
      </c>
      <c r="H12" s="40"/>
      <c r="I12" s="40"/>
      <c r="J12" s="69"/>
      <c r="K12" s="40"/>
      <c r="L12" s="70">
        <v>7500</v>
      </c>
      <c r="M12" s="71">
        <v>504.56</v>
      </c>
      <c r="N12" s="71">
        <v>132.14</v>
      </c>
      <c r="O12" s="71">
        <v>31.54</v>
      </c>
      <c r="P12" s="71">
        <v>344</v>
      </c>
      <c r="Q12" s="89">
        <f t="shared" si="10"/>
        <v>1012.24</v>
      </c>
      <c r="R12" s="70">
        <v>0</v>
      </c>
      <c r="S12" s="90">
        <f>L12+IFERROR(VLOOKUP($E:$E,'（居民）工资表-9月'!$E:$S,15,0),0)</f>
        <v>66000</v>
      </c>
      <c r="T12" s="91">
        <f>5000+IFERROR(VLOOKUP($E:$E,'（居民）工资表-9月'!$E:$T,16,0),0)</f>
        <v>45000</v>
      </c>
      <c r="U12" s="91">
        <f>Q12+IFERROR(VLOOKUP($E:$E,'（居民）工资表-9月'!$E:$U,17,0),0)</f>
        <v>7210.08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13789.92</v>
      </c>
      <c r="AE12" s="96">
        <f>ROUND(MAX((AD12)*{0.03;0.1;0.2;0.25;0.3;0.35;0.45}-{0;2520;16920;31920;52920;85920;181920},0),2)</f>
        <v>413.7</v>
      </c>
      <c r="AF12" s="97">
        <f>IFERROR(VLOOKUP(E:E,'（居民）工资表-9月'!E:AF,28,0)+VLOOKUP(E:E,'（居民）工资表-9月'!E:AG,29,0),0)</f>
        <v>369.06</v>
      </c>
      <c r="AG12" s="97">
        <f t="shared" si="13"/>
        <v>44.64</v>
      </c>
      <c r="AH12" s="107">
        <f t="shared" si="14"/>
        <v>6443.12</v>
      </c>
      <c r="AI12" s="108"/>
      <c r="AJ12" s="107">
        <f t="shared" si="15"/>
        <v>6443.12</v>
      </c>
      <c r="AK12" s="109"/>
      <c r="AL12" s="107">
        <f t="shared" si="16"/>
        <v>6487.76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190</v>
      </c>
      <c r="AW12" s="12" t="s">
        <v>51</v>
      </c>
    </row>
    <row r="13" s="12" customFormat="1" ht="18" customHeight="1" spans="1:49">
      <c r="A13" s="36">
        <v>10</v>
      </c>
      <c r="B13" s="37" t="s">
        <v>184</v>
      </c>
      <c r="C13" s="37" t="s">
        <v>137</v>
      </c>
      <c r="D13" s="37" t="s">
        <v>120</v>
      </c>
      <c r="E13" s="352" t="s">
        <v>138</v>
      </c>
      <c r="F13" s="38" t="s">
        <v>185</v>
      </c>
      <c r="G13" s="39">
        <v>17201857014</v>
      </c>
      <c r="H13" s="40"/>
      <c r="I13" s="40"/>
      <c r="J13" s="69"/>
      <c r="K13" s="40"/>
      <c r="L13" s="70">
        <v>8000</v>
      </c>
      <c r="M13" s="71">
        <v>504.56</v>
      </c>
      <c r="N13" s="71">
        <v>132.14</v>
      </c>
      <c r="O13" s="71">
        <v>41.24</v>
      </c>
      <c r="P13" s="71">
        <v>344</v>
      </c>
      <c r="Q13" s="89">
        <f t="shared" si="10"/>
        <v>1021.94</v>
      </c>
      <c r="R13" s="70">
        <v>0</v>
      </c>
      <c r="S13" s="90">
        <f>L13+IFERROR(VLOOKUP($E:$E,'（居民）工资表-9月'!$E:$S,15,0),0)</f>
        <v>69000</v>
      </c>
      <c r="T13" s="91">
        <f>5000+IFERROR(VLOOKUP($E:$E,'（居民）工资表-9月'!$E:$T,16,0),0)</f>
        <v>45000</v>
      </c>
      <c r="U13" s="91">
        <f>Q13+IFERROR(VLOOKUP($E:$E,'（居民）工资表-9月'!$E:$U,17,0),0)</f>
        <v>7219.78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16780.22</v>
      </c>
      <c r="AE13" s="96">
        <f>ROUND(MAX((AD13)*{0.03;0.1;0.2;0.25;0.3;0.35;0.45}-{0;2520;16920;31920;52920;85920;181920},0),2)</f>
        <v>503.41</v>
      </c>
      <c r="AF13" s="97">
        <f>IFERROR(VLOOKUP(E:E,'（居民）工资表-9月'!E:AF,28,0)+VLOOKUP(E:E,'（居民）工资表-9月'!E:AG,29,0),0)</f>
        <v>444.06</v>
      </c>
      <c r="AG13" s="97">
        <f t="shared" si="13"/>
        <v>59.35</v>
      </c>
      <c r="AH13" s="107">
        <f t="shared" si="14"/>
        <v>6918.71</v>
      </c>
      <c r="AI13" s="108"/>
      <c r="AJ13" s="107">
        <f t="shared" si="15"/>
        <v>6918.71</v>
      </c>
      <c r="AK13" s="109"/>
      <c r="AL13" s="107">
        <f t="shared" si="16"/>
        <v>6978.06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190</v>
      </c>
      <c r="AW13" s="12" t="s">
        <v>51</v>
      </c>
    </row>
    <row r="14" s="12" customFormat="1" ht="18" customHeight="1" spans="1:49">
      <c r="A14" s="36">
        <v>11</v>
      </c>
      <c r="B14" s="37" t="s">
        <v>184</v>
      </c>
      <c r="C14" s="37" t="s">
        <v>139</v>
      </c>
      <c r="D14" s="37" t="s">
        <v>120</v>
      </c>
      <c r="E14" s="352" t="s">
        <v>140</v>
      </c>
      <c r="F14" s="38" t="s">
        <v>187</v>
      </c>
      <c r="G14" s="39"/>
      <c r="H14" s="40"/>
      <c r="I14" s="40"/>
      <c r="J14" s="69"/>
      <c r="K14" s="40"/>
      <c r="L14" s="70">
        <v>6000</v>
      </c>
      <c r="M14" s="71">
        <v>504.56</v>
      </c>
      <c r="N14" s="71">
        <v>126.14</v>
      </c>
      <c r="O14" s="71">
        <v>31.54</v>
      </c>
      <c r="P14" s="71">
        <v>103</v>
      </c>
      <c r="Q14" s="89">
        <f t="shared" si="10"/>
        <v>765.24</v>
      </c>
      <c r="R14" s="70">
        <v>0</v>
      </c>
      <c r="S14" s="90">
        <f>L14+IFERROR(VLOOKUP($E:$E,'（居民）工资表-9月'!$E:$S,15,0),0)</f>
        <v>54000</v>
      </c>
      <c r="T14" s="91">
        <f>5000+IFERROR(VLOOKUP($E:$E,'（居民）工资表-9月'!$E:$T,16,0),0)</f>
        <v>45000</v>
      </c>
      <c r="U14" s="91">
        <f>Q14+IFERROR(VLOOKUP($E:$E,'（居民）工资表-9月'!$E:$U,17,0),0)</f>
        <v>4987.08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4012.92</v>
      </c>
      <c r="AE14" s="96">
        <f>ROUND(MAX((AD14)*{0.03;0.1;0.2;0.25;0.3;0.35;0.45}-{0;2520;16920;31920;52920;85920;181920},0),2)</f>
        <v>120.39</v>
      </c>
      <c r="AF14" s="97">
        <f>IFERROR(VLOOKUP(E:E,'（居民）工资表-9月'!E:AF,28,0)+VLOOKUP(E:E,'（居民）工资表-9月'!E:AG,29,0),0)</f>
        <v>113.34</v>
      </c>
      <c r="AG14" s="97">
        <f t="shared" si="13"/>
        <v>7.05</v>
      </c>
      <c r="AH14" s="107">
        <f t="shared" si="14"/>
        <v>5227.71</v>
      </c>
      <c r="AI14" s="108"/>
      <c r="AJ14" s="107">
        <f t="shared" si="15"/>
        <v>5227.71</v>
      </c>
      <c r="AK14" s="109"/>
      <c r="AL14" s="107">
        <f t="shared" si="16"/>
        <v>5234.76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190</v>
      </c>
      <c r="AW14" s="12" t="s">
        <v>51</v>
      </c>
    </row>
    <row r="15" s="12" customFormat="1" ht="18" customHeight="1" spans="1:49">
      <c r="A15" s="36">
        <v>12</v>
      </c>
      <c r="B15" s="37" t="s">
        <v>184</v>
      </c>
      <c r="C15" s="37" t="s">
        <v>141</v>
      </c>
      <c r="D15" s="37" t="s">
        <v>120</v>
      </c>
      <c r="E15" s="352" t="s">
        <v>142</v>
      </c>
      <c r="F15" s="38" t="s">
        <v>185</v>
      </c>
      <c r="G15" s="39">
        <v>15056587375</v>
      </c>
      <c r="H15" s="40"/>
      <c r="I15" s="40"/>
      <c r="J15" s="69"/>
      <c r="K15" s="40"/>
      <c r="L15" s="70">
        <v>10000</v>
      </c>
      <c r="M15" s="71">
        <v>504.56</v>
      </c>
      <c r="N15" s="71">
        <v>139.8</v>
      </c>
      <c r="O15" s="71">
        <v>31.54</v>
      </c>
      <c r="P15" s="71">
        <v>97</v>
      </c>
      <c r="Q15" s="89">
        <f t="shared" si="10"/>
        <v>772.9</v>
      </c>
      <c r="R15" s="70">
        <v>0</v>
      </c>
      <c r="S15" s="90">
        <f>L15+IFERROR(VLOOKUP($E:$E,'（居民）工资表-9月'!$E:$S,15,0),0)</f>
        <v>89904.76</v>
      </c>
      <c r="T15" s="91">
        <f>5000+IFERROR(VLOOKUP($E:$E,'（居民）工资表-9月'!$E:$T,16,0),0)</f>
        <v>45000</v>
      </c>
      <c r="U15" s="91">
        <f>Q15+IFERROR(VLOOKUP($E:$E,'（居民）工资表-9月'!$E:$U,17,0),0)</f>
        <v>5016.87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39887.89</v>
      </c>
      <c r="AE15" s="96">
        <f>ROUND(MAX((AD15)*{0.03;0.1;0.2;0.25;0.3;0.35;0.45}-{0;2520;16920;31920;52920;85920;181920},0),2)</f>
        <v>1468.79</v>
      </c>
      <c r="AF15" s="97">
        <f>IFERROR(VLOOKUP(E:E,'（居民）工资表-9月'!E:AF,28,0)+VLOOKUP(E:E,'（居民）工资表-9月'!E:AG,29,0),0)</f>
        <v>1069.82</v>
      </c>
      <c r="AG15" s="97">
        <f t="shared" si="13"/>
        <v>398.97</v>
      </c>
      <c r="AH15" s="107">
        <f t="shared" si="14"/>
        <v>8828.13</v>
      </c>
      <c r="AI15" s="108"/>
      <c r="AJ15" s="107">
        <f t="shared" si="15"/>
        <v>8828.13</v>
      </c>
      <c r="AK15" s="109"/>
      <c r="AL15" s="107">
        <f t="shared" si="16"/>
        <v>9227.1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190</v>
      </c>
      <c r="AW15" s="12" t="s">
        <v>51</v>
      </c>
    </row>
    <row r="16" s="12" customFormat="1" ht="18" customHeight="1" spans="1:49">
      <c r="A16" s="36">
        <v>13</v>
      </c>
      <c r="B16" s="37" t="s">
        <v>184</v>
      </c>
      <c r="C16" s="37" t="s">
        <v>204</v>
      </c>
      <c r="D16" s="37" t="s">
        <v>120</v>
      </c>
      <c r="E16" s="37" t="s">
        <v>205</v>
      </c>
      <c r="F16" s="38" t="s">
        <v>185</v>
      </c>
      <c r="G16" s="39">
        <v>13711361074</v>
      </c>
      <c r="H16" s="40"/>
      <c r="I16" s="40"/>
      <c r="J16" s="69"/>
      <c r="K16" s="40"/>
      <c r="L16" s="70">
        <v>7560.35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10"/>
        <v>552.57</v>
      </c>
      <c r="R16" s="70">
        <v>0</v>
      </c>
      <c r="S16" s="90">
        <f>L16+IFERROR(VLOOKUP($E:$E,'（居民）工资表-9月'!$E:$S,15,0),0)</f>
        <v>35910.65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3867.99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2042.66</v>
      </c>
      <c r="AE16" s="96">
        <f>ROUND(MAX((AD16)*{0.03;0.1;0.2;0.25;0.3;0.35;0.45}-{0;2520;16920;31920;52920;85920;181920},0),2)</f>
        <v>61.28</v>
      </c>
      <c r="AF16" s="97">
        <f>IFERROR(VLOOKUP(E:E,'（居民）工资表-9月'!E:AF,28,0)+VLOOKUP(E:E,'（居民）工资表-9月'!E:AG,29,0),0)</f>
        <v>1.05</v>
      </c>
      <c r="AG16" s="97">
        <f t="shared" si="13"/>
        <v>60.23</v>
      </c>
      <c r="AH16" s="107">
        <f t="shared" si="14"/>
        <v>6947.55</v>
      </c>
      <c r="AI16" s="108"/>
      <c r="AJ16" s="107">
        <f t="shared" si="15"/>
        <v>6947.55</v>
      </c>
      <c r="AK16" s="109"/>
      <c r="AL16" s="107">
        <f t="shared" si="16"/>
        <v>7007.78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190</v>
      </c>
      <c r="AW16" s="12" t="s">
        <v>51</v>
      </c>
    </row>
    <row r="17" s="12" customFormat="1" ht="18" customHeight="1" spans="1:46">
      <c r="A17" s="36"/>
      <c r="B17" s="37"/>
      <c r="C17" s="128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143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122668.32</v>
      </c>
      <c r="M18" s="74">
        <f>SUM(M4:M17)</f>
        <v>5953.13</v>
      </c>
      <c r="N18" s="74">
        <f>SUM(N4:N17)</f>
        <v>1641.6</v>
      </c>
      <c r="O18" s="74">
        <f>SUM(O4:O17)</f>
        <v>334.82</v>
      </c>
      <c r="P18" s="74">
        <f>SUM(P4:P17)</f>
        <v>2232.9</v>
      </c>
      <c r="Q18" s="74">
        <f t="shared" ref="Q18:AL18" si="20">SUM(Q4:Q17)</f>
        <v>10162.45</v>
      </c>
      <c r="R18" s="74">
        <f t="shared" si="20"/>
        <v>0</v>
      </c>
      <c r="S18" s="74">
        <f t="shared" si="20"/>
        <v>1069004.42</v>
      </c>
      <c r="T18" s="74">
        <f t="shared" si="20"/>
        <v>570000</v>
      </c>
      <c r="U18" s="74">
        <f t="shared" si="20"/>
        <v>76564.69</v>
      </c>
      <c r="V18" s="74">
        <f t="shared" si="20"/>
        <v>10000</v>
      </c>
      <c r="W18" s="74">
        <f t="shared" si="20"/>
        <v>0</v>
      </c>
      <c r="X18" s="74">
        <f t="shared" si="20"/>
        <v>10000</v>
      </c>
      <c r="Y18" s="74">
        <f t="shared" si="20"/>
        <v>0</v>
      </c>
      <c r="Z18" s="74">
        <f t="shared" si="20"/>
        <v>4000</v>
      </c>
      <c r="AA18" s="74">
        <f t="shared" si="20"/>
        <v>0</v>
      </c>
      <c r="AB18" s="74">
        <f t="shared" si="20"/>
        <v>24000</v>
      </c>
      <c r="AC18" s="74">
        <f t="shared" si="20"/>
        <v>0</v>
      </c>
      <c r="AD18" s="74">
        <f t="shared" si="20"/>
        <v>398439.73</v>
      </c>
      <c r="AE18" s="74">
        <f t="shared" si="20"/>
        <v>33219.76</v>
      </c>
      <c r="AF18" s="74">
        <f t="shared" si="20"/>
        <v>27721.93</v>
      </c>
      <c r="AG18" s="74">
        <f t="shared" si="20"/>
        <v>6073.05</v>
      </c>
      <c r="AH18" s="74">
        <f t="shared" si="20"/>
        <v>106432.82</v>
      </c>
      <c r="AI18" s="74">
        <f t="shared" si="20"/>
        <v>0</v>
      </c>
      <c r="AJ18" s="74">
        <f t="shared" si="20"/>
        <v>106432.82</v>
      </c>
      <c r="AK18" s="74">
        <f t="shared" si="20"/>
        <v>0</v>
      </c>
      <c r="AL18" s="74">
        <f t="shared" si="20"/>
        <v>112505.87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144</v>
      </c>
      <c r="C22" s="47" t="s">
        <v>145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106432.82</v>
      </c>
      <c r="C23" s="48">
        <f>AG18</f>
        <v>6073.05</v>
      </c>
      <c r="D23" s="48">
        <f>AK18</f>
        <v>0</v>
      </c>
      <c r="E23" s="48">
        <f>B23+C23+D23</f>
        <v>112505.87</v>
      </c>
    </row>
    <row r="24" spans="2:5">
      <c r="B24" s="49"/>
      <c r="C24" s="49"/>
      <c r="D24" s="49"/>
      <c r="E24" s="49"/>
    </row>
    <row r="25" s="14" customFormat="1" spans="1:35">
      <c r="A25" s="51" t="s">
        <v>206</v>
      </c>
      <c r="B25" s="52" t="s">
        <v>207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208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209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210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211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212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213</v>
      </c>
    </row>
    <row r="33" spans="2:2">
      <c r="B33" s="59" t="s">
        <v>214</v>
      </c>
    </row>
    <row r="34" spans="2:2">
      <c r="B34" s="59" t="s">
        <v>215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17">
    <cfRule type="duplicateValues" dxfId="4" priority="1"/>
  </conditionalFormatting>
  <conditionalFormatting sqref="B30">
    <cfRule type="duplicateValues" dxfId="4" priority="3" stopIfTrue="1"/>
  </conditionalFormatting>
  <conditionalFormatting sqref="B25:B29">
    <cfRule type="duplicateValues" dxfId="4" priority="4" stopIfTrue="1"/>
  </conditionalFormatting>
  <conditionalFormatting sqref="B33:B34">
    <cfRule type="duplicateValues" dxfId="4" priority="2" stopIfTrue="1"/>
  </conditionalFormatting>
  <conditionalFormatting sqref="C22:C24">
    <cfRule type="duplicateValues" dxfId="4" priority="5" stopIfTrue="1"/>
    <cfRule type="expression" dxfId="5" priority="6" stopIfTrue="1">
      <formula>AND(COUNTIF($B$18:$B$65454,C22)+COUNTIF($B$1:$B$3,C22)&gt;1,NOT(ISBLANK(C22)))</formula>
    </cfRule>
    <cfRule type="expression" dxfId="5" priority="7" stopIfTrue="1">
      <formula>AND(COUNTIF($B$29:$B$65405,C22)+COUNTIF($B$1:$B$28,C22)&gt;1,NOT(ISBLANK(C22)))</formula>
    </cfRule>
    <cfRule type="expression" dxfId="5" priority="8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社保</vt:lpstr>
      <vt:lpstr>付款通知</vt:lpstr>
      <vt:lpstr>年终奖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2025-02-25T02:18:21Z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2052-12.1.0.20305</vt:lpwstr>
  </property>
  <property fmtid="{D5CDD505-2E9C-101B-9397-08002B2CF9AE}" pid="4" name="ICV">
    <vt:lpwstr>119FB38074F8438C913C69DF65013CD5_13</vt:lpwstr>
  </property>
  <property fmtid="{D5CDD505-2E9C-101B-9397-08002B2CF9AE}" pid="5" name="KSOReadingLayout">
    <vt:bool>true</vt:bool>
  </property>
</Properties>
</file>