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609" firstSheet="1" activeTab="9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  <externalReference r:id="rId19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'（居民）工资表-9月'!$A$3:$AT$18</definedName>
    <definedName name="_xlnm._FilterDatabase" localSheetId="7" hidden="1">'（居民）工资表-10月'!$A$3:$AT$18</definedName>
    <definedName name="_xlnm._FilterDatabase" localSheetId="8" hidden="1">'（居民）工资表-11月'!$A$3:$AT$18</definedName>
    <definedName name="_xlnm._FilterDatabase" localSheetId="10" hidden="1">'（居民）工资表-12月'!$A$3:$AT$18</definedName>
    <definedName name="_xlnm._FilterDatabase" localSheetId="11" hidden="1">'（居民）工资表-2月'!$A$3:$AT$20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'（居民）工资表-8月'!$A$3:$AT$20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'（居民）工资表-10月'!$A$1:$AT$24</definedName>
    <definedName name="_xlnm.Print_Area" localSheetId="8">'（居民）工资表-11月'!$A$1:$AT$24</definedName>
    <definedName name="_xlnm.Print_Area" localSheetId="10">'（居民）工资表-12月'!$A$1:$AT$24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<sst xmlns="http://schemas.openxmlformats.org/spreadsheetml/2006/main" count="2075" uniqueCount="247">
  <si>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</si>
  <si>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</si>
  <si>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</si>
  <si>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</si>
  <si>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</si>
  <si>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</si>
  <si>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</si>
  <si>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</si>
  <si>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</si>
  <si>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</si>
  <si>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</si>
  <si>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</si>
  <si>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</si>
  <si>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</si>
  <si>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</si>
  <si>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</si>
  <si>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</si>
  <si>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</si>
  <si>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</si>
  <si>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</si>
  <si>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</si>
  <si>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</si>
  <si>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</si>
  <si>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</si>
  <si>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</si>
  <si>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</si>
  <si>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</si>
  <si>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</si>
  <si>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</si>
  <si>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</si>
  <si>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</si>
  <si>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</si>
  <si>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</si>
  <si>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</si>
  <si>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</si>
  <si>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</si>
  <si>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</si>
  <si>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</si>
  <si>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</si>
  <si>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</si>
  <si>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</si>
  <si>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</si>
  <si>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</si>
  <si>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</si>
  <si>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</si>
  <si>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</si>
  <si>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</si>
  <si>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</si>
  <si>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</si>
  <si>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</si>
  <si>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</si>
  <si>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</si>
  <si>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</si>
  <si>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</si>
  <si>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</si>
  <si>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</si>
  <si>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</si>
  <si>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</si>
  <si>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</si>
  <si>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</si>
  <si>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</si>
  <si>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</si>
  <si>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</si>
  <si>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</si>
  <si>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</si>
  <si>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</si>
  <si>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</si>
  <si>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</si>
  <si>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</si>
  <si>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根据贵公司与我公司所签订的服务协议，请贵公司在2025年1月8日之前按照下列表格内容支付相关款项.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</si>
  <si>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</si>
  <si>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</si>
  <si>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</si>
  <si>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</si>
  <si>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</si>
  <si>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</si>
  <si>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</si>
  <si>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</si>
  <si>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</si>
  <si>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</si>
  <si>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</si>
  <si>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</si>
  <si>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</si>
  <si>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</si>
  <si>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</si>
  <si>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</si>
  <si>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</si>
  <si>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</si>
  <si>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</si>
  <si>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</si>
  <si>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</si>
  <si>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</si>
  <si>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</si>
  <si>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</si>
  <si>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</si>
  <si>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</si>
  <si>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</si>
  <si>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</si>
  <si>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</si>
  <si>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</si>
  <si>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</si>
  <si>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</si>
  <si>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</si>
  <si>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</si>
  <si>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</si>
  <si>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</si>
  <si>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</si>
  <si>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</si>
  <si>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</si>
  <si>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</si>
  <si>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</si>
  <si>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</si>
  <si>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</si>
  <si>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</si>
  <si>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</si>
  <si>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</si>
  <si>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</si>
  <si>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</si>
  <si>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</si>
  <si>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</si>
  <si>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</si>
  <si>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</si>
  <si>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</si>
  <si>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</si>
  <si>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</si>
  <si>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</si>
  <si>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</si>
  <si>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</si>
  <si>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</si>
  <si>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</si>
  <si>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</si>
  <si>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</si>
  <si>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</si>
  <si>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</si>
  <si>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</si>
  <si>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</si>
  <si>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</si>
  <si>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</si>
  <si>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</si>
  <si>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</si>
  <si>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</si>
  <si>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</si>
  <si>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</si>
  <si>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</si>
  <si>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</si>
  <si>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</si>
  <si>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</si>
  <si>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</si>
  <si>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</si>
  <si>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</si>
  <si>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</si>
  <si>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</si>
  <si>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</si>
  <si>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</si>
  <si>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</si>
  <si>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</si>
  <si>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</si>
  <si>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</si>
  <si>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</si>
  <si>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</si>
  <si>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</si>
  <si>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</si>
  <si>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</si>
  <si>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</si>
  <si>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</si>
  <si>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</si>
  <si>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</si>
  <si>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</si>
  <si>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</si>
  <si>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</si>
  <si>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</si>
  <si>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</si>
  <si>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</si>
  <si>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</si>
  <si>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</si>
  <si>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</si>
  <si>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</si>
  <si>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</si>
  <si>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</si>
  <si>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</si>
  <si>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</si>
  <si>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</si>
  <si>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</si>
  <si>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</si>
  <si>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</si>
  <si>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</si>
  <si>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</si>
  <si>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</si>
  <si>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</si>
  <si>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</si>
  <si>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</si>
  <si>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</si>
  <si>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</si>
  <si>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</si>
  <si>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</si>
  <si>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</si>
  <si>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</si>
  <si>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</si>
  <si>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</si>
  <si>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</si>
  <si>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</si>
  <si>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</si>
  <si>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</si>
  <si>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</si>
  <si>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</si>
  <si>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</si>
  <si>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</si>
  <si>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重庆易铭天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</si>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</sst>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12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 t="str">
            <v>创联/易才/天津代缴</v>
          </cell>
          <cell r="D2">
            <v>4447.97</v>
          </cell>
          <cell r="E2">
            <v>401.04</v>
          </cell>
          <cell r="F2">
            <v>25.07</v>
          </cell>
        </row>
        <row r="3">
          <cell r="B3" t="str">
            <v>赵亮</v>
          </cell>
          <cell r="C3" t="str">
            <v>创联/易才/四平</v>
          </cell>
          <cell r="D3">
            <v>8000</v>
          </cell>
          <cell r="E3">
            <v>344.57</v>
          </cell>
          <cell r="F3">
            <v>12.92</v>
          </cell>
        </row>
        <row r="4">
          <cell r="B4" t="str">
            <v>梁敏霞</v>
          </cell>
          <cell r="C4" t="str">
            <v>创联/易才/广州</v>
          </cell>
          <cell r="D4">
            <v>6100</v>
          </cell>
          <cell r="E4">
            <v>422.72</v>
          </cell>
          <cell r="F4">
            <v>4.6</v>
          </cell>
        </row>
        <row r="5">
          <cell r="B5" t="str">
            <v>徐明龙</v>
          </cell>
          <cell r="C5" t="str">
            <v>创联/湖南（蚌埠）易才</v>
          </cell>
          <cell r="D5">
            <v>9000</v>
          </cell>
          <cell r="E5">
            <v>338.16</v>
          </cell>
          <cell r="F5">
            <v>21.14</v>
          </cell>
        </row>
        <row r="6">
          <cell r="B6" t="str">
            <v>陈佳文</v>
          </cell>
          <cell r="C6" t="str">
            <v>创联/湖南（阜阳）易才</v>
          </cell>
          <cell r="D6">
            <v>10500</v>
          </cell>
          <cell r="E6">
            <v>338.16</v>
          </cell>
          <cell r="F6">
            <v>21.14</v>
          </cell>
        </row>
        <row r="7">
          <cell r="B7" t="str">
            <v>龙治旺</v>
          </cell>
          <cell r="C7" t="str">
            <v>创联/湖南（常德）易才</v>
          </cell>
          <cell r="D7">
            <v>6500</v>
          </cell>
          <cell r="E7">
            <v>322.16</v>
          </cell>
          <cell r="F7">
            <v>12.08</v>
          </cell>
        </row>
        <row r="8">
          <cell r="B8" t="str">
            <v>冯玉</v>
          </cell>
          <cell r="C8" t="str">
            <v>创联/易才/上海</v>
          </cell>
          <cell r="D8">
            <v>30060</v>
          </cell>
          <cell r="E8">
            <v>590.72</v>
          </cell>
          <cell r="F8">
            <v>36.92</v>
          </cell>
        </row>
        <row r="9">
          <cell r="B9" t="str">
            <v>汤祥文</v>
          </cell>
          <cell r="C9" t="str">
            <v>创联/湖南（芜湖）易才</v>
          </cell>
          <cell r="D9">
            <v>9000</v>
          </cell>
          <cell r="E9">
            <v>338.16</v>
          </cell>
          <cell r="F9">
            <v>21.14</v>
          </cell>
        </row>
        <row r="10">
          <cell r="B10" t="str">
            <v>杨旭</v>
          </cell>
          <cell r="C10" t="str">
            <v>创联/湖南（阜阳）易才</v>
          </cell>
          <cell r="D10">
            <v>7500</v>
          </cell>
          <cell r="E10">
            <v>338.16</v>
          </cell>
          <cell r="F10">
            <v>21.14</v>
          </cell>
        </row>
        <row r="11">
          <cell r="B11" t="str">
            <v>任志伟</v>
          </cell>
          <cell r="C11" t="str">
            <v>创联/湖南（阜阳）易才</v>
          </cell>
          <cell r="D11">
            <v>8000</v>
          </cell>
          <cell r="E11">
            <v>338.16</v>
          </cell>
          <cell r="F11">
            <v>21.14</v>
          </cell>
        </row>
        <row r="12">
          <cell r="B12" t="str">
            <v>张莉</v>
          </cell>
          <cell r="C12" t="str">
            <v>创联/湖南（合肥）易才</v>
          </cell>
          <cell r="D12">
            <v>6000</v>
          </cell>
          <cell r="E12">
            <v>338.16</v>
          </cell>
          <cell r="F12">
            <v>21.14</v>
          </cell>
        </row>
        <row r="13">
          <cell r="B13" t="str">
            <v>倪绍帅</v>
          </cell>
          <cell r="C13" t="str">
            <v>创联/易才/蚌埠</v>
          </cell>
          <cell r="D13">
            <v>10000</v>
          </cell>
          <cell r="E13">
            <v>338.16</v>
          </cell>
          <cell r="F13">
            <v>21.14</v>
          </cell>
        </row>
        <row r="14">
          <cell r="B14" t="str">
            <v>吕阳</v>
          </cell>
          <cell r="C14" t="str">
            <v>创联/易才/武汉</v>
          </cell>
          <cell r="D14">
            <v>7600</v>
          </cell>
          <cell r="E14">
            <v>337.92</v>
          </cell>
          <cell r="F14">
            <v>12.67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tabSelected="1" workbookViewId="0">
      <pane xSplit="6" ySplit="3" topLeftCell="G8" activePane="bottomRight" state="frozen"/>
      <selection/>
      <selection pane="topRight"/>
      <selection pane="bottomLeft"/>
      <selection pane="bottomRight" activeCell="F20" sqref="F20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70">
        <f>ROUND(SUM(M4:P4),2)</f>
        <v>621.03</v>
      </c>
      <c r="R4" s="70">
        <v>0</v>
      </c>
      <c r="S4" s="92">
        <f>L4</f>
        <v>8000</v>
      </c>
      <c r="T4" s="93">
        <v>5000</v>
      </c>
      <c r="U4" s="93">
        <f>Q4</f>
        <v>621.03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2378.97</v>
      </c>
      <c r="AE4" s="99">
        <f>ROUND(MAX((AD4)*{0.03;0.1;0.2;0.25;0.3;0.35;0.45}-{0;2520;16920;31920;52920;85920;181920},0),2)</f>
        <v>71.37</v>
      </c>
      <c r="AF4" s="100">
        <v>0</v>
      </c>
      <c r="AG4" s="100">
        <f>IF((AE4-AF4)&lt;0,0,AE4-AF4)</f>
        <v>71.37</v>
      </c>
      <c r="AH4" s="109">
        <f>ROUND(IF((L4-Q4-AG4)&lt;0,0,(L4-Q4-AG4)),2)</f>
        <v>7307.6</v>
      </c>
      <c r="AI4" s="108"/>
      <c r="AJ4" s="109">
        <f>AH4+AI4</f>
        <v>7307.6</v>
      </c>
      <c r="AK4" s="109"/>
      <c r="AL4" s="109">
        <f>AJ4+AG4+AK4</f>
        <v>7378.97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70">
        <f t="shared" ref="Q5:Q19" si="0">ROUND(SUM(M5:P5),2)</f>
        <v>662.24</v>
      </c>
      <c r="R5" s="70">
        <v>0</v>
      </c>
      <c r="S5" s="92">
        <f t="shared" ref="S5:S21" si="1">L5</f>
        <v>6100</v>
      </c>
      <c r="T5" s="93">
        <v>5000</v>
      </c>
      <c r="U5" s="93">
        <f t="shared" ref="U5:U21" si="2">Q5</f>
        <v>662.24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437.76</v>
      </c>
      <c r="AE5" s="99">
        <f>ROUND(MAX((AD5)*{0.03;0.1;0.2;0.25;0.3;0.35;0.45}-{0;2520;16920;31920;52920;85920;181920},0),2)</f>
        <v>13.13</v>
      </c>
      <c r="AF5" s="100">
        <v>0</v>
      </c>
      <c r="AG5" s="100">
        <f t="shared" ref="AG5:AG21" si="6">IF((AE5-AF5)&lt;0,0,AE5-AF5)</f>
        <v>13.13</v>
      </c>
      <c r="AH5" s="109">
        <f t="shared" ref="AH5:AH21" si="7">ROUND(IF((L5-Q5-AG5)&lt;0,0,(L5-Q5-AG5)),2)</f>
        <v>5424.63</v>
      </c>
      <c r="AI5" s="108"/>
      <c r="AJ5" s="109">
        <f t="shared" ref="AJ5:AJ21" si="8">AH5+AI5</f>
        <v>5424.63</v>
      </c>
      <c r="AK5" s="109"/>
      <c r="AL5" s="109">
        <f t="shared" ref="AL5:AL21" si="9">AJ5+AG5+AK5</f>
        <v>5437.76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70">
        <f t="shared" si="0"/>
        <v>963.32</v>
      </c>
      <c r="R6" s="70">
        <v>0</v>
      </c>
      <c r="S6" s="92">
        <f t="shared" si="1"/>
        <v>30060</v>
      </c>
      <c r="T6" s="93">
        <v>5000</v>
      </c>
      <c r="U6" s="93">
        <f t="shared" si="2"/>
        <v>963.32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24096.68</v>
      </c>
      <c r="AE6" s="99">
        <f>ROUND(MAX((AD6)*{0.03;0.1;0.2;0.25;0.3;0.35;0.45}-{0;2520;16920;31920;52920;85920;181920},0),2)</f>
        <v>722.9</v>
      </c>
      <c r="AF6" s="100">
        <v>0</v>
      </c>
      <c r="AG6" s="100">
        <f t="shared" si="6"/>
        <v>722.9</v>
      </c>
      <c r="AH6" s="109">
        <f t="shared" si="7"/>
        <v>28373.78</v>
      </c>
      <c r="AI6" s="108"/>
      <c r="AJ6" s="109">
        <f t="shared" si="8"/>
        <v>28373.78</v>
      </c>
      <c r="AK6" s="109"/>
      <c r="AL6" s="109">
        <f t="shared" si="9"/>
        <v>29096.68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70">
        <f t="shared" si="0"/>
        <v>550</v>
      </c>
      <c r="R7" s="70">
        <v>0</v>
      </c>
      <c r="S7" s="92">
        <f t="shared" si="1"/>
        <v>9000</v>
      </c>
      <c r="T7" s="93">
        <v>5000</v>
      </c>
      <c r="U7" s="93">
        <f t="shared" si="2"/>
        <v>550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3450</v>
      </c>
      <c r="AE7" s="99">
        <f>ROUND(MAX((AD7)*{0.03;0.1;0.2;0.25;0.3;0.35;0.45}-{0;2520;16920;31920;52920;85920;181920},0),2)</f>
        <v>103.5</v>
      </c>
      <c r="AF7" s="100">
        <v>0</v>
      </c>
      <c r="AG7" s="100">
        <f t="shared" si="6"/>
        <v>103.5</v>
      </c>
      <c r="AH7" s="109">
        <f t="shared" si="7"/>
        <v>8346.5</v>
      </c>
      <c r="AI7" s="108"/>
      <c r="AJ7" s="109">
        <f t="shared" si="8"/>
        <v>8346.5</v>
      </c>
      <c r="AK7" s="109"/>
      <c r="AL7" s="109">
        <f t="shared" si="9"/>
        <v>8450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 t="shared" si="1"/>
        <v>10500</v>
      </c>
      <c r="T8" s="93">
        <v>5000</v>
      </c>
      <c r="U8" s="93">
        <f t="shared" si="2"/>
        <v>793.84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4706.16</v>
      </c>
      <c r="AE8" s="99">
        <f>ROUND(MAX((AD8)*{0.03;0.1;0.2;0.25;0.3;0.35;0.45}-{0;2520;16920;31920;52920;85920;181920},0),2)</f>
        <v>141.18</v>
      </c>
      <c r="AF8" s="100">
        <v>0</v>
      </c>
      <c r="AG8" s="100">
        <f t="shared" si="6"/>
        <v>141.18</v>
      </c>
      <c r="AH8" s="109">
        <f t="shared" si="7"/>
        <v>9564.98</v>
      </c>
      <c r="AI8" s="108"/>
      <c r="AJ8" s="109">
        <f t="shared" si="8"/>
        <v>9564.98</v>
      </c>
      <c r="AK8" s="109"/>
      <c r="AL8" s="109">
        <f t="shared" si="9"/>
        <v>9706.16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v>12.08</v>
      </c>
      <c r="P9" s="71">
        <v>100</v>
      </c>
      <c r="Q9" s="70">
        <f t="shared" si="0"/>
        <v>529.78</v>
      </c>
      <c r="R9" s="70">
        <v>0</v>
      </c>
      <c r="S9" s="92">
        <f t="shared" si="1"/>
        <v>6500</v>
      </c>
      <c r="T9" s="93">
        <v>5000</v>
      </c>
      <c r="U9" s="93">
        <f t="shared" si="2"/>
        <v>529.78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970.22</v>
      </c>
      <c r="AE9" s="99">
        <f>ROUND(MAX((AD9)*{0.03;0.1;0.2;0.25;0.3;0.35;0.45}-{0;2520;16920;31920;52920;85920;181920},0),2)</f>
        <v>29.11</v>
      </c>
      <c r="AF9" s="100">
        <v>0</v>
      </c>
      <c r="AG9" s="100">
        <f t="shared" si="6"/>
        <v>29.11</v>
      </c>
      <c r="AH9" s="109">
        <f t="shared" si="7"/>
        <v>5941.11</v>
      </c>
      <c r="AI9" s="108"/>
      <c r="AJ9" s="109">
        <f t="shared" si="8"/>
        <v>5941.11</v>
      </c>
      <c r="AK9" s="109"/>
      <c r="AL9" s="109">
        <f t="shared" si="9"/>
        <v>5970.22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70">
        <f t="shared" si="0"/>
        <v>664.37</v>
      </c>
      <c r="R10" s="70">
        <v>0</v>
      </c>
      <c r="S10" s="92">
        <f t="shared" si="1"/>
        <v>4447.97</v>
      </c>
      <c r="T10" s="93">
        <v>5000</v>
      </c>
      <c r="U10" s="93">
        <f t="shared" si="2"/>
        <v>664.37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-1216.4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3783.6</v>
      </c>
      <c r="AI10" s="108"/>
      <c r="AJ10" s="109">
        <f t="shared" si="8"/>
        <v>3783.6</v>
      </c>
      <c r="AK10" s="109"/>
      <c r="AL10" s="109">
        <f t="shared" si="9"/>
        <v>3783.6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70">
        <f t="shared" si="0"/>
        <v>580.84</v>
      </c>
      <c r="R11" s="70">
        <v>0</v>
      </c>
      <c r="S11" s="92">
        <f t="shared" si="1"/>
        <v>9000</v>
      </c>
      <c r="T11" s="93">
        <v>5000</v>
      </c>
      <c r="U11" s="93">
        <f t="shared" si="2"/>
        <v>580.84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3419.16</v>
      </c>
      <c r="AE11" s="99">
        <f>ROUND(MAX((AD11)*{0.03;0.1;0.2;0.25;0.3;0.35;0.45}-{0;2520;16920;31920;52920;85920;181920},0),2)</f>
        <v>102.57</v>
      </c>
      <c r="AF11" s="100">
        <v>0</v>
      </c>
      <c r="AG11" s="100">
        <f t="shared" si="6"/>
        <v>102.57</v>
      </c>
      <c r="AH11" s="109">
        <f t="shared" si="7"/>
        <v>8316.59</v>
      </c>
      <c r="AI11" s="108"/>
      <c r="AJ11" s="109">
        <f t="shared" si="8"/>
        <v>8316.59</v>
      </c>
      <c r="AK11" s="109"/>
      <c r="AL11" s="109">
        <f t="shared" si="9"/>
        <v>8419.16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70">
        <f t="shared" si="0"/>
        <v>793.84</v>
      </c>
      <c r="R12" s="70">
        <v>0</v>
      </c>
      <c r="S12" s="92">
        <f t="shared" si="1"/>
        <v>7500</v>
      </c>
      <c r="T12" s="93">
        <v>5000</v>
      </c>
      <c r="U12" s="93">
        <f t="shared" si="2"/>
        <v>793.84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1706.16</v>
      </c>
      <c r="AE12" s="99">
        <f>ROUND(MAX((AD12)*{0.03;0.1;0.2;0.25;0.3;0.35;0.45}-{0;2520;16920;31920;52920;85920;181920},0),2)</f>
        <v>51.18</v>
      </c>
      <c r="AF12" s="100">
        <v>0</v>
      </c>
      <c r="AG12" s="100">
        <f t="shared" si="6"/>
        <v>51.18</v>
      </c>
      <c r="AH12" s="109">
        <f t="shared" si="7"/>
        <v>6654.98</v>
      </c>
      <c r="AI12" s="108"/>
      <c r="AJ12" s="109">
        <f t="shared" si="8"/>
        <v>6654.98</v>
      </c>
      <c r="AK12" s="109"/>
      <c r="AL12" s="109">
        <f t="shared" si="9"/>
        <v>6706.16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70">
        <f t="shared" si="0"/>
        <v>793.84</v>
      </c>
      <c r="R13" s="70">
        <v>0</v>
      </c>
      <c r="S13" s="92">
        <f t="shared" si="1"/>
        <v>8000</v>
      </c>
      <c r="T13" s="93">
        <v>5000</v>
      </c>
      <c r="U13" s="93">
        <f t="shared" si="2"/>
        <v>793.84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2206.16</v>
      </c>
      <c r="AE13" s="99">
        <f>ROUND(MAX((AD13)*{0.03;0.1;0.2;0.25;0.3;0.35;0.45}-{0;2520;16920;31920;52920;85920;181920},0),2)</f>
        <v>66.18</v>
      </c>
      <c r="AF13" s="100">
        <v>0</v>
      </c>
      <c r="AG13" s="100">
        <f t="shared" si="6"/>
        <v>66.18</v>
      </c>
      <c r="AH13" s="109">
        <f t="shared" si="7"/>
        <v>7139.98</v>
      </c>
      <c r="AI13" s="108"/>
      <c r="AJ13" s="109">
        <f t="shared" si="8"/>
        <v>7139.98</v>
      </c>
      <c r="AK13" s="109"/>
      <c r="AL13" s="109">
        <f t="shared" si="9"/>
        <v>7206.16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70">
        <f t="shared" si="0"/>
        <v>546.84</v>
      </c>
      <c r="R14" s="70">
        <v>0</v>
      </c>
      <c r="S14" s="92">
        <f t="shared" si="1"/>
        <v>6000</v>
      </c>
      <c r="T14" s="93">
        <v>5000</v>
      </c>
      <c r="U14" s="93">
        <f t="shared" si="2"/>
        <v>546.84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453.16</v>
      </c>
      <c r="AE14" s="99">
        <f>ROUND(MAX((AD14)*{0.03;0.1;0.2;0.25;0.3;0.35;0.45}-{0;2520;16920;31920;52920;85920;181920},0),2)</f>
        <v>13.59</v>
      </c>
      <c r="AF14" s="100">
        <v>0</v>
      </c>
      <c r="AG14" s="100">
        <f t="shared" si="6"/>
        <v>13.59</v>
      </c>
      <c r="AH14" s="109">
        <f t="shared" si="7"/>
        <v>5439.57</v>
      </c>
      <c r="AI14" s="108"/>
      <c r="AJ14" s="109">
        <f t="shared" si="8"/>
        <v>5439.57</v>
      </c>
      <c r="AK14" s="109"/>
      <c r="AL14" s="109">
        <f t="shared" si="9"/>
        <v>5453.16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70">
        <f t="shared" si="0"/>
        <v>550</v>
      </c>
      <c r="R15" s="70">
        <v>0</v>
      </c>
      <c r="S15" s="92">
        <f t="shared" si="1"/>
        <v>10000</v>
      </c>
      <c r="T15" s="93">
        <v>5000</v>
      </c>
      <c r="U15" s="93">
        <f t="shared" si="2"/>
        <v>550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4450</v>
      </c>
      <c r="AE15" s="99">
        <f>ROUND(MAX((AD15)*{0.03;0.1;0.2;0.25;0.3;0.35;0.45}-{0;2520;16920;31920;52920;85920;181920},0),2)</f>
        <v>133.5</v>
      </c>
      <c r="AF15" s="100">
        <v>0</v>
      </c>
      <c r="AG15" s="100">
        <f t="shared" si="6"/>
        <v>133.5</v>
      </c>
      <c r="AH15" s="109">
        <f t="shared" si="7"/>
        <v>9316.5</v>
      </c>
      <c r="AI15" s="108"/>
      <c r="AJ15" s="109">
        <f t="shared" si="8"/>
        <v>9316.5</v>
      </c>
      <c r="AK15" s="109"/>
      <c r="AL15" s="109">
        <f t="shared" si="9"/>
        <v>9450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7392.73</v>
      </c>
      <c r="M16" s="71">
        <v>510.72</v>
      </c>
      <c r="N16" s="71">
        <v>102.28</v>
      </c>
      <c r="O16" s="71">
        <v>19.15</v>
      </c>
      <c r="P16" s="71">
        <v>110.5</v>
      </c>
      <c r="Q16" s="70">
        <f t="shared" si="0"/>
        <v>742.65</v>
      </c>
      <c r="R16" s="70">
        <v>0</v>
      </c>
      <c r="S16" s="92">
        <f t="shared" si="1"/>
        <v>7392.73</v>
      </c>
      <c r="T16" s="93">
        <v>5000</v>
      </c>
      <c r="U16" s="93">
        <f t="shared" si="2"/>
        <v>742.65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1650.08</v>
      </c>
      <c r="AE16" s="99">
        <f>ROUND(MAX((AD16)*{0.03;0.1;0.2;0.25;0.3;0.35;0.45}-{0;2520;16920;31920;52920;85920;181920},0),2)</f>
        <v>49.5</v>
      </c>
      <c r="AF16" s="100">
        <v>0</v>
      </c>
      <c r="AG16" s="100">
        <f t="shared" si="6"/>
        <v>49.5</v>
      </c>
      <c r="AH16" s="109">
        <f t="shared" si="7"/>
        <v>6600.58</v>
      </c>
      <c r="AI16" s="108"/>
      <c r="AJ16" s="109">
        <f t="shared" si="8"/>
        <v>6600.58</v>
      </c>
      <c r="AK16" s="109"/>
      <c r="AL16" s="109">
        <f t="shared" si="9"/>
        <v>6650.08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/>
      <c r="B17" s="37"/>
      <c r="C17" s="37"/>
      <c r="D17" s="37"/>
      <c r="E17" s="37"/>
      <c r="F17" s="127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70"/>
      <c r="R17" s="70"/>
      <c r="S17" s="92"/>
      <c r="T17" s="93"/>
      <c r="U17" s="93"/>
      <c r="V17" s="70"/>
      <c r="W17" s="70"/>
      <c r="X17" s="70"/>
      <c r="Y17" s="70"/>
      <c r="Z17" s="70"/>
      <c r="AA17" s="70"/>
      <c r="AB17" s="92"/>
      <c r="AC17" s="92"/>
      <c r="AD17" s="98"/>
      <c r="AE17" s="99"/>
      <c r="AF17" s="100"/>
      <c r="AG17" s="100"/>
      <c r="AH17" s="109"/>
      <c r="AI17" s="108"/>
      <c r="AJ17" s="109"/>
      <c r="AK17" s="109"/>
      <c r="AL17" s="109"/>
      <c r="AM17" s="109"/>
      <c r="AN17" s="109"/>
      <c r="AO17" s="109"/>
      <c r="AP17" s="109"/>
      <c r="AQ17" s="109"/>
      <c r="AR17" s="117"/>
      <c r="AS17" s="117"/>
      <c r="AT17" s="117"/>
    </row>
    <row r="18" s="12" customFormat="1" ht="18" customHeight="1" spans="1:46">
      <c r="A18" s="36"/>
      <c r="B18" s="37"/>
      <c r="C18" s="37"/>
      <c r="D18" s="37"/>
      <c r="E18" s="37"/>
      <c r="F18" s="127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70"/>
      <c r="R18" s="70"/>
      <c r="S18" s="92"/>
      <c r="T18" s="93"/>
      <c r="U18" s="93"/>
      <c r="V18" s="70"/>
      <c r="W18" s="70"/>
      <c r="X18" s="70"/>
      <c r="Y18" s="70"/>
      <c r="Z18" s="70"/>
      <c r="AA18" s="70"/>
      <c r="AB18" s="92"/>
      <c r="AC18" s="92"/>
      <c r="AD18" s="98"/>
      <c r="AE18" s="99"/>
      <c r="AF18" s="100"/>
      <c r="AG18" s="100"/>
      <c r="AH18" s="109"/>
      <c r="AI18" s="108"/>
      <c r="AJ18" s="109"/>
      <c r="AK18" s="109"/>
      <c r="AL18" s="109"/>
      <c r="AM18" s="109"/>
      <c r="AN18" s="109"/>
      <c r="AO18" s="109"/>
      <c r="AP18" s="109"/>
      <c r="AQ18" s="109"/>
      <c r="AR18" s="117"/>
      <c r="AS18" s="117"/>
      <c r="AT18" s="117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122500.7</v>
      </c>
      <c r="M19" s="74">
        <f t="shared" si="13"/>
        <v>4959.05</v>
      </c>
      <c r="N19" s="74">
        <f t="shared" si="13"/>
        <v>1341.92</v>
      </c>
      <c r="O19" s="74">
        <f t="shared" si="13"/>
        <v>258.72</v>
      </c>
      <c r="P19" s="74">
        <f t="shared" si="13"/>
        <v>2232.9</v>
      </c>
      <c r="Q19" s="74">
        <f t="shared" si="13"/>
        <v>8792.59</v>
      </c>
      <c r="R19" s="74">
        <f t="shared" si="13"/>
        <v>0</v>
      </c>
      <c r="S19" s="74">
        <f t="shared" si="13"/>
        <v>122500.7</v>
      </c>
      <c r="T19" s="74">
        <f t="shared" si="13"/>
        <v>65000</v>
      </c>
      <c r="U19" s="74">
        <f t="shared" si="13"/>
        <v>8792.59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48708.11</v>
      </c>
      <c r="AE19" s="74">
        <f t="shared" si="13"/>
        <v>1497.71</v>
      </c>
      <c r="AF19" s="74">
        <f t="shared" si="13"/>
        <v>0</v>
      </c>
      <c r="AG19" s="74">
        <f t="shared" si="13"/>
        <v>1497.71</v>
      </c>
      <c r="AH19" s="74">
        <f t="shared" si="13"/>
        <v>112210.4</v>
      </c>
      <c r="AI19" s="126">
        <f t="shared" si="13"/>
        <v>0</v>
      </c>
      <c r="AJ19" s="74">
        <f t="shared" si="13"/>
        <v>112210.4</v>
      </c>
      <c r="AK19" s="74">
        <f t="shared" si="13"/>
        <v>0</v>
      </c>
      <c r="AL19" s="74">
        <f t="shared" si="13"/>
        <v>113708.11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112210.4</v>
      </c>
      <c r="C24" s="48">
        <f>AG19</f>
        <v>1497.71</v>
      </c>
      <c r="D24" s="48">
        <f>AK19</f>
        <v>0</v>
      </c>
      <c r="E24" s="48">
        <f>B24+C24+D24</f>
        <v>113708.11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f>VLOOKUP(C4,[3]Sheet1!$B$2:$F$14,5,0)</f>
        <v>12.92</v>
      </c>
      <c r="P4" s="71">
        <v>177.4</v>
      </c>
      <c r="Q4" s="89">
        <f t="shared" ref="Q4:Q19" si="0">ROUND(SUM(M4:P4),2)</f>
        <v>621.03</v>
      </c>
      <c r="R4" s="70">
        <v>0</v>
      </c>
      <c r="S4" s="90">
        <f>L4+IFERROR(VLOOKUP($E:$E,'（居民）工资表-11月'!$E:$S,15,0),0)</f>
        <v>96000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7277.84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-77.84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790.3</v>
      </c>
      <c r="AG4" s="97">
        <f t="shared" ref="AG4:AG19" si="3">IF((AE4-AF4)&lt;0,0,AE4-AF4)</f>
        <v>0</v>
      </c>
      <c r="AH4" s="107">
        <f t="shared" ref="AH4:AH19" si="4">ROUND(IF((L4-Q4-AG4)&lt;0,0,(L4-Q4-AG4)),2)</f>
        <v>7378.97</v>
      </c>
      <c r="AI4" s="108"/>
      <c r="AJ4" s="107">
        <f t="shared" ref="AJ4:AJ19" si="5">AH4+AI4</f>
        <v>7378.97</v>
      </c>
      <c r="AK4" s="109"/>
      <c r="AL4" s="107">
        <f t="shared" ref="AL4:AL19" si="6">AJ4+AG4+AK4</f>
        <v>7378.97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IF(SUMPRODUCT(N(E$1:E$17=E4))&gt;1,"重复","不")</f>
        <v>不</v>
      </c>
      <c r="AT4" s="116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f>VLOOKUP(C5,[3]Sheet1!$B$2:$F$14,5,0)</f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L5+IFERROR(VLOOKUP($E:$E,'（居民）工资表-11月'!$E:$S,15,0),0)</f>
        <v>71600</v>
      </c>
      <c r="T5" s="91">
        <f>5000+IFERROR(VLOOKUP($E:$E,'（居民）工资表-11月'!$E:$T,16,0),0)</f>
        <v>60000</v>
      </c>
      <c r="U5" s="91">
        <f>Q5+IFERROR(VLOOKUP($E:$E,'（居民）工资表-11月'!$E:$U,17,0),0)</f>
        <v>7953.32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3646.68</v>
      </c>
      <c r="AE5" s="96">
        <f>ROUND(MAX((AD5)*{0.03;0.1;0.2;0.25;0.3;0.35;0.45}-{0;2520;16920;31920;52920;85920;181920},0),2)</f>
        <v>109.4</v>
      </c>
      <c r="AF5" s="97">
        <f>IFERROR(VLOOKUP(E:E,'（居民）工资表-11月'!E:AF,28,0)+VLOOKUP(E:E,'（居民）工资表-11月'!E:AG,29,0),0)</f>
        <v>96.27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IF(SUMPRODUCT(N(E$1:E$17=E5))&gt;1,"重复","不")</f>
        <v>不</v>
      </c>
      <c r="AT5" s="116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f>VLOOKUP(C6,[3]Sheet1!$B$2:$F$14,5,0)</f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L6+IFERROR(VLOOKUP($E:$E,'（居民）工资表-11月'!$E:$S,15,0),0)</f>
        <v>360720</v>
      </c>
      <c r="T6" s="91">
        <f>5000+IFERROR(VLOOKUP($E:$E,'（居民）工资表-11月'!$E:$T,16,0),0)</f>
        <v>60000</v>
      </c>
      <c r="U6" s="91">
        <f>Q6+IFERROR(VLOOKUP($E:$E,'（居民）工资表-11月'!$E:$U,17,0),0)</f>
        <v>11485.99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289234.01</v>
      </c>
      <c r="AE6" s="96">
        <f>ROUND(MAX((AD6)*{0.03;0.1;0.2;0.25;0.3;0.35;0.45}-{0;2520;16920;31920;52920;85920;181920},0),2)</f>
        <v>40926.8</v>
      </c>
      <c r="AF6" s="97">
        <f>IFERROR(VLOOKUP(E:E,'（居民）工资表-11月'!E:AF,28,0)+VLOOKUP(E:E,'（居民）工资表-11月'!E:AG,29,0),0)</f>
        <v>36107.47</v>
      </c>
      <c r="AG6" s="97">
        <f t="shared" si="3"/>
        <v>4819.33</v>
      </c>
      <c r="AH6" s="107">
        <f t="shared" si="4"/>
        <v>24277.35</v>
      </c>
      <c r="AI6" s="108"/>
      <c r="AJ6" s="107">
        <f t="shared" si="5"/>
        <v>24277.35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IF(SUMPRODUCT(N(E$1:E$17=E6))&gt;1,"重复","不")</f>
        <v>不</v>
      </c>
      <c r="AT6" s="116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f>VLOOKUP(C7,[3]Sheet1!$B$2:$F$14,5,0)</f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L7+IFERROR(VLOOKUP($E:$E,'（居民）工资表-11月'!$E:$S,15,0),0)</f>
        <v>108000</v>
      </c>
      <c r="T7" s="91">
        <f>5000+IFERROR(VLOOKUP($E:$E,'（居民）工资表-11月'!$E:$T,16,0),0)</f>
        <v>60000</v>
      </c>
      <c r="U7" s="91">
        <f>Q7+IFERROR(VLOOKUP($E:$E,'（居民）工资表-11月'!$E:$U,17,0),0)</f>
        <v>6644.58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41355.42</v>
      </c>
      <c r="AE7" s="96">
        <f>ROUND(MAX((AD7)*{0.03;0.1;0.2;0.25;0.3;0.35;0.45}-{0;2520;16920;31920;52920;85920;181920},0),2)</f>
        <v>1615.54</v>
      </c>
      <c r="AF7" s="97">
        <f>IFERROR(VLOOKUP(E:E,'（居民）工资表-11月'!E:AF,28,0)+VLOOKUP(E:E,'（居民）工资表-11月'!E:AG,29,0),0)</f>
        <v>1270.54</v>
      </c>
      <c r="AG7" s="97">
        <f t="shared" si="3"/>
        <v>345</v>
      </c>
      <c r="AH7" s="107">
        <f t="shared" si="4"/>
        <v>8105</v>
      </c>
      <c r="AI7" s="108"/>
      <c r="AJ7" s="107">
        <f t="shared" si="5"/>
        <v>8105</v>
      </c>
      <c r="AK7" s="109"/>
      <c r="AL7" s="107">
        <f t="shared" si="6"/>
        <v>8450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IF(SUMPRODUCT(N(E$1:E$17=E7))&gt;1,"重复","不")</f>
        <v>不</v>
      </c>
      <c r="AT7" s="116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f>VLOOKUP(C8,[3]Sheet1!$B$2:$F$14,5,0)</f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L8+IFERROR(VLOOKUP($E:$E,'（居民）工资表-11月'!$E:$S,15,0),0)</f>
        <v>129000</v>
      </c>
      <c r="T8" s="91">
        <f>5000+IFERROR(VLOOKUP($E:$E,'（居民）工资表-11月'!$E:$T,16,0),0)</f>
        <v>60000</v>
      </c>
      <c r="U8" s="91">
        <f>Q8+IFERROR(VLOOKUP($E:$E,'（居民）工资表-11月'!$E:$U,17,0),0)</f>
        <v>9569.76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59430.24</v>
      </c>
      <c r="AE8" s="96">
        <f>ROUND(MAX((AD8)*{0.03;0.1;0.2;0.25;0.3;0.35;0.45}-{0;2520;16920;31920;52920;85920;181920},0),2)</f>
        <v>3423.02</v>
      </c>
      <c r="AF8" s="97">
        <f>IFERROR(VLOOKUP(E:E,'（居民）工资表-11月'!E:AF,28,0)+VLOOKUP(E:E,'（居民）工资表-11月'!E:AG,29,0),0)</f>
        <v>2952.41</v>
      </c>
      <c r="AG8" s="97">
        <f t="shared" si="3"/>
        <v>470.61</v>
      </c>
      <c r="AH8" s="107">
        <f t="shared" si="4"/>
        <v>9235.55</v>
      </c>
      <c r="AI8" s="108"/>
      <c r="AJ8" s="107">
        <f t="shared" si="5"/>
        <v>9235.55</v>
      </c>
      <c r="AK8" s="109"/>
      <c r="AL8" s="107">
        <f t="shared" si="6"/>
        <v>9706.16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IF(SUMPRODUCT(N(E$1:E$17=E8))&gt;1,"重复","不")</f>
        <v>不</v>
      </c>
      <c r="AT8" s="116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f>VLOOKUP(C9,[3]Sheet1!$B$2:$F$14,5,0)</f>
        <v>12.08</v>
      </c>
      <c r="P9" s="71">
        <v>100</v>
      </c>
      <c r="Q9" s="89">
        <f t="shared" si="0"/>
        <v>529.78</v>
      </c>
      <c r="R9" s="70">
        <v>0</v>
      </c>
      <c r="S9" s="90">
        <f>L9+IFERROR(VLOOKUP($E:$E,'（居民）工资表-11月'!$E:$S,15,0),0)</f>
        <v>78000</v>
      </c>
      <c r="T9" s="91">
        <f>5000+IFERROR(VLOOKUP($E:$E,'（居民）工资表-11月'!$E:$T,16,0),0)</f>
        <v>60000</v>
      </c>
      <c r="U9" s="91">
        <f>Q9+IFERROR(VLOOKUP($E:$E,'（居民）工资表-11月'!$E:$U,17,0),0)</f>
        <v>6369.2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11630.8</v>
      </c>
      <c r="AE9" s="96">
        <f>ROUND(MAX((AD9)*{0.03;0.1;0.2;0.25;0.3;0.35;0.45}-{0;2520;16920;31920;52920;85920;181920},0),2)</f>
        <v>348.92</v>
      </c>
      <c r="AF9" s="97">
        <f>IFERROR(VLOOKUP(E:E,'（居民）工资表-11月'!E:AF,28,0)+VLOOKUP(E:E,'（居民）工资表-11月'!E:AG,29,0),0)</f>
        <v>319.82</v>
      </c>
      <c r="AG9" s="97">
        <f t="shared" si="3"/>
        <v>29.1</v>
      </c>
      <c r="AH9" s="107">
        <f t="shared" si="4"/>
        <v>5941.12</v>
      </c>
      <c r="AI9" s="108"/>
      <c r="AJ9" s="107">
        <f t="shared" si="5"/>
        <v>5941.12</v>
      </c>
      <c r="AK9" s="109"/>
      <c r="AL9" s="107">
        <f t="shared" si="6"/>
        <v>5970.22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IF(SUMPRODUCT(N(E$1:E$17=E9))&gt;1,"重复","不")</f>
        <v>不</v>
      </c>
      <c r="AT9" s="116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f>VLOOKUP(C10,[3]Sheet1!$B$2:$F$14,5,0)</f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L10+IFERROR(VLOOKUP($E:$E,'（居民）工资表-11月'!$E:$S,15,0),0)</f>
        <v>53835.86</v>
      </c>
      <c r="T10" s="91">
        <f>5000+IFERROR(VLOOKUP($E:$E,'（居民）工资表-11月'!$E:$T,16,0),0)</f>
        <v>60000</v>
      </c>
      <c r="U10" s="91">
        <f>Q10+IFERROR(VLOOKUP($E:$E,'（居民）工资表-11月'!$E:$U,17,0),0)</f>
        <v>7772.38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-13936.52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IF(SUMPRODUCT(N(E$1:E$17=E10))&gt;1,"重复","不")</f>
        <v>不</v>
      </c>
      <c r="AT10" s="116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f>VLOOKUP(C11,[3]Sheet1!$B$2:$F$14,5,0)</f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L11+IFERROR(VLOOKUP($E:$E,'（居民）工资表-11月'!$E:$S,15,0),0)</f>
        <v>106000</v>
      </c>
      <c r="T11" s="91">
        <f>5000+IFERROR(VLOOKUP($E:$E,'（居民）工资表-11月'!$E:$T,16,0),0)</f>
        <v>60000</v>
      </c>
      <c r="U11" s="91">
        <f>Q11+IFERROR(VLOOKUP($E:$E,'（居民）工资表-11月'!$E:$U,17,0),0)</f>
        <v>7013.76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38986.24</v>
      </c>
      <c r="AE11" s="96">
        <f>ROUND(MAX((AD11)*{0.03;0.1;0.2;0.25;0.3;0.35;0.45}-{0;2520;16920;31920;52920;85920;181920},0),2)</f>
        <v>1378.62</v>
      </c>
      <c r="AF11" s="97">
        <f>IFERROR(VLOOKUP(E:E,'（居民）工资表-11月'!E:AF,28,0)+VLOOKUP(E:E,'（居民）工资表-11月'!E:AG,29,0),0)</f>
        <v>1067.01</v>
      </c>
      <c r="AG11" s="97">
        <f t="shared" si="3"/>
        <v>311.61</v>
      </c>
      <c r="AH11" s="107">
        <f t="shared" si="4"/>
        <v>8107.55</v>
      </c>
      <c r="AI11" s="108"/>
      <c r="AJ11" s="107">
        <f t="shared" si="5"/>
        <v>8107.55</v>
      </c>
      <c r="AK11" s="109"/>
      <c r="AL11" s="107">
        <f t="shared" si="6"/>
        <v>8419.16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IF(SUMPRODUCT(N(E$1:E$17=E11))&gt;1,"重复","不")</f>
        <v>不</v>
      </c>
      <c r="AT11" s="116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f>VLOOKUP(C12,[3]Sheet1!$B$2:$F$14,5,0)</f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L12+IFERROR(VLOOKUP($E:$E,'（居民）工资表-11月'!$E:$S,15,0),0)</f>
        <v>88000</v>
      </c>
      <c r="T12" s="91">
        <f>5000+IFERROR(VLOOKUP($E:$E,'（居民）工资表-11月'!$E:$T,16,0),0)</f>
        <v>60000</v>
      </c>
      <c r="U12" s="91">
        <f>Q12+IFERROR(VLOOKUP($E:$E,'（居民）工资表-11月'!$E:$U,17,0),0)</f>
        <v>9569.76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18430.24</v>
      </c>
      <c r="AE12" s="96">
        <f>ROUND(MAX((AD12)*{0.03;0.1;0.2;0.25;0.3;0.35;0.45}-{0;2520;16920;31920;52920;85920;181920},0),2)</f>
        <v>552.91</v>
      </c>
      <c r="AF12" s="97">
        <f>IFERROR(VLOOKUP(E:E,'（居民）工资表-11月'!E:AF,28,0)+VLOOKUP(E:E,'（居民）工资表-11月'!E:AG,29,0),0)</f>
        <v>501.72</v>
      </c>
      <c r="AG12" s="97">
        <f t="shared" si="3"/>
        <v>51.1899999999999</v>
      </c>
      <c r="AH12" s="107">
        <f t="shared" si="4"/>
        <v>6654.97</v>
      </c>
      <c r="AI12" s="108"/>
      <c r="AJ12" s="107">
        <f t="shared" si="5"/>
        <v>6654.97</v>
      </c>
      <c r="AK12" s="109"/>
      <c r="AL12" s="107">
        <f t="shared" si="6"/>
        <v>6706.16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IF(SUMPRODUCT(N(E$1:E$17=E12))&gt;1,"重复","不")</f>
        <v>不</v>
      </c>
      <c r="AT12" s="116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f>VLOOKUP(C13,[3]Sheet1!$B$2:$F$14,5,0)</f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L13+IFERROR(VLOOKUP($E:$E,'（居民）工资表-11月'!$E:$S,15,0),0)</f>
        <v>92608.7</v>
      </c>
      <c r="T13" s="91">
        <f>5000+IFERROR(VLOOKUP($E:$E,'（居民）工资表-11月'!$E:$T,16,0),0)</f>
        <v>60000</v>
      </c>
      <c r="U13" s="91">
        <f>Q13+IFERROR(VLOOKUP($E:$E,'（居民）工资表-11月'!$E:$U,17,0),0)</f>
        <v>9579.46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23029.24</v>
      </c>
      <c r="AE13" s="96">
        <f>ROUND(MAX((AD13)*{0.03;0.1;0.2;0.25;0.3;0.35;0.45}-{0;2520;16920;31920;52920;85920;181920},0),2)</f>
        <v>690.88</v>
      </c>
      <c r="AF13" s="97">
        <f>IFERROR(VLOOKUP(E:E,'（居民）工资表-11月'!E:AF,28,0)+VLOOKUP(E:E,'（居民）工资表-11月'!E:AG,29,0),0)</f>
        <v>624.69</v>
      </c>
      <c r="AG13" s="97">
        <f t="shared" si="3"/>
        <v>66.1899999999999</v>
      </c>
      <c r="AH13" s="107">
        <f t="shared" si="4"/>
        <v>7139.97</v>
      </c>
      <c r="AI13" s="108"/>
      <c r="AJ13" s="107">
        <f t="shared" si="5"/>
        <v>7139.97</v>
      </c>
      <c r="AK13" s="109"/>
      <c r="AL13" s="107">
        <f t="shared" si="6"/>
        <v>7206.16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IF(SUMPRODUCT(N(E$1:E$17=E13))&gt;1,"重复","不")</f>
        <v>不</v>
      </c>
      <c r="AT13" s="116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f>VLOOKUP(C14,[3]Sheet1!$B$2:$F$14,5,0)</f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L14+IFERROR(VLOOKUP($E:$E,'（居民）工资表-11月'!$E:$S,15,0),0)</f>
        <v>72000</v>
      </c>
      <c r="T14" s="91">
        <f>5000+IFERROR(VLOOKUP($E:$E,'（居民）工资表-11月'!$E:$T,16,0),0)</f>
        <v>60000</v>
      </c>
      <c r="U14" s="91">
        <f>Q14+IFERROR(VLOOKUP($E:$E,'（居民）工资表-11月'!$E:$U,17,0),0)</f>
        <v>6605.76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5394.24</v>
      </c>
      <c r="AE14" s="96">
        <f>ROUND(MAX((AD14)*{0.03;0.1;0.2;0.25;0.3;0.35;0.45}-{0;2520;16920;31920;52920;85920;181920},0),2)</f>
        <v>161.83</v>
      </c>
      <c r="AF14" s="97">
        <f>IFERROR(VLOOKUP(E:E,'（居民）工资表-11月'!E:AF,28,0)+VLOOKUP(E:E,'（居民）工资表-11月'!E:AG,29,0),0)</f>
        <v>148.23</v>
      </c>
      <c r="AG14" s="97">
        <f t="shared" si="3"/>
        <v>13.6</v>
      </c>
      <c r="AH14" s="107">
        <f t="shared" si="4"/>
        <v>5439.56</v>
      </c>
      <c r="AI14" s="108"/>
      <c r="AJ14" s="107">
        <f t="shared" si="5"/>
        <v>5439.56</v>
      </c>
      <c r="AK14" s="109"/>
      <c r="AL14" s="107">
        <f t="shared" si="6"/>
        <v>5453.16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IF(SUMPRODUCT(N(E$1:E$17=E14))&gt;1,"重复","不")</f>
        <v>不</v>
      </c>
      <c r="AT14" s="116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f>VLOOKUP(C15,[3]Sheet1!$B$2:$F$14,5,0)</f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L15+IFERROR(VLOOKUP($E:$E,'（居民）工资表-11月'!$E:$S,15,0),0)</f>
        <v>117556.93</v>
      </c>
      <c r="T15" s="91">
        <f>5000+IFERROR(VLOOKUP($E:$E,'（居民）工资表-11月'!$E:$T,16,0),0)</f>
        <v>60000</v>
      </c>
      <c r="U15" s="91">
        <f>Q15+IFERROR(VLOOKUP($E:$E,'（居民）工资表-11月'!$E:$U,17,0),0)</f>
        <v>7700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49856.93</v>
      </c>
      <c r="AE15" s="96">
        <f>ROUND(MAX((AD15)*{0.03;0.1;0.2;0.25;0.3;0.35;0.45}-{0;2520;16920;31920;52920;85920;181920},0),2)</f>
        <v>2465.69</v>
      </c>
      <c r="AF15" s="97">
        <f>IFERROR(VLOOKUP(E:E,'（居民）工资表-11月'!E:AF,28,0)+VLOOKUP(E:E,'（居民）工资表-11月'!E:AG,29,0),0)</f>
        <v>2020.69</v>
      </c>
      <c r="AG15" s="97">
        <f t="shared" si="3"/>
        <v>445</v>
      </c>
      <c r="AH15" s="107">
        <f t="shared" si="4"/>
        <v>9005</v>
      </c>
      <c r="AI15" s="108"/>
      <c r="AJ15" s="107">
        <f t="shared" si="5"/>
        <v>9005</v>
      </c>
      <c r="AK15" s="109"/>
      <c r="AL15" s="107">
        <f t="shared" si="6"/>
        <v>9450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IF(SUMPRODUCT(N(E$1:E$17=E15))&gt;1,"重复","不")</f>
        <v>不</v>
      </c>
      <c r="AT15" s="116" t="str">
        <f>IF(SUMPRODUCT(N(AO$1:AO$17=AO15))&gt;1,"重复","不")</f>
        <v>重复</v>
      </c>
    </row>
    <row r="16" s="12" customFormat="1" ht="18" customHeight="1" spans="1:46">
      <c r="A16" s="36">
        <v>12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f>VLOOKUP(C16,[3]Sheet1!$B$2:$F$14,5,0)</f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L16+IFERROR(VLOOKUP($E:$E,'（居民）工资表-11月'!$E:$S,15,0),0)</f>
        <v>51110.65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4973.13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6137.52</v>
      </c>
      <c r="AE16" s="96">
        <f>ROUND(MAX((AD16)*{0.03;0.1;0.2;0.25;0.3;0.35;0.45}-{0;2520;16920;31920;52920;85920;181920},0),2)</f>
        <v>184.13</v>
      </c>
      <c r="AF16" s="97">
        <f>IFERROR(VLOOKUP(E:E,'（居民）工资表-11月'!E:AF,28,0)+VLOOKUP(E:E,'（居民）工资表-11月'!E:AG,29,0),0)</f>
        <v>122.7</v>
      </c>
      <c r="AG16" s="97">
        <f t="shared" si="3"/>
        <v>61.43</v>
      </c>
      <c r="AH16" s="107">
        <f t="shared" si="4"/>
        <v>6986</v>
      </c>
      <c r="AI16" s="108"/>
      <c r="AJ16" s="107">
        <f t="shared" si="5"/>
        <v>6986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IF(SUMPRODUCT(N(E$1:E$17=E16))&gt;1,"重复","不")</f>
        <v>不</v>
      </c>
      <c r="AT16" s="116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 t="shared" ref="L18:AL18" si="8">SUM(L4:L17)</f>
        <v>122707.97</v>
      </c>
      <c r="M18" s="74">
        <f t="shared" si="8"/>
        <v>4786.25</v>
      </c>
      <c r="N18" s="74">
        <f t="shared" si="8"/>
        <v>1331.12</v>
      </c>
      <c r="O18" s="74">
        <f t="shared" si="8"/>
        <v>252.24</v>
      </c>
      <c r="P18" s="74">
        <f t="shared" si="8"/>
        <v>2232.9</v>
      </c>
      <c r="Q18" s="74">
        <f t="shared" si="8"/>
        <v>8602.51</v>
      </c>
      <c r="R18" s="74">
        <f t="shared" si="8"/>
        <v>0</v>
      </c>
      <c r="S18" s="74">
        <f t="shared" si="8"/>
        <v>1424432.14</v>
      </c>
      <c r="T18" s="74">
        <f t="shared" si="8"/>
        <v>760000</v>
      </c>
      <c r="U18" s="74">
        <f t="shared" si="8"/>
        <v>102514.94</v>
      </c>
      <c r="V18" s="74">
        <f t="shared" si="8"/>
        <v>12000</v>
      </c>
      <c r="W18" s="74">
        <f t="shared" si="8"/>
        <v>0</v>
      </c>
      <c r="X18" s="74">
        <f t="shared" si="8"/>
        <v>12000</v>
      </c>
      <c r="Y18" s="74">
        <f t="shared" si="8"/>
        <v>0</v>
      </c>
      <c r="Z18" s="74">
        <f t="shared" si="8"/>
        <v>4800</v>
      </c>
      <c r="AA18" s="74">
        <f t="shared" si="8"/>
        <v>0</v>
      </c>
      <c r="AB18" s="74">
        <f t="shared" si="8"/>
        <v>28800</v>
      </c>
      <c r="AC18" s="74">
        <f t="shared" si="8"/>
        <v>0</v>
      </c>
      <c r="AD18" s="74">
        <f t="shared" si="8"/>
        <v>533117.2</v>
      </c>
      <c r="AE18" s="74">
        <f t="shared" si="8"/>
        <v>51857.74</v>
      </c>
      <c r="AF18" s="74">
        <f t="shared" si="8"/>
        <v>46021.85</v>
      </c>
      <c r="AG18" s="74">
        <f t="shared" si="8"/>
        <v>6626.19</v>
      </c>
      <c r="AH18" s="74">
        <f t="shared" si="8"/>
        <v>107479.27</v>
      </c>
      <c r="AI18" s="126">
        <f t="shared" si="8"/>
        <v>0</v>
      </c>
      <c r="AJ18" s="74">
        <f t="shared" si="8"/>
        <v>107479.27</v>
      </c>
      <c r="AK18" s="74">
        <f t="shared" si="8"/>
        <v>0</v>
      </c>
      <c r="AL18" s="74">
        <f t="shared" si="8"/>
        <v>114105.46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107479.27</v>
      </c>
      <c r="C23" s="48">
        <f>AG18</f>
        <v>6626.19</v>
      </c>
      <c r="D23" s="48">
        <f>AK18</f>
        <v>0</v>
      </c>
      <c r="E23" s="48">
        <f>B23+C23+D23</f>
        <v>114105.46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604.865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208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17" si="0">ROUND(SUM(M4:P4),2)</f>
        <v>588.7</v>
      </c>
      <c r="R4" s="70">
        <v>0</v>
      </c>
      <c r="S4" s="90">
        <f>L4+IFERROR(VLOOKUP($E:$E,'（居民）工资表-1月'!$E:$S,15,0),0)</f>
        <v>16000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1209.73</v>
      </c>
      <c r="V4" s="70">
        <v>2000</v>
      </c>
      <c r="W4" s="70"/>
      <c r="X4" s="70">
        <v>2000</v>
      </c>
      <c r="Y4" s="70"/>
      <c r="Z4" s="70">
        <v>800</v>
      </c>
      <c r="AA4" s="125"/>
      <c r="AB4" s="90">
        <f>ROUND(SUM(V4:AA4),2)</f>
        <v>4800</v>
      </c>
      <c r="AC4" s="90">
        <f>R4+IFERROR(VLOOKUP($E:$E,'（居民）工资表-1月'!$E:$AC,25,0),0)</f>
        <v>0</v>
      </c>
      <c r="AD4" s="95">
        <f t="shared" ref="AD4:AD17" si="1">ROUND(S4-T4-U4-AB4-AC4,2)</f>
        <v>-9.73</v>
      </c>
      <c r="AE4" s="96">
        <f>ROUND(MAX((AD4)*{0.03;0.1;0.2;0.25;0.3;0.35;0.45}-{0;2520;16920;31920;52920;85920;181920},0),2)</f>
        <v>0</v>
      </c>
      <c r="AF4" s="97">
        <f>IFERROR(VLOOKUP(E:E,'（居民）工资表-1月'!E:AF,28,0)+VLOOKUP(E:E,'（居民）工资表-1月'!E:AG,29,0),0)</f>
        <v>71.37</v>
      </c>
      <c r="AG4" s="97">
        <f t="shared" ref="AG4:AG17" si="2">IF((AE4-AF4)&lt;0,0,AE4-AF4)</f>
        <v>0</v>
      </c>
      <c r="AH4" s="107">
        <f t="shared" ref="AH4:AH17" si="3">ROUND(IF((L4-Q4-AG4)&lt;0,0,(L4-Q4-AG4)),2)</f>
        <v>7411.3</v>
      </c>
      <c r="AI4" s="108"/>
      <c r="AJ4" s="107">
        <f t="shared" ref="AJ4:AJ17" si="4">AH4+AI4</f>
        <v>7411.3</v>
      </c>
      <c r="AK4" s="109"/>
      <c r="AL4" s="107">
        <f t="shared" ref="AL4:AL17" si="5">AJ4+AG4+AK4</f>
        <v>7411.3</v>
      </c>
      <c r="AM4" s="109"/>
      <c r="AN4" s="109"/>
      <c r="AO4" s="109"/>
      <c r="AP4" s="109"/>
      <c r="AQ4" s="109"/>
      <c r="AR4" s="116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  <c r="AU4" s="12" t="s">
        <v>209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126.36</v>
      </c>
      <c r="O5" s="71">
        <v>4.6</v>
      </c>
      <c r="P5" s="71">
        <v>115</v>
      </c>
      <c r="Q5" s="89">
        <f t="shared" si="0"/>
        <v>668.68</v>
      </c>
      <c r="R5" s="70">
        <v>0</v>
      </c>
      <c r="S5" s="90">
        <f>L5+IFERROR(VLOOKUP($E:$E,'（居民）工资表-1月'!$E:$S,15,0),0)</f>
        <v>11800</v>
      </c>
      <c r="T5" s="91">
        <f>5000+IFERROR(VLOOKUP($E:$E,'（居民）工资表-1月'!$E:$T,16,0),0)</f>
        <v>10000</v>
      </c>
      <c r="U5" s="91">
        <f>Q5+IFERROR(VLOOKUP($E:$E,'（居民）工资表-1月'!$E:$U,17,0),0)</f>
        <v>1330.92</v>
      </c>
      <c r="V5" s="125"/>
      <c r="W5" s="125"/>
      <c r="X5" s="125"/>
      <c r="Y5" s="125"/>
      <c r="Z5" s="125"/>
      <c r="AA5" s="125"/>
      <c r="AB5" s="90">
        <f t="shared" ref="AB5:AB17" si="9">ROUND(SUM(V5:AA5),2)</f>
        <v>0</v>
      </c>
      <c r="AC5" s="90">
        <f>R5+IFERROR(VLOOKUP($E:$E,'（居民）工资表-1月'!$E:$AC,25,0),0)</f>
        <v>0</v>
      </c>
      <c r="AD5" s="95">
        <f t="shared" si="1"/>
        <v>469.08</v>
      </c>
      <c r="AE5" s="96">
        <f>ROUND(MAX((AD5)*{0.03;0.1;0.2;0.25;0.3;0.35;0.45}-{0;2520;16920;31920;52920;85920;181920},0),2)</f>
        <v>14.07</v>
      </c>
      <c r="AF5" s="97">
        <f>IFERROR(VLOOKUP(E:E,'（居民）工资表-1月'!E:AF,28,0)+VLOOKUP(E:E,'（居民）工资表-1月'!E:AG,29,0),0)</f>
        <v>13.13</v>
      </c>
      <c r="AG5" s="97">
        <f t="shared" si="2"/>
        <v>0.94</v>
      </c>
      <c r="AH5" s="107">
        <f t="shared" si="3"/>
        <v>5030.38</v>
      </c>
      <c r="AI5" s="108"/>
      <c r="AJ5" s="107">
        <f t="shared" si="4"/>
        <v>5030.38</v>
      </c>
      <c r="AK5" s="109"/>
      <c r="AL5" s="107">
        <f t="shared" si="5"/>
        <v>5031.32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2" t="s">
        <v>210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L6+IFERROR(VLOOKUP($E:$E,'（居民）工资表-1月'!$E:$S,15,0),0)</f>
        <v>60120</v>
      </c>
      <c r="T6" s="91">
        <f>5000+IFERROR(VLOOKUP($E:$E,'（居民）工资表-1月'!$E:$T,16,0),0)</f>
        <v>10000</v>
      </c>
      <c r="U6" s="91">
        <f>Q6+IFERROR(VLOOKUP($E:$E,'（居民）工资表-1月'!$E:$U,17,0),0)</f>
        <v>1911.87</v>
      </c>
      <c r="V6" s="125"/>
      <c r="W6" s="125"/>
      <c r="X6" s="125"/>
      <c r="Y6" s="125"/>
      <c r="Z6" s="125"/>
      <c r="AA6" s="125"/>
      <c r="AB6" s="90">
        <f t="shared" si="9"/>
        <v>0</v>
      </c>
      <c r="AC6" s="90">
        <f>R6+IFERROR(VLOOKUP($E:$E,'（居民）工资表-1月'!$E:$AC,25,0),0)</f>
        <v>0</v>
      </c>
      <c r="AD6" s="95">
        <f t="shared" si="1"/>
        <v>48208.13</v>
      </c>
      <c r="AE6" s="96">
        <f>ROUND(MAX((AD6)*{0.03;0.1;0.2;0.25;0.3;0.35;0.45}-{0;2520;16920;31920;52920;85920;181920},0),2)</f>
        <v>2300.81</v>
      </c>
      <c r="AF6" s="97">
        <f>IFERROR(VLOOKUP(E:E,'（居民）工资表-1月'!E:AF,28,0)+VLOOKUP(E:E,'（居民）工资表-1月'!E:AG,29,0),0)</f>
        <v>722.9</v>
      </c>
      <c r="AG6" s="97">
        <f t="shared" si="2"/>
        <v>1577.91</v>
      </c>
      <c r="AH6" s="107">
        <f t="shared" si="3"/>
        <v>27533.54</v>
      </c>
      <c r="AI6" s="108"/>
      <c r="AJ6" s="107">
        <f t="shared" si="4"/>
        <v>27533.54</v>
      </c>
      <c r="AK6" s="109"/>
      <c r="AL6" s="107">
        <f t="shared" si="5"/>
        <v>29111.45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2" t="s">
        <v>211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L7+IFERROR(VLOOKUP($E:$E,'（居民）工资表-1月'!$E:$S,15,0),0)</f>
        <v>17000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1077.71</v>
      </c>
      <c r="V7" s="125"/>
      <c r="W7" s="125"/>
      <c r="X7" s="125"/>
      <c r="Y7" s="125"/>
      <c r="Z7" s="125"/>
      <c r="AA7" s="125"/>
      <c r="AB7" s="90">
        <f t="shared" si="9"/>
        <v>0</v>
      </c>
      <c r="AC7" s="90">
        <f>R7+IFERROR(VLOOKUP($E:$E,'（居民）工资表-1月'!$E:$AC,25,0),0)</f>
        <v>0</v>
      </c>
      <c r="AD7" s="95">
        <f t="shared" si="1"/>
        <v>5922.29</v>
      </c>
      <c r="AE7" s="96">
        <f>ROUND(MAX((AD7)*{0.03;0.1;0.2;0.25;0.3;0.35;0.45}-{0;2520;16920;31920;52920;85920;181920},0),2)</f>
        <v>177.67</v>
      </c>
      <c r="AF7" s="97">
        <f>IFERROR(VLOOKUP(E:E,'（居民）工资表-1月'!E:AF,28,0)+VLOOKUP(E:E,'（居民）工资表-1月'!E:AG,29,0),0)</f>
        <v>103.5</v>
      </c>
      <c r="AG7" s="97">
        <f t="shared" si="2"/>
        <v>74.17</v>
      </c>
      <c r="AH7" s="107">
        <f t="shared" si="3"/>
        <v>7398.12</v>
      </c>
      <c r="AI7" s="108"/>
      <c r="AJ7" s="107">
        <f t="shared" si="4"/>
        <v>7398.12</v>
      </c>
      <c r="AK7" s="109"/>
      <c r="AL7" s="107">
        <f t="shared" si="5"/>
        <v>7472.29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2" t="s">
        <v>212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L8+IFERROR(VLOOKUP($E:$E,'（居民）工资表-1月'!$E:$S,15,0),0)</f>
        <v>21000</v>
      </c>
      <c r="T8" s="91">
        <f>5000+IFERROR(VLOOKUP($E:$E,'（居民）工资表-1月'!$E:$T,16,0),0)</f>
        <v>10000</v>
      </c>
      <c r="U8" s="91">
        <f>Q8+IFERROR(VLOOKUP($E:$E,'（居民）工资表-1月'!$E:$U,17,0),0)</f>
        <v>1565.84</v>
      </c>
      <c r="V8" s="125"/>
      <c r="W8" s="125"/>
      <c r="X8" s="125"/>
      <c r="Y8" s="125"/>
      <c r="Z8" s="125"/>
      <c r="AA8" s="125"/>
      <c r="AB8" s="90">
        <f t="shared" si="9"/>
        <v>0</v>
      </c>
      <c r="AC8" s="90">
        <f>R8+IFERROR(VLOOKUP($E:$E,'（居民）工资表-1月'!$E:$AC,25,0),0)</f>
        <v>0</v>
      </c>
      <c r="AD8" s="95">
        <f t="shared" si="1"/>
        <v>9434.16</v>
      </c>
      <c r="AE8" s="96">
        <f>ROUND(MAX((AD8)*{0.03;0.1;0.2;0.25;0.3;0.35;0.45}-{0;2520;16920;31920;52920;85920;181920},0),2)</f>
        <v>283.02</v>
      </c>
      <c r="AF8" s="97">
        <f>IFERROR(VLOOKUP(E:E,'（居民）工资表-1月'!E:AF,28,0)+VLOOKUP(E:E,'（居民）工资表-1月'!E:AG,29,0),0)</f>
        <v>141.18</v>
      </c>
      <c r="AG8" s="97">
        <f t="shared" si="2"/>
        <v>141.84</v>
      </c>
      <c r="AH8" s="107">
        <f t="shared" si="3"/>
        <v>9586.16</v>
      </c>
      <c r="AI8" s="108"/>
      <c r="AJ8" s="107">
        <f t="shared" si="4"/>
        <v>9586.16</v>
      </c>
      <c r="AK8" s="109"/>
      <c r="AL8" s="107">
        <f t="shared" si="5"/>
        <v>9728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2" t="s">
        <v>213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369.52</v>
      </c>
      <c r="N9" s="71">
        <v>90.4</v>
      </c>
      <c r="O9" s="71">
        <v>13.86</v>
      </c>
      <c r="P9" s="71">
        <v>100</v>
      </c>
      <c r="Q9" s="89">
        <f t="shared" si="0"/>
        <v>573.78</v>
      </c>
      <c r="R9" s="70">
        <v>0</v>
      </c>
      <c r="S9" s="90">
        <f>L9+IFERROR(VLOOKUP($E:$E,'（居民）工资表-1月'!$E:$S,15,0),0)</f>
        <v>13000</v>
      </c>
      <c r="T9" s="91">
        <f>5000+IFERROR(VLOOKUP($E:$E,'（居民）工资表-1月'!$E:$T,16,0),0)</f>
        <v>10000</v>
      </c>
      <c r="U9" s="91">
        <f>Q9+IFERROR(VLOOKUP($E:$E,'（居民）工资表-1月'!$E:$U,17,0),0)</f>
        <v>1103.56</v>
      </c>
      <c r="V9" s="125"/>
      <c r="W9" s="125"/>
      <c r="X9" s="125"/>
      <c r="Y9" s="125"/>
      <c r="Z9" s="125"/>
      <c r="AA9" s="125"/>
      <c r="AB9" s="90">
        <f t="shared" si="9"/>
        <v>0</v>
      </c>
      <c r="AC9" s="90">
        <f>R9+IFERROR(VLOOKUP($E:$E,'（居民）工资表-1月'!$E:$AC,25,0),0)</f>
        <v>0</v>
      </c>
      <c r="AD9" s="95">
        <f t="shared" si="1"/>
        <v>1896.44</v>
      </c>
      <c r="AE9" s="96">
        <f>ROUND(MAX((AD9)*{0.03;0.1;0.2;0.25;0.3;0.35;0.45}-{0;2520;16920;31920;52920;85920;181920},0),2)</f>
        <v>56.89</v>
      </c>
      <c r="AF9" s="97">
        <f>IFERROR(VLOOKUP(E:E,'（居民）工资表-1月'!E:AF,28,0)+VLOOKUP(E:E,'（居民）工资表-1月'!E:AG,29,0),0)</f>
        <v>29.11</v>
      </c>
      <c r="AG9" s="97">
        <f t="shared" si="2"/>
        <v>27.78</v>
      </c>
      <c r="AH9" s="107">
        <f t="shared" si="3"/>
        <v>5898.44</v>
      </c>
      <c r="AI9" s="108"/>
      <c r="AJ9" s="107">
        <f t="shared" si="4"/>
        <v>5898.44</v>
      </c>
      <c r="AK9" s="109"/>
      <c r="AL9" s="107">
        <f t="shared" si="5"/>
        <v>5926.22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2" t="s">
        <v>214</v>
      </c>
    </row>
    <row r="10" s="12" customFormat="1" ht="18" customHeight="1" spans="1:47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L10+IFERROR(VLOOKUP($E:$E,'（居民）工资表-1月'!$E:$S,15,0),0)</f>
        <v>8973.81</v>
      </c>
      <c r="T10" s="91">
        <f>5000+IFERROR(VLOOKUP($E:$E,'（居民）工资表-1月'!$E:$T,16,0),0)</f>
        <v>10000</v>
      </c>
      <c r="U10" s="91">
        <f>Q10+IFERROR(VLOOKUP($E:$E,'（居民）工资表-1月'!$E:$U,17,0),0)</f>
        <v>1294.23</v>
      </c>
      <c r="V10" s="125"/>
      <c r="W10" s="125"/>
      <c r="X10" s="125"/>
      <c r="Y10" s="125"/>
      <c r="Z10" s="125"/>
      <c r="AA10" s="125"/>
      <c r="AB10" s="90">
        <f t="shared" si="9"/>
        <v>0</v>
      </c>
      <c r="AC10" s="90">
        <f>R10+IFERROR(VLOOKUP($E:$E,'（居民）工资表-1月'!$E:$AC,25,0),0)</f>
        <v>0</v>
      </c>
      <c r="AD10" s="95">
        <f t="shared" si="1"/>
        <v>-2320.42</v>
      </c>
      <c r="AE10" s="96">
        <f>ROUND(MAX((AD10)*{0.03;0.1;0.2;0.25;0.3;0.35;0.45}-{0;2520;16920;31920;52920;85920;181920},0),2)</f>
        <v>0</v>
      </c>
      <c r="AF10" s="97">
        <f>IFERROR(VLOOKUP(E:E,'（居民）工资表-1月'!E:AF,28,0)+VLOOKUP(E:E,'（居民）工资表-1月'!E:AG,29,0),0)</f>
        <v>0</v>
      </c>
      <c r="AG10" s="97">
        <f t="shared" si="2"/>
        <v>0</v>
      </c>
      <c r="AH10" s="107">
        <f t="shared" si="3"/>
        <v>3895.98</v>
      </c>
      <c r="AI10" s="108"/>
      <c r="AJ10" s="107">
        <f t="shared" si="4"/>
        <v>3895.98</v>
      </c>
      <c r="AK10" s="109"/>
      <c r="AL10" s="107">
        <f t="shared" si="5"/>
        <v>3895.98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2" t="s">
        <v>215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L11+IFERROR(VLOOKUP($E:$E,'（居民）工资表-1月'!$E:$S,15,0),0)</f>
        <v>17500</v>
      </c>
      <c r="T11" s="91">
        <f>5000+IFERROR(VLOOKUP($E:$E,'（居民）工资表-1月'!$E:$T,16,0),0)</f>
        <v>10000</v>
      </c>
      <c r="U11" s="91">
        <f>Q11+IFERROR(VLOOKUP($E:$E,'（居民）工资表-1月'!$E:$U,17,0),0)</f>
        <v>1139.84</v>
      </c>
      <c r="V11" s="125"/>
      <c r="W11" s="125"/>
      <c r="X11" s="125"/>
      <c r="Y11" s="125"/>
      <c r="Z11" s="125"/>
      <c r="AA11" s="125"/>
      <c r="AB11" s="90">
        <f t="shared" si="9"/>
        <v>0</v>
      </c>
      <c r="AC11" s="90">
        <f>R11+IFERROR(VLOOKUP($E:$E,'（居民）工资表-1月'!$E:$AC,25,0),0)</f>
        <v>0</v>
      </c>
      <c r="AD11" s="95">
        <f t="shared" si="1"/>
        <v>6360.16</v>
      </c>
      <c r="AE11" s="96">
        <f>ROUND(MAX((AD11)*{0.03;0.1;0.2;0.25;0.3;0.35;0.45}-{0;2520;16920;31920;52920;85920;181920},0),2)</f>
        <v>190.8</v>
      </c>
      <c r="AF11" s="97">
        <f>IFERROR(VLOOKUP(E:E,'（居民）工资表-1月'!E:AF,28,0)+VLOOKUP(E:E,'（居民）工资表-1月'!E:AG,29,0),0)</f>
        <v>102.57</v>
      </c>
      <c r="AG11" s="97">
        <f t="shared" si="2"/>
        <v>88.23</v>
      </c>
      <c r="AH11" s="107">
        <f t="shared" si="3"/>
        <v>7852.77</v>
      </c>
      <c r="AI11" s="108"/>
      <c r="AJ11" s="107">
        <f t="shared" si="4"/>
        <v>7852.77</v>
      </c>
      <c r="AK11" s="109"/>
      <c r="AL11" s="107">
        <f t="shared" si="5"/>
        <v>7941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2" t="s">
        <v>216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L12+IFERROR(VLOOKUP($E:$E,'（居民）工资表-1月'!$E:$S,15,0),0)</f>
        <v>14500</v>
      </c>
      <c r="T12" s="91">
        <f>5000+IFERROR(VLOOKUP($E:$E,'（居民）工资表-1月'!$E:$T,16,0),0)</f>
        <v>10000</v>
      </c>
      <c r="U12" s="91">
        <f>Q12+IFERROR(VLOOKUP($E:$E,'（居民）工资表-1月'!$E:$U,17,0),0)</f>
        <v>1565.84</v>
      </c>
      <c r="V12" s="125"/>
      <c r="W12" s="125"/>
      <c r="X12" s="125"/>
      <c r="Y12" s="125"/>
      <c r="Z12" s="125"/>
      <c r="AA12" s="125"/>
      <c r="AB12" s="90">
        <f t="shared" si="9"/>
        <v>0</v>
      </c>
      <c r="AC12" s="90">
        <f>R12+IFERROR(VLOOKUP($E:$E,'（居民）工资表-1月'!$E:$AC,25,0),0)</f>
        <v>0</v>
      </c>
      <c r="AD12" s="95">
        <f t="shared" si="1"/>
        <v>2934.16</v>
      </c>
      <c r="AE12" s="96">
        <f>ROUND(MAX((AD12)*{0.03;0.1;0.2;0.25;0.3;0.35;0.45}-{0;2520;16920;31920;52920;85920;181920},0),2)</f>
        <v>88.02</v>
      </c>
      <c r="AF12" s="97">
        <f>IFERROR(VLOOKUP(E:E,'（居民）工资表-1月'!E:AF,28,0)+VLOOKUP(E:E,'（居民）工资表-1月'!E:AG,29,0),0)</f>
        <v>51.18</v>
      </c>
      <c r="AG12" s="97">
        <f t="shared" si="2"/>
        <v>36.84</v>
      </c>
      <c r="AH12" s="107">
        <f t="shared" si="3"/>
        <v>6191.16</v>
      </c>
      <c r="AI12" s="108"/>
      <c r="AJ12" s="107">
        <f t="shared" si="4"/>
        <v>6191.16</v>
      </c>
      <c r="AK12" s="109"/>
      <c r="AL12" s="107">
        <f t="shared" si="5"/>
        <v>6228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  <c r="AU12" s="12" t="s">
        <v>213</v>
      </c>
    </row>
    <row r="13" s="12" customFormat="1" ht="18" customHeight="1" spans="1:47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7608.7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L13+IFERROR(VLOOKUP($E:$E,'（居民）工资表-1月'!$E:$S,15,0),0)</f>
        <v>15608.7</v>
      </c>
      <c r="T13" s="91">
        <f>5000+IFERROR(VLOOKUP($E:$E,'（居民）工资表-1月'!$E:$T,16,0),0)</f>
        <v>10000</v>
      </c>
      <c r="U13" s="91">
        <f>Q13+IFERROR(VLOOKUP($E:$E,'（居民）工资表-1月'!$E:$U,17,0),0)</f>
        <v>1565.84</v>
      </c>
      <c r="V13" s="125"/>
      <c r="W13" s="125"/>
      <c r="X13" s="125"/>
      <c r="Y13" s="125"/>
      <c r="Z13" s="125"/>
      <c r="AA13" s="125"/>
      <c r="AB13" s="90">
        <f t="shared" si="9"/>
        <v>0</v>
      </c>
      <c r="AC13" s="90">
        <f>R13+IFERROR(VLOOKUP($E:$E,'（居民）工资表-1月'!$E:$AC,25,0),0)</f>
        <v>0</v>
      </c>
      <c r="AD13" s="95">
        <f t="shared" si="1"/>
        <v>4042.86</v>
      </c>
      <c r="AE13" s="96">
        <f>ROUND(MAX((AD13)*{0.03;0.1;0.2;0.25;0.3;0.35;0.45}-{0;2520;16920;31920;52920;85920;181920},0),2)</f>
        <v>121.29</v>
      </c>
      <c r="AF13" s="97">
        <f>IFERROR(VLOOKUP(E:E,'（居民）工资表-1月'!E:AF,28,0)+VLOOKUP(E:E,'（居民）工资表-1月'!E:AG,29,0),0)</f>
        <v>66.18</v>
      </c>
      <c r="AG13" s="97">
        <f t="shared" si="2"/>
        <v>55.11</v>
      </c>
      <c r="AH13" s="107">
        <f t="shared" si="3"/>
        <v>6781.59</v>
      </c>
      <c r="AI13" s="108"/>
      <c r="AJ13" s="107">
        <f t="shared" si="4"/>
        <v>6781.59</v>
      </c>
      <c r="AK13" s="109"/>
      <c r="AL13" s="107">
        <f t="shared" si="5"/>
        <v>6836.7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IF(SUMPRODUCT(N(E$1:E$8=E13))&gt;1,"重复","不")</f>
        <v>不</v>
      </c>
      <c r="AT13" s="116" t="str">
        <f>IF(SUMPRODUCT(N(AO$1:AO$8=AO13))&gt;1,"重复","不")</f>
        <v>重复</v>
      </c>
      <c r="AU13" s="12" t="s">
        <v>213</v>
      </c>
    </row>
    <row r="14" s="12" customFormat="1" ht="18" customHeight="1" spans="1:47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L14+IFERROR(VLOOKUP($E:$E,'（居民）工资表-1月'!$E:$S,15,0),0)</f>
        <v>7000</v>
      </c>
      <c r="T14" s="91">
        <f>5000+IFERROR(VLOOKUP($E:$E,'（居民）工资表-1月'!$E:$T,16,0),0)</f>
        <v>5000</v>
      </c>
      <c r="U14" s="91">
        <f>Q14+IFERROR(VLOOKUP($E:$E,'（居民）工资表-1月'!$E:$U,17,0),0)</f>
        <v>559</v>
      </c>
      <c r="V14" s="125"/>
      <c r="W14" s="125"/>
      <c r="X14" s="125"/>
      <c r="Y14" s="125"/>
      <c r="Z14" s="125"/>
      <c r="AA14" s="125"/>
      <c r="AB14" s="90">
        <f t="shared" si="9"/>
        <v>0</v>
      </c>
      <c r="AC14" s="90">
        <f>R14+IFERROR(VLOOKUP($E:$E,'（居民）工资表-1月'!$E:$AC,25,0),0)</f>
        <v>0</v>
      </c>
      <c r="AD14" s="95">
        <f t="shared" si="1"/>
        <v>1441</v>
      </c>
      <c r="AE14" s="96">
        <f>ROUND(MAX((AD14)*{0.03;0.1;0.2;0.25;0.3;0.35;0.45}-{0;2520;16920;31920;52920;85920;181920},0),2)</f>
        <v>43.23</v>
      </c>
      <c r="AF14" s="97">
        <f>IFERROR(VLOOKUP(E:E,'（居民）工资表-1月'!E:AF,28,0)+VLOOKUP(E:E,'（居民）工资表-1月'!E:AG,29,0),0)</f>
        <v>0</v>
      </c>
      <c r="AG14" s="97">
        <f t="shared" si="2"/>
        <v>43.23</v>
      </c>
      <c r="AH14" s="107">
        <f t="shared" si="3"/>
        <v>6397.77</v>
      </c>
      <c r="AI14" s="108"/>
      <c r="AJ14" s="107">
        <f t="shared" si="4"/>
        <v>6397.77</v>
      </c>
      <c r="AK14" s="109"/>
      <c r="AL14" s="107">
        <f t="shared" si="5"/>
        <v>6441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  <c r="AU14" s="12" t="s">
        <v>216</v>
      </c>
    </row>
    <row r="15" s="12" customFormat="1" ht="18" customHeight="1" spans="1:47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6581.74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L15+IFERROR(VLOOKUP($E:$E,'（居民）工资表-1月'!$E:$S,15,0),0)</f>
        <v>6581.74</v>
      </c>
      <c r="T15" s="91">
        <f>5000+IFERROR(VLOOKUP($E:$E,'（居民）工资表-1月'!$E:$T,16,0),0)</f>
        <v>5000</v>
      </c>
      <c r="U15" s="91">
        <f>Q15+IFERROR(VLOOKUP($E:$E,'（居民）工资表-1月'!$E:$U,17,0),0)</f>
        <v>527.71</v>
      </c>
      <c r="V15" s="125"/>
      <c r="W15" s="125"/>
      <c r="X15" s="125"/>
      <c r="Y15" s="125"/>
      <c r="Z15" s="125"/>
      <c r="AA15" s="125"/>
      <c r="AB15" s="90">
        <f t="shared" si="9"/>
        <v>0</v>
      </c>
      <c r="AC15" s="90">
        <f>R15+IFERROR(VLOOKUP($E:$E,'（居民）工资表-1月'!$E:$AC,25,0),0)</f>
        <v>0</v>
      </c>
      <c r="AD15" s="95">
        <f t="shared" si="1"/>
        <v>1054.03</v>
      </c>
      <c r="AE15" s="96">
        <f>ROUND(MAX((AD15)*{0.03;0.1;0.2;0.25;0.3;0.35;0.45}-{0;2520;16920;31920;52920;85920;181920},0),2)</f>
        <v>31.62</v>
      </c>
      <c r="AF15" s="97">
        <f>IFERROR(VLOOKUP(E:E,'（居民）工资表-1月'!E:AF,28,0)+VLOOKUP(E:E,'（居民）工资表-1月'!E:AG,29,0),0)</f>
        <v>0</v>
      </c>
      <c r="AG15" s="97">
        <f t="shared" si="2"/>
        <v>31.62</v>
      </c>
      <c r="AH15" s="107">
        <f t="shared" si="3"/>
        <v>6022.41</v>
      </c>
      <c r="AI15" s="108"/>
      <c r="AJ15" s="107">
        <f t="shared" si="4"/>
        <v>6022.41</v>
      </c>
      <c r="AK15" s="109"/>
      <c r="AL15" s="107">
        <f t="shared" si="5"/>
        <v>6054.03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  <c r="AU15" s="12" t="s">
        <v>212</v>
      </c>
    </row>
    <row r="16" s="12" customFormat="1" ht="18" customHeight="1" spans="1:47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L16+IFERROR(VLOOKUP($E:$E,'（居民）工资表-1月'!$E:$S,15,0),0)</f>
        <v>12000</v>
      </c>
      <c r="T16" s="91">
        <f>5000+IFERROR(VLOOKUP($E:$E,'（居民）工资表-1月'!$E:$T,16,0),0)</f>
        <v>10000</v>
      </c>
      <c r="U16" s="91">
        <f>Q16+IFERROR(VLOOKUP($E:$E,'（居民）工资表-1月'!$E:$U,17,0),0)</f>
        <v>1071.84</v>
      </c>
      <c r="V16" s="125"/>
      <c r="W16" s="125"/>
      <c r="X16" s="125"/>
      <c r="Y16" s="125"/>
      <c r="Z16" s="125"/>
      <c r="AA16" s="125"/>
      <c r="AB16" s="90">
        <f t="shared" si="9"/>
        <v>0</v>
      </c>
      <c r="AC16" s="90">
        <f>R16+IFERROR(VLOOKUP($E:$E,'（居民）工资表-1月'!$E:$AC,25,0),0)</f>
        <v>0</v>
      </c>
      <c r="AD16" s="95">
        <f t="shared" si="1"/>
        <v>928.16</v>
      </c>
      <c r="AE16" s="96">
        <f>ROUND(MAX((AD16)*{0.03;0.1;0.2;0.25;0.3;0.35;0.45}-{0;2520;16920;31920;52920;85920;181920},0),2)</f>
        <v>27.84</v>
      </c>
      <c r="AF16" s="97">
        <f>IFERROR(VLOOKUP(E:E,'（居民）工资表-1月'!E:AF,28,0)+VLOOKUP(E:E,'（居民）工资表-1月'!E:AG,29,0),0)</f>
        <v>13.59</v>
      </c>
      <c r="AG16" s="97">
        <f t="shared" si="2"/>
        <v>14.25</v>
      </c>
      <c r="AH16" s="107">
        <f t="shared" si="3"/>
        <v>5460.75</v>
      </c>
      <c r="AI16" s="108"/>
      <c r="AJ16" s="107">
        <f t="shared" si="4"/>
        <v>5460.75</v>
      </c>
      <c r="AK16" s="109"/>
      <c r="AL16" s="107">
        <f t="shared" si="5"/>
        <v>5475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IF(SUMPRODUCT(N(E$1:E$8=E16))&gt;1,"重复","不")</f>
        <v>不</v>
      </c>
      <c r="AT16" s="116" t="str">
        <f>IF(SUMPRODUCT(N(AO$1:AO$8=AO16))&gt;1,"重复","不")</f>
        <v>重复</v>
      </c>
      <c r="AU16" s="12" t="s">
        <v>217</v>
      </c>
    </row>
    <row r="17" s="12" customFormat="1" ht="18" customHeight="1" spans="1:47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7652.17</v>
      </c>
      <c r="M17" s="71">
        <v>964.56</v>
      </c>
      <c r="N17" s="71">
        <v>267.27</v>
      </c>
      <c r="O17" s="71">
        <v>60.3</v>
      </c>
      <c r="P17" s="71">
        <v>291</v>
      </c>
      <c r="Q17" s="89">
        <f t="shared" si="0"/>
        <v>1583.13</v>
      </c>
      <c r="R17" s="70">
        <v>0</v>
      </c>
      <c r="S17" s="90">
        <f>L17+IFERROR(VLOOKUP($E:$E,'（居民）工资表-1月'!$E:$S,15,0),0)</f>
        <v>17652.17</v>
      </c>
      <c r="T17" s="91">
        <f>5000+IFERROR(VLOOKUP($E:$E,'（居民）工资表-1月'!$E:$T,16,0),0)</f>
        <v>10000</v>
      </c>
      <c r="U17" s="91">
        <f>Q17+IFERROR(VLOOKUP($E:$E,'（居民）工资表-1月'!$E:$U,17,0),0)</f>
        <v>2133.13</v>
      </c>
      <c r="V17" s="125"/>
      <c r="W17" s="125"/>
      <c r="X17" s="125"/>
      <c r="Y17" s="125"/>
      <c r="Z17" s="125"/>
      <c r="AA17" s="125"/>
      <c r="AB17" s="90">
        <f t="shared" si="9"/>
        <v>0</v>
      </c>
      <c r="AC17" s="90">
        <f>R17+IFERROR(VLOOKUP($E:$E,'（居民）工资表-1月'!$E:$AC,25,0),0)</f>
        <v>0</v>
      </c>
      <c r="AD17" s="95">
        <f t="shared" si="1"/>
        <v>5519.04</v>
      </c>
      <c r="AE17" s="96">
        <f>ROUND(MAX((AD17)*{0.03;0.1;0.2;0.25;0.3;0.35;0.45}-{0;2520;16920;31920;52920;85920;181920},0),2)</f>
        <v>165.57</v>
      </c>
      <c r="AF17" s="97">
        <f>IFERROR(VLOOKUP(E:E,'（居民）工资表-1月'!E:AF,28,0)+VLOOKUP(E:E,'（居民）工资表-1月'!E:AG,29,0),0)</f>
        <v>133.5</v>
      </c>
      <c r="AG17" s="97">
        <f t="shared" si="2"/>
        <v>32.07</v>
      </c>
      <c r="AH17" s="107">
        <f t="shared" si="3"/>
        <v>6036.97</v>
      </c>
      <c r="AI17" s="108"/>
      <c r="AJ17" s="107">
        <f t="shared" si="4"/>
        <v>6036.97</v>
      </c>
      <c r="AK17" s="109"/>
      <c r="AL17" s="107">
        <f t="shared" si="5"/>
        <v>6069.04</v>
      </c>
      <c r="AM17" s="109"/>
      <c r="AN17" s="109"/>
      <c r="AO17" s="109"/>
      <c r="AP17" s="109"/>
      <c r="AQ17" s="109"/>
      <c r="AR17" s="116" t="str">
        <f t="shared" si="6"/>
        <v>正确</v>
      </c>
      <c r="AS17" s="116" t="str">
        <f>IF(SUMPRODUCT(N(E$1:E$8=E17))&gt;1,"重复","不")</f>
        <v>不</v>
      </c>
      <c r="AT17" s="116" t="str">
        <f>IF(SUMPRODUCT(N(AO$1:AO$8=AO17))&gt;1,"重复","不")</f>
        <v>重复</v>
      </c>
      <c r="AU17" s="12" t="s">
        <v>212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125"/>
      <c r="W18" s="125"/>
      <c r="X18" s="125"/>
      <c r="Y18" s="125"/>
      <c r="Z18" s="125"/>
      <c r="AA18" s="125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123628.45</v>
      </c>
      <c r="M19" s="74">
        <f t="shared" ref="M19:AL19" si="10">SUM(M4:M18)</f>
        <v>5613.3</v>
      </c>
      <c r="N19" s="74">
        <f t="shared" si="10"/>
        <v>1585.57</v>
      </c>
      <c r="O19" s="74">
        <f t="shared" si="10"/>
        <v>311.85</v>
      </c>
      <c r="P19" s="74">
        <f t="shared" si="10"/>
        <v>2496.4</v>
      </c>
      <c r="Q19" s="74">
        <f t="shared" si="10"/>
        <v>10007.12</v>
      </c>
      <c r="R19" s="74">
        <f t="shared" si="10"/>
        <v>0</v>
      </c>
      <c r="S19" s="74">
        <f t="shared" si="10"/>
        <v>238736.42</v>
      </c>
      <c r="T19" s="74">
        <f t="shared" si="10"/>
        <v>130000</v>
      </c>
      <c r="U19" s="74">
        <f t="shared" si="10"/>
        <v>18057.06</v>
      </c>
      <c r="V19" s="74">
        <f t="shared" si="10"/>
        <v>2000</v>
      </c>
      <c r="W19" s="74">
        <f t="shared" si="10"/>
        <v>0</v>
      </c>
      <c r="X19" s="74">
        <f t="shared" si="10"/>
        <v>2000</v>
      </c>
      <c r="Y19" s="74">
        <f t="shared" si="10"/>
        <v>0</v>
      </c>
      <c r="Z19" s="74">
        <f t="shared" si="10"/>
        <v>800</v>
      </c>
      <c r="AA19" s="74">
        <f t="shared" si="10"/>
        <v>0</v>
      </c>
      <c r="AB19" s="74">
        <f t="shared" si="10"/>
        <v>4800</v>
      </c>
      <c r="AC19" s="74">
        <f t="shared" si="10"/>
        <v>0</v>
      </c>
      <c r="AD19" s="74">
        <f t="shared" si="10"/>
        <v>85879.36</v>
      </c>
      <c r="AE19" s="74">
        <f t="shared" si="10"/>
        <v>3500.83</v>
      </c>
      <c r="AF19" s="74">
        <f t="shared" si="10"/>
        <v>1448.21</v>
      </c>
      <c r="AG19" s="74">
        <f t="shared" si="10"/>
        <v>2123.99</v>
      </c>
      <c r="AH19" s="74">
        <f t="shared" si="10"/>
        <v>111497.34</v>
      </c>
      <c r="AI19" s="74">
        <f t="shared" si="10"/>
        <v>0</v>
      </c>
      <c r="AJ19" s="74">
        <f t="shared" si="10"/>
        <v>111497.34</v>
      </c>
      <c r="AK19" s="74">
        <f t="shared" si="10"/>
        <v>0</v>
      </c>
      <c r="AL19" s="74">
        <f t="shared" si="10"/>
        <v>113621.33</v>
      </c>
      <c r="AM19" s="110"/>
      <c r="AN19" s="110"/>
      <c r="AO19" s="110"/>
      <c r="AP19" s="110"/>
      <c r="AQ19" s="110"/>
      <c r="AR19" s="45"/>
      <c r="AS19" s="45"/>
      <c r="AT19" s="118"/>
    </row>
    <row r="20" spans="38:38">
      <c r="AL20" s="15">
        <v>31841.4778</v>
      </c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208</v>
      </c>
      <c r="E23" s="47" t="s">
        <v>23</v>
      </c>
      <c r="AD23" s="10"/>
    </row>
    <row r="24" ht="18.75" customHeight="1" spans="2:5">
      <c r="B24" s="48">
        <f>AJ19</f>
        <v>111497.34</v>
      </c>
      <c r="C24" s="48">
        <f>AG19</f>
        <v>2123.99</v>
      </c>
      <c r="D24" s="48">
        <f>AK19</f>
        <v>0</v>
      </c>
      <c r="E24" s="48">
        <f>B24+C24+D24</f>
        <v>113621.33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24000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1798.43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1.57</v>
      </c>
      <c r="AE4" s="96">
        <f>ROUND(MAX((AD4)*{0.03;0.1;0.2;0.25;0.3;0.35;0.45}-{0;2520;16920;31920;52920;85920;181920},0),2)</f>
        <v>0.05</v>
      </c>
      <c r="AF4" s="97">
        <f>IFERROR(VLOOKUP(E:E,'（居民）工资表-2月'!E:AF,28,0)+VLOOKUP(E:E,'（居民）工资表-2月'!E:AG,29,0),0)</f>
        <v>71.37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17500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1993.16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506.84</v>
      </c>
      <c r="AE5" s="96">
        <f>ROUND(MAX((AD5)*{0.03;0.1;0.2;0.25;0.3;0.35;0.45}-{0;2520;16920;31920;52920;85920;181920},0),2)</f>
        <v>15.21</v>
      </c>
      <c r="AF5" s="97">
        <f>IFERROR(VLOOKUP(E:E,'（居民）工资表-2月'!E:AF,28,0)+VLOOKUP(E:E,'（居民）工资表-2月'!E:AG,29,0),0)</f>
        <v>14.07</v>
      </c>
      <c r="AG5" s="97">
        <f>IF((AE5-AF5)&lt;0,0,AE5-AF5)</f>
        <v>1.14</v>
      </c>
      <c r="AH5" s="107">
        <f>ROUND(IF((L5-Q5-AG5)&lt;0,0,(L5-Q5-AG5)),2)</f>
        <v>5036.62</v>
      </c>
      <c r="AI5" s="108"/>
      <c r="AJ5" s="107">
        <f>AH5+AI5</f>
        <v>5036.62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90180</v>
      </c>
      <c r="T6" s="91">
        <f>5000+IFERROR(VLOOKUP($E:$E,'（居民）工资表-2月'!$E:$T,16,0),0)</f>
        <v>15000</v>
      </c>
      <c r="U6" s="91">
        <f>Q6+IFERROR(VLOOKUP($E:$E,'（居民）工资表-2月'!$E:$U,17,0),0)</f>
        <v>2860.42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72319.58</v>
      </c>
      <c r="AE6" s="96">
        <f>ROUND(MAX((AD6)*{0.03;0.1;0.2;0.25;0.3;0.35;0.45}-{0;2520;16920;31920;52920;85920;181920},0),2)</f>
        <v>4711.96</v>
      </c>
      <c r="AF6" s="97">
        <f>IFERROR(VLOOKUP(E:E,'（居民）工资表-2月'!E:AF,28,0)+VLOOKUP(E:E,'（居民）工资表-2月'!E:AG,29,0),0)</f>
        <v>2300.81</v>
      </c>
      <c r="AG6" s="97">
        <f t="shared" ref="AG6:AG17" si="3">IF((AE6-AF6)&lt;0,0,AE6-AF6)</f>
        <v>2411.15</v>
      </c>
      <c r="AH6" s="107">
        <f t="shared" ref="AH6:AH17" si="4">ROUND(IF((L6-Q6-AG6)&lt;0,0,(L6-Q6-AG6)),2)</f>
        <v>26700.3</v>
      </c>
      <c r="AI6" s="108"/>
      <c r="AJ6" s="107">
        <f t="shared" ref="AJ6:AJ17" si="5">AH6+AI6</f>
        <v>26700.3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25000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1605.42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8394.58</v>
      </c>
      <c r="AE7" s="96">
        <f>ROUND(MAX((AD7)*{0.03;0.1;0.2;0.25;0.3;0.35;0.45}-{0;2520;16920;31920;52920;85920;181920},0),2)</f>
        <v>251.84</v>
      </c>
      <c r="AF7" s="97">
        <f>IFERROR(VLOOKUP(E:E,'（居民）工资表-2月'!E:AF,28,0)+VLOOKUP(E:E,'（居民）工资表-2月'!E:AG,29,0),0)</f>
        <v>177.67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31500</v>
      </c>
      <c r="T8" s="91">
        <f>5000+IFERROR(VLOOKUP($E:$E,'（居民）工资表-2月'!$E:$T,16,0),0)</f>
        <v>15000</v>
      </c>
      <c r="U8" s="91">
        <f>Q8+IFERROR(VLOOKUP($E:$E,'（居民）工资表-2月'!$E:$U,17,0),0)</f>
        <v>2337.84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14162.16</v>
      </c>
      <c r="AE8" s="96">
        <f>ROUND(MAX((AD8)*{0.03;0.1;0.2;0.25;0.3;0.35;0.45}-{0;2520;16920;31920;52920;85920;181920},0),2)</f>
        <v>424.86</v>
      </c>
      <c r="AF8" s="97">
        <f>IFERROR(VLOOKUP(E:E,'（居民）工资表-2月'!E:AF,28,0)+VLOOKUP(E:E,'（居民）工资表-2月'!E:AG,29,0),0)</f>
        <v>283.02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19500</v>
      </c>
      <c r="T9" s="91">
        <f>5000+IFERROR(VLOOKUP($E:$E,'（居民）工资表-2月'!$E:$T,16,0),0)</f>
        <v>15000</v>
      </c>
      <c r="U9" s="91">
        <f>Q9+IFERROR(VLOOKUP($E:$E,'（居民）工资表-2月'!$E:$U,17,0),0)</f>
        <v>1630.36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2869.64</v>
      </c>
      <c r="AE9" s="96">
        <f>ROUND(MAX((AD9)*{0.03;0.1;0.2;0.25;0.3;0.35;0.45}-{0;2520;16920;31920;52920;85920;181920},0),2)</f>
        <v>86.09</v>
      </c>
      <c r="AF9" s="97">
        <f>IFERROR(VLOOKUP(E:E,'（居民）工资表-2月'!E:AF,28,0)+VLOOKUP(E:E,'（居民）工资表-2月'!E:AG,29,0),0)</f>
        <v>56.89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13499.65</v>
      </c>
      <c r="T10" s="91">
        <f>5000+IFERROR(VLOOKUP($E:$E,'（居民）工资表-2月'!$E:$T,16,0),0)</f>
        <v>15000</v>
      </c>
      <c r="U10" s="91">
        <f>Q10+IFERROR(VLOOKUP($E:$E,'（居民）工资表-2月'!$E:$U,17,0),0)</f>
        <v>1924.09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-3424.44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26000</v>
      </c>
      <c r="T11" s="91">
        <f>5000+IFERROR(VLOOKUP($E:$E,'（居民）工资表-2月'!$E:$T,16,0),0)</f>
        <v>15000</v>
      </c>
      <c r="U11" s="91">
        <f>Q11+IFERROR(VLOOKUP($E:$E,'（居民）工资表-2月'!$E:$U,17,0),0)</f>
        <v>1698.84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9301.16</v>
      </c>
      <c r="AE11" s="96">
        <f>ROUND(MAX((AD11)*{0.03;0.1;0.2;0.25;0.3;0.35;0.45}-{0;2520;16920;31920;52920;85920;181920},0),2)</f>
        <v>279.03</v>
      </c>
      <c r="AF11" s="97">
        <f>IFERROR(VLOOKUP(E:E,'（居民）工资表-2月'!E:AF,28,0)+VLOOKUP(E:E,'（居民）工资表-2月'!E:AG,29,0),0)</f>
        <v>190.8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21500</v>
      </c>
      <c r="T12" s="91">
        <f>5000+IFERROR(VLOOKUP($E:$E,'（居民）工资表-2月'!$E:$T,16,0),0)</f>
        <v>15000</v>
      </c>
      <c r="U12" s="91">
        <f>Q12+IFERROR(VLOOKUP($E:$E,'（居民）工资表-2月'!$E:$U,17,0),0)</f>
        <v>2337.84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4162.16</v>
      </c>
      <c r="AE12" s="96">
        <f>ROUND(MAX((AD12)*{0.03;0.1;0.2;0.25;0.3;0.35;0.45}-{0;2520;16920;31920;52920;85920;181920},0),2)</f>
        <v>124.86</v>
      </c>
      <c r="AF12" s="97">
        <f>IFERROR(VLOOKUP(E:E,'（居民）工资表-2月'!E:AF,28,0)+VLOOKUP(E:E,'（居民）工资表-2月'!E:AG,29,0),0)</f>
        <v>88.02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22608.7</v>
      </c>
      <c r="T13" s="91">
        <f>5000+IFERROR(VLOOKUP($E:$E,'（居民）工资表-2月'!$E:$T,16,0),0)</f>
        <v>15000</v>
      </c>
      <c r="U13" s="91">
        <f>Q13+IFERROR(VLOOKUP($E:$E,'（居民）工资表-2月'!$E:$U,17,0),0)</f>
        <v>2337.84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5270.86</v>
      </c>
      <c r="AE13" s="96">
        <f>ROUND(MAX((AD13)*{0.03;0.1;0.2;0.25;0.3;0.35;0.45}-{0;2520;16920;31920;52920;85920;181920},0),2)</f>
        <v>158.13</v>
      </c>
      <c r="AF13" s="97">
        <f>IFERROR(VLOOKUP(E:E,'（居民）工资表-2月'!E:AF,28,0)+VLOOKUP(E:E,'（居民）工资表-2月'!E:AG,29,0),0)</f>
        <v>121.29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14000</v>
      </c>
      <c r="T14" s="91">
        <f>5000+IFERROR(VLOOKUP($E:$E,'（居民）工资表-2月'!$E:$T,16,0),0)</f>
        <v>10000</v>
      </c>
      <c r="U14" s="91">
        <f>Q14+IFERROR(VLOOKUP($E:$E,'（居民）工资表-2月'!$E:$U,17,0),0)</f>
        <v>1118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IFERROR(VLOOKUP(E:E,'（居民）工资表-2月'!E:AF,28,0)+VLOOKUP(E:E,'（居民）工资表-2月'!E:AG,29,0),0)</f>
        <v>43.23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12641.74</v>
      </c>
      <c r="T15" s="91">
        <f>5000+IFERROR(VLOOKUP($E:$E,'（居民）工资表-2月'!$E:$T,16,0),0)</f>
        <v>10000</v>
      </c>
      <c r="U15" s="91">
        <f>Q15+IFERROR(VLOOKUP($E:$E,'（居民）工资表-2月'!$E:$U,17,0),0)</f>
        <v>1055.42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1586.32</v>
      </c>
      <c r="AE15" s="96">
        <f>ROUND(MAX((AD15)*{0.03;0.1;0.2;0.25;0.3;0.35;0.45}-{0;2520;16920;31920;52920;85920;181920},0),2)</f>
        <v>47.59</v>
      </c>
      <c r="AF15" s="97">
        <f>IFERROR(VLOOKUP(E:E,'（居民）工资表-2月'!E:AF,28,0)+VLOOKUP(E:E,'（居民）工资表-2月'!E:AG,29,0),0)</f>
        <v>31.62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18000</v>
      </c>
      <c r="T16" s="91">
        <f>5000+IFERROR(VLOOKUP($E:$E,'（居民）工资表-2月'!$E:$T,16,0),0)</f>
        <v>15000</v>
      </c>
      <c r="U16" s="91">
        <f>Q16+IFERROR(VLOOKUP($E:$E,'（居民）工资表-2月'!$E:$U,17,0),0)</f>
        <v>1596.84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1403.16</v>
      </c>
      <c r="AE16" s="96">
        <f>ROUND(MAX((AD16)*{0.03;0.1;0.2;0.25;0.3;0.35;0.45}-{0;2520;16920;31920;52920;85920;181920},0),2)</f>
        <v>42.09</v>
      </c>
      <c r="AF16" s="97">
        <f>IFERROR(VLOOKUP(E:E,'（居民）工资表-2月'!E:AF,28,0)+VLOOKUP(E:E,'（居民）工资表-2月'!E:AG,29,0),0)</f>
        <v>27.84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27556.93</v>
      </c>
      <c r="T17" s="91">
        <f>5000+IFERROR(VLOOKUP($E:$E,'（居民）工资表-2月'!$E:$T,16,0),0)</f>
        <v>15000</v>
      </c>
      <c r="U17" s="91">
        <f>Q17+IFERROR(VLOOKUP($E:$E,'（居民）工资表-2月'!$E:$U,17,0),0)</f>
        <v>2660.84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9896.09</v>
      </c>
      <c r="AE17" s="96">
        <f>ROUND(MAX((AD17)*{0.03;0.1;0.2;0.25;0.3;0.35;0.45}-{0;2520;16920;31920;52920;85920;181920},0),2)</f>
        <v>296.88</v>
      </c>
      <c r="AF17" s="97">
        <f>IFERROR(VLOOKUP(E:E,'（居民）工资表-2月'!E:AF,28,0)+VLOOKUP(E:E,'（居民）工资表-2月'!E:AG,29,0),0)</f>
        <v>165.57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363487.02</v>
      </c>
      <c r="T19" s="74">
        <f t="shared" si="10"/>
        <v>200000</v>
      </c>
      <c r="U19" s="74">
        <f t="shared" si="10"/>
        <v>26955.34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129331.68</v>
      </c>
      <c r="AE19" s="74">
        <f t="shared" si="10"/>
        <v>6525.05</v>
      </c>
      <c r="AF19" s="74">
        <f t="shared" si="10"/>
        <v>3572.2</v>
      </c>
      <c r="AG19" s="74">
        <f t="shared" si="10"/>
        <v>3024.17</v>
      </c>
      <c r="AH19" s="74">
        <f t="shared" si="10"/>
        <v>112828.15</v>
      </c>
      <c r="AI19" s="74">
        <f t="shared" si="10"/>
        <v>0</v>
      </c>
      <c r="AJ19" s="74">
        <f t="shared" si="10"/>
        <v>112828.15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112828.15</v>
      </c>
      <c r="C24" s="48">
        <f>AG19</f>
        <v>3024.17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32000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2387.13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9612.87</v>
      </c>
      <c r="AE4" s="96">
        <f>ROUND(MAX((AD4)*{0.03;0.1;0.2;0.25;0.3;0.35;0.45}-{0;2520;16920;31920;52920;85920;181920},0),2)</f>
        <v>288.39</v>
      </c>
      <c r="AF4" s="97">
        <f>IFERROR(VLOOKUP(E:E,'（居民）工资表-3月'!E:AF,28,0)+VLOOKUP(E:E,'（居民）工资表-3月'!E:AG,29,0),0)</f>
        <v>71.37</v>
      </c>
      <c r="AG4" s="97">
        <f t="shared" ref="AG4:AG22" si="3">IF((AE4-AF4)&lt;0,0,AE4-AF4)</f>
        <v>217.02</v>
      </c>
      <c r="AH4" s="107">
        <f t="shared" ref="AH4:AH22" si="4">ROUND(IF((L4-Q4-AG4)&lt;0,0,(L4-Q4-AG4)),2)</f>
        <v>7194.28</v>
      </c>
      <c r="AI4" s="108"/>
      <c r="AJ4" s="107">
        <f t="shared" ref="AJ4:AJ22" si="5">AH4+AI4</f>
        <v>7194.28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23200</v>
      </c>
      <c r="T5" s="91">
        <f>5000+IFERROR(VLOOKUP($E:$E,'（居民）工资表-3月'!$E:$T,16,0),0)</f>
        <v>20000</v>
      </c>
      <c r="U5" s="91">
        <f>Q5+IFERROR(VLOOKUP($E:$E,'（居民）工资表-3月'!$E:$U,17,0),0)</f>
        <v>2655.4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544.6</v>
      </c>
      <c r="AE5" s="96">
        <f>ROUND(MAX((AD5)*{0.03;0.1;0.2;0.25;0.3;0.35;0.45}-{0;2520;16920;31920;52920;85920;181920},0),2)</f>
        <v>16.34</v>
      </c>
      <c r="AF5" s="97">
        <f>IFERROR(VLOOKUP(E:E,'（居民）工资表-3月'!E:AF,28,0)+VLOOKUP(E:E,'（居民）工资表-3月'!E:AG,29,0),0)</f>
        <v>15.21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120240</v>
      </c>
      <c r="T6" s="91">
        <f>5000+IFERROR(VLOOKUP($E:$E,'（居民）工资表-3月'!$E:$T,16,0),0)</f>
        <v>20000</v>
      </c>
      <c r="U6" s="91">
        <f>Q6+IFERROR(VLOOKUP($E:$E,'（居民）工资表-3月'!$E:$U,17,0),0)</f>
        <v>3808.97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96431.03</v>
      </c>
      <c r="AE6" s="96">
        <f>ROUND(MAX((AD6)*{0.03;0.1;0.2;0.25;0.3;0.35;0.45}-{0;2520;16920;31920;52920;85920;181920},0),2)</f>
        <v>7123.1</v>
      </c>
      <c r="AF6" s="97">
        <f>IFERROR(VLOOKUP(E:E,'（居民）工资表-3月'!E:AF,28,0)+VLOOKUP(E:E,'（居民）工资表-3月'!E:AG,29,0),0)</f>
        <v>4711.96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33000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2133.13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10866.87</v>
      </c>
      <c r="AE7" s="96">
        <f>ROUND(MAX((AD7)*{0.03;0.1;0.2;0.25;0.3;0.35;0.45}-{0;2520;16920;31920;52920;85920;181920},0),2)</f>
        <v>326.01</v>
      </c>
      <c r="AF7" s="97">
        <f>IFERROR(VLOOKUP(E:E,'（居民）工资表-3月'!E:AF,28,0)+VLOOKUP(E:E,'（居民）工资表-3月'!E:AG,29,0),0)</f>
        <v>251.84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42000</v>
      </c>
      <c r="T8" s="93">
        <f>5000+IFERROR(VLOOKUP($E:$E,'（居民）工资表-3月'!$E:$T,16,0),0)</f>
        <v>20000</v>
      </c>
      <c r="U8" s="93">
        <f>Q8+IFERROR(VLOOKUP($E:$E,'（居民）工资表-3月'!$E:$U,17,0),0)</f>
        <v>3109.84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18890.16</v>
      </c>
      <c r="AE8" s="99">
        <f>ROUND(MAX((AD8)*{0.03;0.1;0.2;0.25;0.3;0.35;0.45}-{0;2520;16920;31920;52920;85920;181920},0),2)</f>
        <v>566.7</v>
      </c>
      <c r="AF8" s="100">
        <f>IFERROR(VLOOKUP(E:E,'（居民）工资表-3月'!E:AF,28,0)+VLOOKUP(E:E,'（居民）工资表-3月'!E:AG,29,0),0)</f>
        <v>424.86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26000</v>
      </c>
      <c r="T9" s="91">
        <f>5000+IFERROR(VLOOKUP($E:$E,'（居民）工资表-3月'!$E:$T,16,0),0)</f>
        <v>20000</v>
      </c>
      <c r="U9" s="91">
        <f>Q9+IFERROR(VLOOKUP($E:$E,'（居民）工资表-3月'!$E:$U,17,0),0)</f>
        <v>2157.16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3842.84</v>
      </c>
      <c r="AE9" s="96">
        <f>ROUND(MAX((AD9)*{0.03;0.1;0.2;0.25;0.3;0.35;0.45}-{0;2520;16920;31920;52920;85920;181920},0),2)</f>
        <v>115.29</v>
      </c>
      <c r="AF9" s="97">
        <f>IFERROR(VLOOKUP(E:E,'（居民）工资表-3月'!E:AF,28,0)+VLOOKUP(E:E,'（居民）工资表-3月'!E:AG,29,0),0)</f>
        <v>86.09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18025.49</v>
      </c>
      <c r="T10" s="91">
        <f>5000+IFERROR(VLOOKUP($E:$E,'（居民）工资表-3月'!$E:$T,16,0),0)</f>
        <v>20000</v>
      </c>
      <c r="U10" s="91">
        <f>Q10+IFERROR(VLOOKUP($E:$E,'（居民）工资表-3月'!$E:$U,17,0),0)</f>
        <v>2553.95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-4528.46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34500</v>
      </c>
      <c r="T11" s="91">
        <f>5000+IFERROR(VLOOKUP($E:$E,'（居民）工资表-3月'!$E:$T,16,0),0)</f>
        <v>20000</v>
      </c>
      <c r="U11" s="91">
        <f>Q11+IFERROR(VLOOKUP($E:$E,'（居民）工资表-3月'!$E:$U,17,0),0)</f>
        <v>2257.84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12242.16</v>
      </c>
      <c r="AE11" s="96">
        <f>ROUND(MAX((AD11)*{0.03;0.1;0.2;0.25;0.3;0.35;0.45}-{0;2520;16920;31920;52920;85920;181920},0),2)</f>
        <v>367.26</v>
      </c>
      <c r="AF11" s="97">
        <f>IFERROR(VLOOKUP(E:E,'（居民）工资表-3月'!E:AF,28,0)+VLOOKUP(E:E,'（居民）工资表-3月'!E:AG,29,0),0)</f>
        <v>279.03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28500</v>
      </c>
      <c r="T12" s="91">
        <f>5000+IFERROR(VLOOKUP($E:$E,'（居民）工资表-3月'!$E:$T,16,0),0)</f>
        <v>20000</v>
      </c>
      <c r="U12" s="91">
        <f>Q12+IFERROR(VLOOKUP($E:$E,'（居民）工资表-3月'!$E:$U,17,0),0)</f>
        <v>3109.84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5390.16</v>
      </c>
      <c r="AE12" s="96">
        <f>ROUND(MAX((AD12)*{0.03;0.1;0.2;0.25;0.3;0.35;0.45}-{0;2520;16920;31920;52920;85920;181920},0),2)</f>
        <v>161.7</v>
      </c>
      <c r="AF12" s="97">
        <f>IFERROR(VLOOKUP(E:E,'（居民）工资表-3月'!E:AF,28,0)+VLOOKUP(E:E,'（居民）工资表-3月'!E:AG,29,0),0)</f>
        <v>124.86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29608.7</v>
      </c>
      <c r="T13" s="91">
        <f>5000+IFERROR(VLOOKUP($E:$E,'（居民）工资表-3月'!$E:$T,16,0),0)</f>
        <v>20000</v>
      </c>
      <c r="U13" s="91">
        <f>Q13+IFERROR(VLOOKUP($E:$E,'（居民）工资表-3月'!$E:$U,17,0),0)</f>
        <v>3109.84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6498.86</v>
      </c>
      <c r="AE13" s="96">
        <f>ROUND(MAX((AD13)*{0.03;0.1;0.2;0.25;0.3;0.35;0.45}-{0;2520;16920;31920;52920;85920;181920},0),2)</f>
        <v>194.97</v>
      </c>
      <c r="AF13" s="97">
        <f>IFERROR(VLOOKUP(E:E,'（居民）工资表-3月'!E:AF,28,0)+VLOOKUP(E:E,'（居民）工资表-3月'!E:AG,29,0),0)</f>
        <v>158.13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21000</v>
      </c>
      <c r="T14" s="91">
        <f>5000+IFERROR(VLOOKUP($E:$E,'（居民）工资表-3月'!$E:$T,16,0),0)</f>
        <v>15000</v>
      </c>
      <c r="U14" s="91">
        <f>Q14+IFERROR(VLOOKUP($E:$E,'（居民）工资表-3月'!$E:$U,17,0),0)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IFERROR(VLOOKUP(E:E,'（居民）工资表-3月'!E:AF,28,0)+VLOOKUP(E:E,'（居民）工资表-3月'!E:AG,29,0),0)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18941.74</v>
      </c>
      <c r="T15" s="91">
        <f>5000+IFERROR(VLOOKUP($E:$E,'（居民）工资表-3月'!$E:$T,16,0),0)</f>
        <v>15000</v>
      </c>
      <c r="U15" s="91">
        <f>Q15+IFERROR(VLOOKUP($E:$E,'（居民）工资表-3月'!$E:$U,17,0),0)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2358.61</v>
      </c>
      <c r="AE15" s="96">
        <f>ROUND(MAX((AD15)*{0.03;0.1;0.2;0.25;0.3;0.35;0.45}-{0;2520;16920;31920;52920;85920;181920},0),2)</f>
        <v>70.76</v>
      </c>
      <c r="AF15" s="97">
        <f>IFERROR(VLOOKUP(E:E,'（居民）工资表-3月'!E:AF,28,0)+VLOOKUP(E:E,'（居民）工资表-3月'!E:AG,29,0),0)</f>
        <v>47.59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24000</v>
      </c>
      <c r="T16" s="91">
        <f>5000+IFERROR(VLOOKUP($E:$E,'（居民）工资表-3月'!$E:$T,16,0),0)</f>
        <v>20000</v>
      </c>
      <c r="U16" s="91">
        <f>Q16+IFERROR(VLOOKUP($E:$E,'（居民）工资表-3月'!$E:$U,17,0),0)</f>
        <v>2121.84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1878.16</v>
      </c>
      <c r="AE16" s="96">
        <f>ROUND(MAX((AD16)*{0.03;0.1;0.2;0.25;0.3;0.35;0.45}-{0;2520;16920;31920;52920;85920;181920},0),2)</f>
        <v>56.34</v>
      </c>
      <c r="AF16" s="97">
        <f>IFERROR(VLOOKUP(E:E,'（居民）工资表-3月'!E:AF,28,0)+VLOOKUP(E:E,'（居民）工资表-3月'!E:AG,29,0),0)</f>
        <v>42.09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37556.93</v>
      </c>
      <c r="T17" s="91">
        <f>5000+IFERROR(VLOOKUP($E:$E,'（居民）工资表-3月'!$E:$T,16,0),0)</f>
        <v>20000</v>
      </c>
      <c r="U17" s="91">
        <f>Q17+IFERROR(VLOOKUP($E:$E,'（居民）工资表-3月'!$E:$U,17,0),0)</f>
        <v>3188.55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14368.38</v>
      </c>
      <c r="AE17" s="96">
        <f>ROUND(MAX((AD17)*{0.03;0.1;0.2;0.25;0.3;0.35;0.45}-{0;2520;16920;31920;52920;85920;181920},0),2)</f>
        <v>431.05</v>
      </c>
      <c r="AF17" s="97">
        <f>IFERROR(VLOOKUP(E:E,'（居民）工资表-3月'!E:AF,28,0)+VLOOKUP(E:E,'（居民）工资表-3月'!E:AG,29,0),0)</f>
        <v>296.88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490599.53</v>
      </c>
      <c r="T20" s="74">
        <f t="shared" si="10"/>
        <v>275000</v>
      </c>
      <c r="U20" s="74">
        <f t="shared" si="10"/>
        <v>36958.76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178640.77</v>
      </c>
      <c r="AE20" s="74">
        <f t="shared" si="10"/>
        <v>9847.6</v>
      </c>
      <c r="AF20" s="74">
        <f t="shared" si="10"/>
        <v>6596.37</v>
      </c>
      <c r="AG20" s="74">
        <f t="shared" si="10"/>
        <v>3251.23</v>
      </c>
      <c r="AH20" s="74">
        <f t="shared" si="10"/>
        <v>113857.86</v>
      </c>
      <c r="AI20" s="74">
        <f t="shared" si="10"/>
        <v>0</v>
      </c>
      <c r="AJ20" s="74">
        <f t="shared" si="10"/>
        <v>113857.86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113857.86</v>
      </c>
      <c r="C25" s="48">
        <f>AG20</f>
        <v>3251.23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218</v>
      </c>
      <c r="C1" s="1"/>
      <c r="D1" s="1"/>
      <c r="E1" s="1"/>
    </row>
    <row r="2" ht="21" spans="2:2">
      <c r="B2" s="2"/>
    </row>
    <row r="3" ht="27.75" customHeight="1" spans="2:5">
      <c r="B3" s="3" t="s">
        <v>219</v>
      </c>
      <c r="C3" s="4" t="s">
        <v>220</v>
      </c>
      <c r="D3" s="4" t="s">
        <v>221</v>
      </c>
      <c r="E3" s="4" t="s">
        <v>222</v>
      </c>
    </row>
    <row r="4" ht="29.25" customHeight="1" spans="2:5">
      <c r="B4" s="5">
        <v>1</v>
      </c>
      <c r="C4" s="6" t="s">
        <v>223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224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225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226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227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228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229</v>
      </c>
      <c r="D10" s="7">
        <v>0.45</v>
      </c>
      <c r="E10" s="8">
        <v>181920</v>
      </c>
    </row>
    <row r="13" ht="57" customHeight="1" spans="2:5">
      <c r="B13" s="1" t="s">
        <v>230</v>
      </c>
      <c r="C13" s="1"/>
      <c r="D13" s="1"/>
      <c r="E13" s="1"/>
    </row>
    <row r="14" ht="21" spans="2:2">
      <c r="B14" s="2"/>
    </row>
    <row r="15" ht="27.75" customHeight="1" spans="2:5">
      <c r="B15" s="3" t="s">
        <v>219</v>
      </c>
      <c r="C15" s="4" t="s">
        <v>231</v>
      </c>
      <c r="D15" s="4" t="s">
        <v>221</v>
      </c>
      <c r="E15" s="4" t="s">
        <v>222</v>
      </c>
    </row>
    <row r="16" ht="29.25" customHeight="1" spans="2:5">
      <c r="B16" s="5">
        <v>1</v>
      </c>
      <c r="C16" s="6" t="s">
        <v>232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233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234</v>
      </c>
      <c r="D18" s="7">
        <v>0.4</v>
      </c>
      <c r="E18" s="8">
        <v>7000</v>
      </c>
    </row>
    <row r="21" ht="47.25" customHeight="1" spans="2:5">
      <c r="B21" s="1" t="s">
        <v>235</v>
      </c>
      <c r="C21" s="1"/>
      <c r="D21" s="1"/>
      <c r="E21" s="1"/>
    </row>
    <row r="22" ht="21" spans="2:2">
      <c r="B22" s="2"/>
    </row>
    <row r="23" ht="27.75" customHeight="1" spans="2:5">
      <c r="B23" s="3" t="s">
        <v>219</v>
      </c>
      <c r="C23" s="4" t="s">
        <v>236</v>
      </c>
      <c r="D23" s="4" t="s">
        <v>221</v>
      </c>
      <c r="E23" s="4" t="s">
        <v>222</v>
      </c>
    </row>
    <row r="24" ht="29.25" customHeight="1" spans="2:5">
      <c r="B24" s="5">
        <v>1</v>
      </c>
      <c r="C24" s="6" t="s">
        <v>237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238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239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240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241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242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243</v>
      </c>
      <c r="D30" s="7">
        <v>0.45</v>
      </c>
      <c r="E30" s="8">
        <v>15160</v>
      </c>
    </row>
    <row r="35" ht="57" customHeight="1" spans="2:5">
      <c r="B35" s="9" t="s">
        <v>244</v>
      </c>
      <c r="C35" s="9"/>
      <c r="D35" s="9"/>
      <c r="E35" s="9"/>
    </row>
    <row r="36" ht="14.25"/>
    <row r="37" ht="21.75" customHeight="1" spans="2:5">
      <c r="B37" s="3" t="s">
        <v>219</v>
      </c>
      <c r="C37" s="4" t="s">
        <v>245</v>
      </c>
      <c r="D37" s="4" t="s">
        <v>246</v>
      </c>
      <c r="E37" s="4" t="s">
        <v>222</v>
      </c>
    </row>
    <row r="38" ht="21.75" customHeight="1" spans="2:5">
      <c r="B38" s="5">
        <v>1</v>
      </c>
      <c r="C38" s="6" t="s">
        <v>237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238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239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240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241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242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243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workbookViewId="0">
      <selection activeCell="H22" sqref="H22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113708.11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113708.11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113708.11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'（居民）工资表-1月'!E24</f>
        <v>113708.11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113708.11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113708.11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113708.11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56000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4153.23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46.77</v>
      </c>
      <c r="AE4" s="96">
        <f>ROUND(MAX((AD4)*{0.03;0.1;0.2;0.25;0.3;0.35;0.45}-{0;2520;16920;31920;52920;85920;181920},0),2)</f>
        <v>1.4</v>
      </c>
      <c r="AF4" s="97">
        <f>IFERROR(VLOOKUP(E:E,'（居民）工资表-6月'!E:AF,28,0)+VLOOKUP(E:E,'（居民）工资表-6月'!E:AG,29,0),0)</f>
        <v>433.06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41100</v>
      </c>
      <c r="T5" s="91">
        <f>5000+IFERROR(VLOOKUP($E:$E,'（居民）工资表-6月'!$E:$T,16,0),0)</f>
        <v>35000</v>
      </c>
      <c r="U5" s="91">
        <f>Q5+IFERROR(VLOOKUP($E:$E,'（居民）工资表-6月'!$E:$U,17,0),0)</f>
        <v>4642.12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-5542.12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30.6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210420</v>
      </c>
      <c r="T6" s="91">
        <f>5000+IFERROR(VLOOKUP($E:$E,'（居民）工资表-6月'!$E:$T,16,0),0)</f>
        <v>35000</v>
      </c>
      <c r="U6" s="91">
        <f>Q6+IFERROR(VLOOKUP($E:$E,'（居民）工资表-6月'!$E:$U,17,0),0)</f>
        <v>6654.62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158265.38</v>
      </c>
      <c r="AE6" s="96">
        <f>ROUND(MAX((AD6)*{0.03;0.1;0.2;0.25;0.3;0.35;0.45}-{0;2520;16920;31920;52920;85920;181920},0),2)</f>
        <v>14733.08</v>
      </c>
      <c r="AF6" s="97">
        <f>IFERROR(VLOOKUP(E:E,'（居民）工资表-6月'!E:AF,28,0)+VLOOKUP(E:E,'（居民）工资表-6月'!E:AG,29,0),0)</f>
        <v>12010.79</v>
      </c>
      <c r="AG6" s="97">
        <f>IF((AE6-AF6)&lt;0,0,AE6-AF6)</f>
        <v>2722.29</v>
      </c>
      <c r="AH6" s="107">
        <f>ROUND(IF((L6-Q6-AG6)&lt;0,0,(L6-Q6-AG6)),2)</f>
        <v>26389.16</v>
      </c>
      <c r="AI6" s="108"/>
      <c r="AJ6" s="107">
        <f>AH6+AI6</f>
        <v>26389.16</v>
      </c>
      <c r="AK6" s="109"/>
      <c r="AL6" s="107">
        <f>AJ6+AG6+AK6</f>
        <v>29111.45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62000</v>
      </c>
      <c r="T7" s="91">
        <f>5000+IFERROR(VLOOKUP($E:$E,'（居民）工资表-6月'!$E:$T,16,0),0)</f>
        <v>35000</v>
      </c>
      <c r="U7" s="91">
        <f>Q7+IFERROR(VLOOKUP($E:$E,'（居民）工资表-6月'!$E:$U,17,0),0)</f>
        <v>3716.26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18283.74</v>
      </c>
      <c r="AE7" s="96">
        <f>ROUND(MAX((AD7)*{0.03;0.1;0.2;0.25;0.3;0.35;0.45}-{0;2520;16920;31920;52920;85920;181920},0),2)</f>
        <v>548.51</v>
      </c>
      <c r="AF7" s="97">
        <f>IFERROR(VLOOKUP(E:E,'（居民）工资表-6月'!E:AF,28,0)+VLOOKUP(E:E,'（居民）工资表-6月'!E:AG,29,0),0)</f>
        <v>534.34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75500</v>
      </c>
      <c r="T8" s="91">
        <f>5000+IFERROR(VLOOKUP($E:$E,'（居民）工资表-6月'!$E:$T,16,0),0)</f>
        <v>35000</v>
      </c>
      <c r="U8" s="91">
        <f>Q8+IFERROR(VLOOKUP($E:$E,'（居民）工资表-6月'!$E:$U,17,0),0)</f>
        <v>5425.84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35074.16</v>
      </c>
      <c r="AE8" s="96">
        <f>ROUND(MAX((AD8)*{0.03;0.1;0.2;0.25;0.3;0.35;0.45}-{0;2520;16920;31920;52920;85920;181920},0),2)</f>
        <v>1052.22</v>
      </c>
      <c r="AF8" s="97">
        <f>IFERROR(VLOOKUP(E:E,'（居民）工资表-6月'!E:AF,28,0)+VLOOKUP(E:E,'（居民）工资表-6月'!E:AG,29,0),0)</f>
        <v>850.38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45500</v>
      </c>
      <c r="T9" s="91">
        <f>5000+IFERROR(VLOOKUP($E:$E,'（居民）工资表-6月'!$E:$T,16,0),0)</f>
        <v>35000</v>
      </c>
      <c r="U9" s="91">
        <f>Q9+IFERROR(VLOOKUP($E:$E,'（居民）工资表-6月'!$E:$U,17,0),0)</f>
        <v>3737.56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6762.44</v>
      </c>
      <c r="AE9" s="96">
        <f>ROUND(MAX((AD9)*{0.03;0.1;0.2;0.25;0.3;0.35;0.45}-{0;2520;16920;31920;52920;85920;181920},0),2)</f>
        <v>202.87</v>
      </c>
      <c r="AF9" s="97">
        <f>IFERROR(VLOOKUP(E:E,'（居民）工资表-6月'!E:AF,28,0)+VLOOKUP(E:E,'（居民）工资表-6月'!E:AG,29,0),0)</f>
        <v>173.68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31603.01</v>
      </c>
      <c r="T10" s="91">
        <f>5000+IFERROR(VLOOKUP($E:$E,'（居民）工资表-6月'!$E:$T,16,0),0)</f>
        <v>35000</v>
      </c>
      <c r="U10" s="91">
        <f>Q10+IFERROR(VLOOKUP($E:$E,'（居民）工资表-6月'!$E:$U,17,0),0)</f>
        <v>4443.53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-7840.52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61000</v>
      </c>
      <c r="T11" s="91">
        <f>5000+IFERROR(VLOOKUP($E:$E,'（居民）工资表-6月'!$E:$T,16,0),0)</f>
        <v>35000</v>
      </c>
      <c r="U11" s="91">
        <f>Q11+IFERROR(VLOOKUP($E:$E,'（居民）工资表-6月'!$E:$U,17,0),0)</f>
        <v>3934.84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22065.16</v>
      </c>
      <c r="AE11" s="96">
        <f>ROUND(MAX((AD11)*{0.03;0.1;0.2;0.25;0.3;0.35;0.45}-{0;2520;16920;31920;52920;85920;181920},0),2)</f>
        <v>661.95</v>
      </c>
      <c r="AF11" s="97">
        <f>IFERROR(VLOOKUP(E:E,'（居民）工资表-6月'!E:AF,28,0)+VLOOKUP(E:E,'（居民）工资表-6月'!E:AG,29,0),0)</f>
        <v>543.72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170</v>
      </c>
      <c r="AN11" s="12" t="s">
        <v>171</v>
      </c>
    </row>
    <row r="12" s="12" customFormat="1" ht="18" customHeight="1" spans="1:40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50500</v>
      </c>
      <c r="T12" s="91">
        <f>5000+IFERROR(VLOOKUP($E:$E,'（居民）工资表-6月'!$E:$T,16,0),0)</f>
        <v>35000</v>
      </c>
      <c r="U12" s="91">
        <f>Q12+IFERROR(VLOOKUP($E:$E,'（居民）工资表-6月'!$E:$U,17,0),0)</f>
        <v>5425.84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10074.16</v>
      </c>
      <c r="AE12" s="96">
        <f>ROUND(MAX((AD12)*{0.03;0.1;0.2;0.25;0.3;0.35;0.45}-{0;2520;16920;31920;52920;85920;181920},0),2)</f>
        <v>302.22</v>
      </c>
      <c r="AF12" s="97">
        <f>IFERROR(VLOOKUP(E:E,'（居民）工资表-6月'!E:AF,28,0)+VLOOKUP(E:E,'（居民）工资表-6月'!E:AG,29,0),0)</f>
        <v>235.38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52608.7</v>
      </c>
      <c r="T13" s="91">
        <f>5000+IFERROR(VLOOKUP($E:$E,'（居民）工资表-6月'!$E:$T,16,0),0)</f>
        <v>35000</v>
      </c>
      <c r="U13" s="91">
        <f>Q13+IFERROR(VLOOKUP($E:$E,'（居民）工资表-6月'!$E:$U,17,0),0)</f>
        <v>5425.84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12182.86</v>
      </c>
      <c r="AE13" s="96">
        <f>ROUND(MAX((AD13)*{0.03;0.1;0.2;0.25;0.3;0.35;0.45}-{0;2520;16920;31920;52920;85920;181920},0),2)</f>
        <v>365.49</v>
      </c>
      <c r="AF13" s="97">
        <f>IFERROR(VLOOKUP(E:E,'（居民）工资表-6月'!E:AF,28,0)+VLOOKUP(E:E,'（居民）工资表-6月'!E:AG,29,0),0)</f>
        <v>268.65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42600</v>
      </c>
      <c r="T14" s="91">
        <f>5000+IFERROR(VLOOKUP($E:$E,'（居民）工资表-6月'!$E:$T,16,0),0)</f>
        <v>30000</v>
      </c>
      <c r="U14" s="91">
        <f>Q14+IFERROR(VLOOKUP($E:$E,'（居民）工资表-6月'!$E:$U,17,0),0)</f>
        <v>3354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9246</v>
      </c>
      <c r="AE14" s="96">
        <f>ROUND(MAX((AD14)*{0.03;0.1;0.2;0.25;0.3;0.35;0.45}-{0;2520;16920;31920;52920;85920;181920},0),2)</f>
        <v>277.38</v>
      </c>
      <c r="AF14" s="97">
        <f>IFERROR(VLOOKUP(E:E,'（居民）工资表-6月'!E:AF,28,0)+VLOOKUP(E:E,'（居民）工资表-6月'!E:AG,29,0),0)</f>
        <v>216.15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37687.38</v>
      </c>
      <c r="T15" s="91">
        <f>5000+IFERROR(VLOOKUP($E:$E,'（居民）工资表-6月'!$E:$T,16,0),0)</f>
        <v>30000</v>
      </c>
      <c r="U15" s="91">
        <f>Q15+IFERROR(VLOOKUP($E:$E,'（居民）工资表-6月'!$E:$U,17,0),0)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4521.12</v>
      </c>
      <c r="AE15" s="96">
        <f>ROUND(MAX((AD15)*{0.03;0.1;0.2;0.25;0.3;0.35;0.45}-{0;2520;16920;31920;52920;85920;181920},0),2)</f>
        <v>135.63</v>
      </c>
      <c r="AF15" s="97">
        <f>IFERROR(VLOOKUP(E:E,'（居民）工资表-6月'!E:AF,28,0)+VLOOKUP(E:E,'（居民）工资表-6月'!E:AG,29,0),0)</f>
        <v>102.7</v>
      </c>
      <c r="AG15" s="97">
        <f t="shared" si="3"/>
        <v>32.93</v>
      </c>
      <c r="AH15" s="107">
        <f t="shared" si="4"/>
        <v>6065</v>
      </c>
      <c r="AI15" s="108"/>
      <c r="AJ15" s="107">
        <f t="shared" si="5"/>
        <v>6065</v>
      </c>
      <c r="AK15" s="109"/>
      <c r="AL15" s="107">
        <f t="shared" si="6"/>
        <v>6097.93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42000</v>
      </c>
      <c r="T16" s="91">
        <f>5000+IFERROR(VLOOKUP($E:$E,'（居民）工资表-6月'!$E:$T,16,0),0)</f>
        <v>35000</v>
      </c>
      <c r="U16" s="91">
        <f>Q16+IFERROR(VLOOKUP($E:$E,'（居民）工资表-6月'!$E:$U,17,0),0)</f>
        <v>3696.84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3303.16</v>
      </c>
      <c r="AE16" s="96">
        <f>ROUND(MAX((AD16)*{0.03;0.1;0.2;0.25;0.3;0.35;0.45}-{0;2520;16920;31920;52920;85920;181920},0),2)</f>
        <v>99.09</v>
      </c>
      <c r="AF16" s="97">
        <f>IFERROR(VLOOKUP(E:E,'（居民）工资表-6月'!E:AF,28,0)+VLOOKUP(E:E,'（居民）工资表-6月'!E:AG,29,0),0)</f>
        <v>84.84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67556.93</v>
      </c>
      <c r="T17" s="91">
        <f>5000+IFERROR(VLOOKUP($E:$E,'（居民）工资表-6月'!$E:$T,16,0),0)</f>
        <v>35000</v>
      </c>
      <c r="U17" s="91">
        <f>Q17+IFERROR(VLOOKUP($E:$E,'（居民）工资表-6月'!$E:$U,17,0),0)</f>
        <v>4771.68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27785.25</v>
      </c>
      <c r="AE17" s="96">
        <f>ROUND(MAX((AD17)*{0.03;0.1;0.2;0.25;0.3;0.35;0.45}-{0;2520;16920;31920;52920;85920;181920},0),2)</f>
        <v>833.56</v>
      </c>
      <c r="AF17" s="97">
        <f>IFERROR(VLOOKUP(E:E,'（居民）工资表-6月'!E:AF,28,0)+VLOOKUP(E:E,'（居民）工资表-6月'!E:AG,29,0),0)</f>
        <v>699.39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162</v>
      </c>
      <c r="AN17" s="12" t="s">
        <v>51</v>
      </c>
    </row>
    <row r="18" s="12" customFormat="1" ht="21" customHeight="1" spans="1:40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20750.3</v>
      </c>
      <c r="T18" s="91">
        <f>5000+IFERROR(VLOOKUP($E:$E,'（居民）工资表-6月'!$E:$T,16,0),0)</f>
        <v>20000</v>
      </c>
      <c r="U18" s="91">
        <f>Q18+IFERROR(VLOOKUP($E:$E,'（居民）工资表-6月'!$E:$U,17,0),0)</f>
        <v>2762.85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-2012.55</v>
      </c>
      <c r="AE18" s="96">
        <f>ROUND(MAX((AD18)*{0.03;0.1;0.2;0.25;0.3;0.35;0.45}-{0;2520;16920;31920;52920;85920;181920},0),2)</f>
        <v>0</v>
      </c>
      <c r="AF18" s="97">
        <f>IFERROR(VLOOKUP(E:E,'（居民）工资表-6月'!E:AF,28,0)+VLOOKUP(E:E,'（居民）工资表-6月'!E:AG,29,0),0)</f>
        <v>0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157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896826.32</v>
      </c>
      <c r="T20" s="74">
        <f t="shared" si="7"/>
        <v>500000</v>
      </c>
      <c r="U20" s="74">
        <f t="shared" si="7"/>
        <v>65311.31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292215.01</v>
      </c>
      <c r="AE20" s="74">
        <f t="shared" si="7"/>
        <v>19213.4</v>
      </c>
      <c r="AF20" s="74">
        <f t="shared" si="7"/>
        <v>16183.68</v>
      </c>
      <c r="AG20" s="74">
        <f t="shared" si="7"/>
        <v>3491.98</v>
      </c>
      <c r="AH20" s="74">
        <f t="shared" si="7"/>
        <v>129032.28</v>
      </c>
      <c r="AI20" s="74">
        <f t="shared" si="7"/>
        <v>0</v>
      </c>
      <c r="AJ20" s="74">
        <f t="shared" si="7"/>
        <v>129032.28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129032.28</v>
      </c>
      <c r="C25" s="48">
        <f>AG20</f>
        <v>3491.98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L20" etc:filterBottomFollowUsedRange="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40000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2975.83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12024.17</v>
      </c>
      <c r="AE4" s="96">
        <f>ROUND(MAX((AD4)*{0.03;0.1;0.2;0.25;0.3;0.35;0.45}-{0;2520;16920;31920;52920;85920;181920},0),2)</f>
        <v>360.73</v>
      </c>
      <c r="AF4" s="97">
        <f>IFERROR(VLOOKUP(E:E,'（居民）工资表-4月'!E:AF,28,0)+VLOOKUP(E:E,'（居民）工资表-4月'!E:AG,29,0),0)</f>
        <v>288.39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28900</v>
      </c>
      <c r="T5" s="91">
        <f>5000+IFERROR(VLOOKUP($E:$E,'（居民）工资表-4月'!$E:$T,16,0),0)</f>
        <v>25000</v>
      </c>
      <c r="U5" s="91">
        <f>Q5+IFERROR(VLOOKUP($E:$E,'（居民）工资表-4月'!$E:$U,17,0),0)</f>
        <v>3317.64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582.36</v>
      </c>
      <c r="AE5" s="96">
        <f>ROUND(MAX((AD5)*{0.03;0.1;0.2;0.25;0.3;0.35;0.45}-{0;2520;16920;31920;52920;85920;181920},0),2)</f>
        <v>17.47</v>
      </c>
      <c r="AF5" s="97">
        <f>IFERROR(VLOOKUP(E:E,'（居民）工资表-4月'!E:AF,28,0)+VLOOKUP(E:E,'（居民）工资表-4月'!E:AG,29,0),0)</f>
        <v>16.34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150300</v>
      </c>
      <c r="T6" s="91">
        <f>5000+IFERROR(VLOOKUP($E:$E,'（居民）工资表-4月'!$E:$T,16,0),0)</f>
        <v>25000</v>
      </c>
      <c r="U6" s="91">
        <f>Q6+IFERROR(VLOOKUP($E:$E,'（居民）工资表-4月'!$E:$U,17,0),0)</f>
        <v>4757.52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120542.48</v>
      </c>
      <c r="AE6" s="96">
        <f>ROUND(MAX((AD6)*{0.03;0.1;0.2;0.25;0.3;0.35;0.45}-{0;2520;16920;31920;52920;85920;181920},0),2)</f>
        <v>9534.25</v>
      </c>
      <c r="AF6" s="97">
        <f>IFERROR(VLOOKUP(E:E,'（居民）工资表-4月'!E:AF,28,0)+VLOOKUP(E:E,'（居民）工资表-4月'!E:AG,29,0),0)</f>
        <v>7123.1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42000</v>
      </c>
      <c r="T7" s="91">
        <f>5000+IFERROR(VLOOKUP($E:$E,'（居民）工资表-4月'!$E:$T,16,0),0)</f>
        <v>25000</v>
      </c>
      <c r="U7" s="91">
        <f>Q7+IFERROR(VLOOKUP($E:$E,'（居民）工资表-4月'!$E:$U,17,0),0)</f>
        <v>2660.84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14339.16</v>
      </c>
      <c r="AE7" s="96">
        <f>ROUND(MAX((AD7)*{0.03;0.1;0.2;0.25;0.3;0.35;0.45}-{0;2520;16920;31920;52920;85920;181920},0),2)</f>
        <v>430.17</v>
      </c>
      <c r="AF7" s="97">
        <f>IFERROR(VLOOKUP(E:E,'（居民）工资表-4月'!E:AF,28,0)+VLOOKUP(E:E,'（居民）工资表-4月'!E:AG,29,0),0)</f>
        <v>326.01</v>
      </c>
      <c r="AG7" s="97">
        <f t="shared" ref="AG7:AG19" si="8">IF((AE7-AF7)&lt;0,0,AE7-AF7)</f>
        <v>104.16</v>
      </c>
      <c r="AH7" s="107">
        <f t="shared" ref="AH7:AH19" si="9">ROUND(IF((L7-Q7-AG7)&lt;0,0,(L7-Q7-AG7)),2)</f>
        <v>8368.13</v>
      </c>
      <c r="AI7" s="108"/>
      <c r="AJ7" s="107">
        <f t="shared" si="5"/>
        <v>8368.13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52500</v>
      </c>
      <c r="T8" s="91">
        <f>5000+IFERROR(VLOOKUP($E:$E,'（居民）工资表-4月'!$E:$T,16,0),0)</f>
        <v>25000</v>
      </c>
      <c r="U8" s="91">
        <f>Q8+IFERROR(VLOOKUP($E:$E,'（居民）工资表-4月'!$E:$U,17,0),0)</f>
        <v>3881.84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23618.16</v>
      </c>
      <c r="AE8" s="96">
        <f>ROUND(MAX((AD8)*{0.03;0.1;0.2;0.25;0.3;0.35;0.45}-{0;2520;16920;31920;52920;85920;181920},0),2)</f>
        <v>708.54</v>
      </c>
      <c r="AF8" s="97">
        <f>IFERROR(VLOOKUP(E:E,'（居民）工资表-4月'!E:AF,28,0)+VLOOKUP(E:E,'（居民）工资表-4月'!E:AG,29,0),0)</f>
        <v>566.7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32500</v>
      </c>
      <c r="T9" s="91">
        <f>5000+IFERROR(VLOOKUP($E:$E,'（居民）工资表-4月'!$E:$T,16,0),0)</f>
        <v>25000</v>
      </c>
      <c r="U9" s="91">
        <f>Q9+IFERROR(VLOOKUP($E:$E,'（居民）工资表-4月'!$E:$U,17,0),0)</f>
        <v>2683.96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4816.04</v>
      </c>
      <c r="AE9" s="96">
        <f>ROUND(MAX((AD9)*{0.03;0.1;0.2;0.25;0.3;0.35;0.45}-{0;2520;16920;31920;52920;85920;181920},0),2)</f>
        <v>144.48</v>
      </c>
      <c r="AF9" s="97">
        <f>IFERROR(VLOOKUP(E:E,'（居民）工资表-4月'!E:AF,28,0)+VLOOKUP(E:E,'（居民）工资表-4月'!E:AG,29,0),0)</f>
        <v>115.29</v>
      </c>
      <c r="AG9" s="97">
        <f t="shared" si="8"/>
        <v>29.19</v>
      </c>
      <c r="AH9" s="107">
        <f t="shared" si="9"/>
        <v>5944.01</v>
      </c>
      <c r="AI9" s="108"/>
      <c r="AJ9" s="107">
        <f t="shared" si="13"/>
        <v>5944.01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22551.33</v>
      </c>
      <c r="T10" s="91">
        <f>5000+IFERROR(VLOOKUP($E:$E,'（居民）工资表-4月'!$E:$T,16,0),0)</f>
        <v>25000</v>
      </c>
      <c r="U10" s="91">
        <f>Q10+IFERROR(VLOOKUP($E:$E,'（居民）工资表-4月'!$E:$U,17,0),0)</f>
        <v>3183.81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-5632.48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43000</v>
      </c>
      <c r="T11" s="91">
        <f>5000+IFERROR(VLOOKUP($E:$E,'（居民）工资表-4月'!$E:$T,16,0),0)</f>
        <v>25000</v>
      </c>
      <c r="U11" s="91">
        <f>Q11+IFERROR(VLOOKUP($E:$E,'（居民）工资表-4月'!$E:$U,17,0),0)</f>
        <v>2816.84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15183.16</v>
      </c>
      <c r="AE11" s="96">
        <f>ROUND(MAX((AD11)*{0.03;0.1;0.2;0.25;0.3;0.35;0.45}-{0;2520;16920;31920;52920;85920;181920},0),2)</f>
        <v>455.49</v>
      </c>
      <c r="AF11" s="97">
        <f>IFERROR(VLOOKUP(E:E,'（居民）工资表-4月'!E:AF,28,0)+VLOOKUP(E:E,'（居民）工资表-4月'!E:AG,29,0),0)</f>
        <v>367.26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170</v>
      </c>
      <c r="AV11" s="12" t="s">
        <v>171</v>
      </c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35500</v>
      </c>
      <c r="T12" s="91">
        <f>5000+IFERROR(VLOOKUP($E:$E,'（居民）工资表-4月'!$E:$T,16,0),0)</f>
        <v>25000</v>
      </c>
      <c r="U12" s="91">
        <f>Q12+IFERROR(VLOOKUP($E:$E,'（居民）工资表-4月'!$E:$U,17,0),0)</f>
        <v>3881.84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6618.16</v>
      </c>
      <c r="AE12" s="96">
        <f>ROUND(MAX((AD12)*{0.03;0.1;0.2;0.25;0.3;0.35;0.45}-{0;2520;16920;31920;52920;85920;181920},0),2)</f>
        <v>198.54</v>
      </c>
      <c r="AF12" s="97">
        <f>IFERROR(VLOOKUP(E:E,'（居民）工资表-4月'!E:AF,28,0)+VLOOKUP(E:E,'（居民）工资表-4月'!E:AG,29,0),0)</f>
        <v>161.7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36608.7</v>
      </c>
      <c r="T13" s="91">
        <f>5000+IFERROR(VLOOKUP($E:$E,'（居民）工资表-4月'!$E:$T,16,0),0)</f>
        <v>25000</v>
      </c>
      <c r="U13" s="91">
        <f>Q13+IFERROR(VLOOKUP($E:$E,'（居民）工资表-4月'!$E:$U,17,0),0)</f>
        <v>3881.84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7726.86</v>
      </c>
      <c r="AE13" s="96">
        <f>ROUND(MAX((AD13)*{0.03;0.1;0.2;0.25;0.3;0.35;0.45}-{0;2520;16920;31920;52920;85920;181920},0),2)</f>
        <v>231.81</v>
      </c>
      <c r="AF13" s="97">
        <f>IFERROR(VLOOKUP(E:E,'（居民）工资表-4月'!E:AF,28,0)+VLOOKUP(E:E,'（居民）工资表-4月'!E:AG,29,0),0)</f>
        <v>194.97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28000</v>
      </c>
      <c r="T14" s="91">
        <f>5000+IFERROR(VLOOKUP($E:$E,'（居民）工资表-4月'!$E:$T,16,0),0)</f>
        <v>20000</v>
      </c>
      <c r="U14" s="91">
        <f>Q14+IFERROR(VLOOKUP($E:$E,'（居民）工资表-4月'!$E:$U,17,0),0)</f>
        <v>2236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IFERROR(VLOOKUP(E:E,'（居民）工资表-4月'!E:AF,28,0)+VLOOKUP(E:E,'（居民）工资表-4月'!E:AG,29,0),0)</f>
        <v>129.69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25001.74</v>
      </c>
      <c r="T15" s="91">
        <f>5000+IFERROR(VLOOKUP($E:$E,'（居民）工资表-4月'!$E:$T,16,0),0)</f>
        <v>20000</v>
      </c>
      <c r="U15" s="91">
        <f>Q15+IFERROR(VLOOKUP($E:$E,'（居民）工资表-4月'!$E:$U,17,0),0)</f>
        <v>2110.84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2890.9</v>
      </c>
      <c r="AE15" s="96">
        <f>ROUND(MAX((AD15)*{0.03;0.1;0.2;0.25;0.3;0.35;0.45}-{0;2520;16920;31920;52920;85920;181920},0),2)</f>
        <v>86.73</v>
      </c>
      <c r="AF15" s="97">
        <f>IFERROR(VLOOKUP(E:E,'（居民）工资表-4月'!E:AF,28,0)+VLOOKUP(E:E,'（居民）工资表-4月'!E:AG,29,0),0)</f>
        <v>70.76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30000</v>
      </c>
      <c r="T16" s="91">
        <f>5000+IFERROR(VLOOKUP($E:$E,'（居民）工资表-4月'!$E:$T,16,0),0)</f>
        <v>25000</v>
      </c>
      <c r="U16" s="91">
        <f>Q16+IFERROR(VLOOKUP($E:$E,'（居民）工资表-4月'!$E:$U,17,0),0)</f>
        <v>2646.84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2353.16</v>
      </c>
      <c r="AE16" s="96">
        <f>ROUND(MAX((AD16)*{0.03;0.1;0.2;0.25;0.3;0.35;0.45}-{0;2520;16920;31920;52920;85920;181920},0),2)</f>
        <v>70.59</v>
      </c>
      <c r="AF16" s="97">
        <f>IFERROR(VLOOKUP(E:E,'（居民）工资表-4月'!E:AF,28,0)+VLOOKUP(E:E,'（居民）工资表-4月'!E:AG,29,0),0)</f>
        <v>56.34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47556.93</v>
      </c>
      <c r="T17" s="91">
        <f>5000+IFERROR(VLOOKUP($E:$E,'（居民）工资表-4月'!$E:$T,16,0),0)</f>
        <v>25000</v>
      </c>
      <c r="U17" s="91">
        <f>Q17+IFERROR(VLOOKUP($E:$E,'（居民）工资表-4月'!$E:$U,17,0),0)</f>
        <v>3716.26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18840.67</v>
      </c>
      <c r="AE17" s="96">
        <f>ROUND(MAX((AD17)*{0.03;0.1;0.2;0.25;0.3;0.35;0.45}-{0;2520;16920;31920;52920;85920;181920},0),2)</f>
        <v>565.22</v>
      </c>
      <c r="AF17" s="97">
        <f>IFERROR(VLOOKUP(E:E,'（居民）工资表-4月'!E:AF,28,0)+VLOOKUP(E:E,'（居民）工资表-4月'!E:AG,29,0),0)</f>
        <v>431.05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622525.37</v>
      </c>
      <c r="T20" s="74">
        <f t="shared" si="19"/>
        <v>350000</v>
      </c>
      <c r="U20" s="74">
        <f t="shared" si="19"/>
        <v>46409.61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226115.76</v>
      </c>
      <c r="AE20" s="74">
        <f t="shared" si="19"/>
        <v>12976.94</v>
      </c>
      <c r="AF20" s="74">
        <f t="shared" si="19"/>
        <v>9847.6</v>
      </c>
      <c r="AG20" s="74">
        <f t="shared" si="19"/>
        <v>3129.34</v>
      </c>
      <c r="AH20" s="74">
        <f t="shared" si="19"/>
        <v>119345.65</v>
      </c>
      <c r="AI20" s="74">
        <f t="shared" si="19"/>
        <v>0</v>
      </c>
      <c r="AJ20" s="74">
        <f t="shared" si="19"/>
        <v>119345.65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119345.65</v>
      </c>
      <c r="C25" s="48">
        <f>AG20</f>
        <v>3129.34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48000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3564.53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14435.47</v>
      </c>
      <c r="AE4" s="96">
        <f>ROUND(MAX((AD4)*{0.03;0.1;0.2;0.25;0.3;0.35;0.45}-{0;2520;16920;31920;52920;85920;181920},0),2)</f>
        <v>433.06</v>
      </c>
      <c r="AF4" s="97">
        <f>IFERROR(VLOOKUP(E:E,'（居民）工资表-5月'!E:AF,28,0)+VLOOKUP(E:E,'（居民）工资表-5月'!E:AG,29,0),0)</f>
        <v>360.73</v>
      </c>
      <c r="AG4" s="97">
        <f>IF((AE4-AF4)&lt;0,0,AE4-AF4)</f>
        <v>72.33</v>
      </c>
      <c r="AH4" s="107">
        <f>ROUND(IF((L4-Q4-AG4)&lt;0,0,(L4-Q4-AG4)),2)</f>
        <v>7338.97</v>
      </c>
      <c r="AI4" s="108"/>
      <c r="AJ4" s="107">
        <f>AH4+AI4</f>
        <v>7338.97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35000</v>
      </c>
      <c r="T5" s="91">
        <f>5000+IFERROR(VLOOKUP($E:$E,'（居民）工资表-5月'!$E:$T,16,0),0)</f>
        <v>30000</v>
      </c>
      <c r="U5" s="91">
        <f>Q5+IFERROR(VLOOKUP($E:$E,'（居民）工资表-5月'!$E:$U,17,0),0)</f>
        <v>3979.88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1020.12</v>
      </c>
      <c r="AE5" s="96">
        <f>ROUND(MAX((AD5)*{0.03;0.1;0.2;0.25;0.3;0.35;0.45}-{0;2520;16920;31920;52920;85920;181920},0),2)</f>
        <v>30.6</v>
      </c>
      <c r="AF5" s="97">
        <f>IFERROR(VLOOKUP(E:E,'（居民）工资表-5月'!E:AF,28,0)+VLOOKUP(E:E,'（居民）工资表-5月'!E:AG,29,0),0)</f>
        <v>17.47</v>
      </c>
      <c r="AG5" s="97">
        <f>IF((AE5-AF5)&lt;0,0,AE5-AF5)</f>
        <v>13.13</v>
      </c>
      <c r="AH5" s="107">
        <f>ROUND(IF((L5-Q5-AG5)&lt;0,0,(L5-Q5-AG5)),2)</f>
        <v>5424.63</v>
      </c>
      <c r="AI5" s="108"/>
      <c r="AJ5" s="107">
        <f>AH5+AI5</f>
        <v>5424.63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180360</v>
      </c>
      <c r="T6" s="91">
        <f>5000+IFERROR(VLOOKUP($E:$E,'（居民）工资表-5月'!$E:$T,16,0),0)</f>
        <v>30000</v>
      </c>
      <c r="U6" s="91">
        <f>Q6+IFERROR(VLOOKUP($E:$E,'（居民）工资表-5月'!$E:$U,17,0),0)</f>
        <v>5706.07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144653.93</v>
      </c>
      <c r="AE6" s="96">
        <f>ROUND(MAX((AD6)*{0.03;0.1;0.2;0.25;0.3;0.35;0.45}-{0;2520;16920;31920;52920;85920;181920},0),2)</f>
        <v>12010.79</v>
      </c>
      <c r="AF6" s="97">
        <f>IFERROR(VLOOKUP(E:E,'（居民）工资表-5月'!E:AF,28,0)+VLOOKUP(E:E,'（居民）工资表-5月'!E:AG,29,0),0)</f>
        <v>9534.25</v>
      </c>
      <c r="AG6" s="97">
        <f>IF((AE6-AF6)&lt;0,0,AE6-AF6)</f>
        <v>2476.54</v>
      </c>
      <c r="AH6" s="107">
        <f>ROUND(IF((L6-Q6-AG6)&lt;0,0,(L6-Q6-AG6)),2)</f>
        <v>26634.91</v>
      </c>
      <c r="AI6" s="108"/>
      <c r="AJ6" s="107">
        <f>AH6+AI6</f>
        <v>26634.91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51000</v>
      </c>
      <c r="T7" s="91">
        <f>5000+IFERROR(VLOOKUP($E:$E,'（居民）工资表-5月'!$E:$T,16,0),0)</f>
        <v>30000</v>
      </c>
      <c r="U7" s="91">
        <f>Q7+IFERROR(VLOOKUP($E:$E,'（居民）工资表-5月'!$E:$U,17,0),0)</f>
        <v>3188.55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17811.45</v>
      </c>
      <c r="AE7" s="96">
        <f>ROUND(MAX((AD7)*{0.03;0.1;0.2;0.25;0.3;0.35;0.45}-{0;2520;16920;31920;52920;85920;181920},0),2)</f>
        <v>534.34</v>
      </c>
      <c r="AF7" s="97">
        <f>IFERROR(VLOOKUP(E:E,'（居民）工资表-5月'!E:AF,28,0)+VLOOKUP(E:E,'（居民）工资表-5月'!E:AG,29,0),0)</f>
        <v>430.17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63000</v>
      </c>
      <c r="T8" s="91">
        <f>5000+IFERROR(VLOOKUP($E:$E,'（居民）工资表-5月'!$E:$T,16,0),0)</f>
        <v>30000</v>
      </c>
      <c r="U8" s="91">
        <f>Q8+IFERROR(VLOOKUP($E:$E,'（居民）工资表-5月'!$E:$U,17,0),0)</f>
        <v>4653.84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28346.16</v>
      </c>
      <c r="AE8" s="96">
        <f>ROUND(MAX((AD8)*{0.03;0.1;0.2;0.25;0.3;0.35;0.45}-{0;2520;16920;31920;52920;85920;181920},0),2)</f>
        <v>850.38</v>
      </c>
      <c r="AF8" s="97">
        <f>IFERROR(VLOOKUP(E:E,'（居民）工资表-5月'!E:AF,28,0)+VLOOKUP(E:E,'（居民）工资表-5月'!E:AG,29,0),0)</f>
        <v>708.54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39000</v>
      </c>
      <c r="T9" s="91">
        <f>5000+IFERROR(VLOOKUP($E:$E,'（居民）工资表-5月'!$E:$T,16,0),0)</f>
        <v>30000</v>
      </c>
      <c r="U9" s="91">
        <f>Q9+IFERROR(VLOOKUP($E:$E,'（居民）工资表-5月'!$E:$U,17,0),0)</f>
        <v>3210.76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5789.24</v>
      </c>
      <c r="AE9" s="96">
        <f>ROUND(MAX((AD9)*{0.03;0.1;0.2;0.25;0.3;0.35;0.45}-{0;2520;16920;31920;52920;85920;181920},0),2)</f>
        <v>173.68</v>
      </c>
      <c r="AF9" s="97">
        <f>IFERROR(VLOOKUP(E:E,'（居民）工资表-5月'!E:AF,28,0)+VLOOKUP(E:E,'（居民）工资表-5月'!E:AG,29,0),0)</f>
        <v>144.48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27077.17</v>
      </c>
      <c r="T10" s="91">
        <f>5000+IFERROR(VLOOKUP($E:$E,'（居民）工资表-5月'!$E:$T,16,0),0)</f>
        <v>30000</v>
      </c>
      <c r="U10" s="91">
        <f>Q10+IFERROR(VLOOKUP($E:$E,'（居民）工资表-5月'!$E:$U,17,0),0)</f>
        <v>3813.67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-6736.5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51500</v>
      </c>
      <c r="T11" s="91">
        <f>5000+IFERROR(VLOOKUP($E:$E,'（居民）工资表-5月'!$E:$T,16,0),0)</f>
        <v>30000</v>
      </c>
      <c r="U11" s="91">
        <f>Q11+IFERROR(VLOOKUP($E:$E,'（居民）工资表-5月'!$E:$U,17,0),0)</f>
        <v>3375.84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18124.16</v>
      </c>
      <c r="AE11" s="96">
        <f>ROUND(MAX((AD11)*{0.03;0.1;0.2;0.25;0.3;0.35;0.45}-{0;2520;16920;31920;52920;85920;181920},0),2)</f>
        <v>543.72</v>
      </c>
      <c r="AF11" s="97">
        <f>IFERROR(VLOOKUP(E:E,'（居民）工资表-5月'!E:AF,28,0)+VLOOKUP(E:E,'（居民）工资表-5月'!E:AG,29,0),0)</f>
        <v>455.49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42500</v>
      </c>
      <c r="T12" s="91">
        <f>5000+IFERROR(VLOOKUP($E:$E,'（居民）工资表-5月'!$E:$T,16,0),0)</f>
        <v>30000</v>
      </c>
      <c r="U12" s="91">
        <f>Q12+IFERROR(VLOOKUP($E:$E,'（居民）工资表-5月'!$E:$U,17,0),0)</f>
        <v>4653.84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7846.16</v>
      </c>
      <c r="AE12" s="96">
        <f>ROUND(MAX((AD12)*{0.03;0.1;0.2;0.25;0.3;0.35;0.45}-{0;2520;16920;31920;52920;85920;181920},0),2)</f>
        <v>235.38</v>
      </c>
      <c r="AF12" s="97">
        <f>IFERROR(VLOOKUP(E:E,'（居民）工资表-5月'!E:AF,28,0)+VLOOKUP(E:E,'（居民）工资表-5月'!E:AG,29,0),0)</f>
        <v>198.54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43608.7</v>
      </c>
      <c r="T13" s="91">
        <f>5000+IFERROR(VLOOKUP($E:$E,'（居民）工资表-5月'!$E:$T,16,0),0)</f>
        <v>30000</v>
      </c>
      <c r="U13" s="91">
        <f>Q13+IFERROR(VLOOKUP($E:$E,'（居民）工资表-5月'!$E:$U,17,0),0)</f>
        <v>4653.84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8954.86</v>
      </c>
      <c r="AE13" s="96">
        <f>ROUND(MAX((AD13)*{0.03;0.1;0.2;0.25;0.3;0.35;0.45}-{0;2520;16920;31920;52920;85920;181920},0),2)</f>
        <v>268.65</v>
      </c>
      <c r="AF13" s="97">
        <f>IFERROR(VLOOKUP(E:E,'（居民）工资表-5月'!E:AF,28,0)+VLOOKUP(E:E,'（居民）工资表-5月'!E:AG,29,0),0)</f>
        <v>231.81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35000</v>
      </c>
      <c r="T14" s="91">
        <f>5000+IFERROR(VLOOKUP($E:$E,'（居民）工资表-5月'!$E:$T,16,0),0)</f>
        <v>25000</v>
      </c>
      <c r="U14" s="91">
        <f>Q14+IFERROR(VLOOKUP($E:$E,'（居民）工资表-5月'!$E:$U,17,0),0)</f>
        <v>2795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7205</v>
      </c>
      <c r="AE14" s="96">
        <f>ROUND(MAX((AD14)*{0.03;0.1;0.2;0.25;0.3;0.35;0.45}-{0;2520;16920;31920;52920;85920;181920},0),2)</f>
        <v>216.15</v>
      </c>
      <c r="AF14" s="97">
        <f>IFERROR(VLOOKUP(E:E,'（居民）工资表-5月'!E:AF,28,0)+VLOOKUP(E:E,'（居民）工资表-5月'!E:AG,29,0),0)</f>
        <v>172.92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31061.74</v>
      </c>
      <c r="T15" s="91">
        <f>5000+IFERROR(VLOOKUP($E:$E,'（居民）工资表-5月'!$E:$T,16,0),0)</f>
        <v>25000</v>
      </c>
      <c r="U15" s="91">
        <f>Q15+IFERROR(VLOOKUP($E:$E,'（居民）工资表-5月'!$E:$U,17,0),0)</f>
        <v>2638.55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3423.19</v>
      </c>
      <c r="AE15" s="96">
        <f>ROUND(MAX((AD15)*{0.03;0.1;0.2;0.25;0.3;0.35;0.45}-{0;2520;16920;31920;52920;85920;181920},0),2)</f>
        <v>102.7</v>
      </c>
      <c r="AF15" s="97">
        <f>IFERROR(VLOOKUP(E:E,'（居民）工资表-5月'!E:AF,28,0)+VLOOKUP(E:E,'（居民）工资表-5月'!E:AG,29,0),0)</f>
        <v>86.73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36000</v>
      </c>
      <c r="T16" s="91">
        <f>5000+IFERROR(VLOOKUP($E:$E,'（居民）工资表-5月'!$E:$T,16,0),0)</f>
        <v>30000</v>
      </c>
      <c r="U16" s="91">
        <f>Q16+IFERROR(VLOOKUP($E:$E,'（居民）工资表-5月'!$E:$U,17,0),0)</f>
        <v>3171.84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2828.16</v>
      </c>
      <c r="AE16" s="96">
        <f>ROUND(MAX((AD16)*{0.03;0.1;0.2;0.25;0.3;0.35;0.45}-{0;2520;16920;31920;52920;85920;181920},0),2)</f>
        <v>84.84</v>
      </c>
      <c r="AF16" s="97">
        <f>IFERROR(VLOOKUP(E:E,'（居民）工资表-5月'!E:AF,28,0)+VLOOKUP(E:E,'（居民）工资表-5月'!E:AG,29,0),0)</f>
        <v>70.59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57556.93</v>
      </c>
      <c r="T17" s="91">
        <f>5000+IFERROR(VLOOKUP($E:$E,'（居民）工资表-5月'!$E:$T,16,0),0)</f>
        <v>30000</v>
      </c>
      <c r="U17" s="91">
        <f>Q17+IFERROR(VLOOKUP($E:$E,'（居民）工资表-5月'!$E:$U,17,0),0)</f>
        <v>4243.97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23312.96</v>
      </c>
      <c r="AE17" s="96">
        <f>ROUND(MAX((AD17)*{0.03;0.1;0.2;0.25;0.3;0.35;0.45}-{0;2520;16920;31920;52920;85920;181920},0),2)</f>
        <v>699.39</v>
      </c>
      <c r="AF17" s="97">
        <f>IFERROR(VLOOKUP(E:E,'（居民）工资表-5月'!E:AF,28,0)+VLOOKUP(E:E,'（居民）工资表-5月'!E:AG,29,0),0)</f>
        <v>565.22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754851.21</v>
      </c>
      <c r="T20" s="74">
        <f t="shared" si="10"/>
        <v>425000</v>
      </c>
      <c r="U20" s="74">
        <f t="shared" si="10"/>
        <v>55860.46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273990.75</v>
      </c>
      <c r="AE20" s="74">
        <f t="shared" si="10"/>
        <v>16183.68</v>
      </c>
      <c r="AF20" s="74">
        <f t="shared" si="10"/>
        <v>12976.94</v>
      </c>
      <c r="AG20" s="74">
        <f t="shared" si="10"/>
        <v>3206.74</v>
      </c>
      <c r="AH20" s="74">
        <f t="shared" si="10"/>
        <v>119668.25</v>
      </c>
      <c r="AI20" s="126">
        <f t="shared" si="10"/>
        <v>0</v>
      </c>
      <c r="AJ20" s="74">
        <f t="shared" si="10"/>
        <v>119668.25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119668.25</v>
      </c>
      <c r="C25" s="48">
        <f>AG20</f>
        <v>3206.74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64000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4793.72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19206.28</v>
      </c>
      <c r="AE4" s="96">
        <f>ROUND(MAX((AD4)*{0.03;0.1;0.2;0.25;0.3;0.35;0.45}-{0;2520;16920;31920;52920;85920;181920},0),2)</f>
        <v>576.19</v>
      </c>
      <c r="AF4" s="97">
        <f>IFERROR(VLOOKUP(E:E,'（居民）工资表-7月'!E:AF,28,0)+VLOOKUP(E:E,'（居民）工资表-7月'!E:AG,29,0),0)</f>
        <v>433.06</v>
      </c>
      <c r="AG4" s="97">
        <f>IF((AE4-AF4)&lt;0,0,AE4-AF4)</f>
        <v>143.13</v>
      </c>
      <c r="AH4" s="107">
        <f>ROUND(IF((L4-Q4-AG4)&lt;0,0,(L4-Q4-AG4)),2)</f>
        <v>7216.38</v>
      </c>
      <c r="AI4" s="108"/>
      <c r="AJ4" s="107">
        <f>AH4+AI4</f>
        <v>7216.38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47200</v>
      </c>
      <c r="T5" s="91">
        <f>5000+IFERROR(VLOOKUP($E:$E,'（居民）工资表-7月'!$E:$T,16,0),0)</f>
        <v>40000</v>
      </c>
      <c r="U5" s="91">
        <f>Q5+IFERROR(VLOOKUP($E:$E,'（居民）工资表-7月'!$E:$U,17,0),0)</f>
        <v>5304.36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1895.64</v>
      </c>
      <c r="AE5" s="96">
        <f>ROUND(MAX((AD5)*{0.03;0.1;0.2;0.25;0.3;0.35;0.45}-{0;2520;16920;31920;52920;85920;181920},0),2)</f>
        <v>56.87</v>
      </c>
      <c r="AF5" s="97">
        <f>IFERROR(VLOOKUP(E:E,'（居民）工资表-7月'!E:AF,28,0)+VLOOKUP(E:E,'（居民）工资表-7月'!E:AG,29,0),0)</f>
        <v>30.6</v>
      </c>
      <c r="AG5" s="97">
        <f>IF((AE5-AF5)&lt;0,0,AE5-AF5)</f>
        <v>26.27</v>
      </c>
      <c r="AH5" s="107">
        <f>ROUND(IF((L5-Q5-AG5)&lt;0,0,(L5-Q5-AG5)),2)</f>
        <v>5411.49</v>
      </c>
      <c r="AI5" s="108"/>
      <c r="AJ5" s="107">
        <f>AH5+AI5</f>
        <v>5411.49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240480</v>
      </c>
      <c r="T6" s="91">
        <f>5000+IFERROR(VLOOKUP($E:$E,'（居民）工资表-7月'!$E:$T,16,0),0)</f>
        <v>40000</v>
      </c>
      <c r="U6" s="91">
        <f>Q6+IFERROR(VLOOKUP($E:$E,'（居民）工资表-7月'!$E:$U,17,0),0)</f>
        <v>7618.71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192861.29</v>
      </c>
      <c r="AE6" s="96">
        <f>ROUND(MAX((AD6)*{0.03;0.1;0.2;0.25;0.3;0.35;0.45}-{0;2520;16920;31920;52920;85920;181920},0),2)</f>
        <v>21652.26</v>
      </c>
      <c r="AF6" s="97">
        <f>IFERROR(VLOOKUP(E:E,'（居民）工资表-7月'!E:AF,28,0)+VLOOKUP(E:E,'（居民）工资表-7月'!E:AG,29,0),0)</f>
        <v>14733.08</v>
      </c>
      <c r="AG6" s="97">
        <f t="shared" ref="AG6:AG19" si="3">IF((AE6-AF6)&lt;0,0,AE6-AF6)</f>
        <v>6919.18</v>
      </c>
      <c r="AH6" s="107">
        <f t="shared" ref="AH6:AH19" si="4">ROUND(IF((L6-Q6-AG6)&lt;0,0,(L6-Q6-AG6)),2)</f>
        <v>22176.73</v>
      </c>
      <c r="AI6" s="108"/>
      <c r="AJ6" s="107">
        <f t="shared" ref="AJ6:AJ19" si="5">AH6+AI6</f>
        <v>22176.73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72000</v>
      </c>
      <c r="T7" s="91">
        <f>5000+IFERROR(VLOOKUP($E:$E,'（居民）工资表-7月'!$E:$T,16,0),0)</f>
        <v>40000</v>
      </c>
      <c r="U7" s="91">
        <f>Q7+IFERROR(VLOOKUP($E:$E,'（居民）工资表-7月'!$E:$U,17,0),0)</f>
        <v>4243.97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27756.03</v>
      </c>
      <c r="AE7" s="96">
        <f>ROUND(MAX((AD7)*{0.03;0.1;0.2;0.25;0.3;0.35;0.45}-{0;2520;16920;31920;52920;85920;181920},0),2)</f>
        <v>832.68</v>
      </c>
      <c r="AF7" s="97">
        <f>IFERROR(VLOOKUP(E:E,'（居民）工资表-7月'!E:AF,28,0)+VLOOKUP(E:E,'（居民）工资表-7月'!E:AG,29,0),0)</f>
        <v>548.51</v>
      </c>
      <c r="AG7" s="97">
        <f t="shared" si="3"/>
        <v>284.17</v>
      </c>
      <c r="AH7" s="107">
        <f t="shared" si="4"/>
        <v>9188.12</v>
      </c>
      <c r="AI7" s="108"/>
      <c r="AJ7" s="107">
        <f t="shared" si="5"/>
        <v>9188.12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87000</v>
      </c>
      <c r="T8" s="91">
        <f>5000+IFERROR(VLOOKUP($E:$E,'（居民）工资表-7月'!$E:$T,16,0),0)</f>
        <v>40000</v>
      </c>
      <c r="U8" s="91">
        <f>Q8+IFERROR(VLOOKUP($E:$E,'（居民）工资表-7月'!$E:$U,17,0),0)</f>
        <v>6197.84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40802.16</v>
      </c>
      <c r="AE8" s="96">
        <f>ROUND(MAX((AD8)*{0.03;0.1;0.2;0.25;0.3;0.35;0.45}-{0;2520;16920;31920;52920;85920;181920},0),2)</f>
        <v>1560.22</v>
      </c>
      <c r="AF8" s="97">
        <f>IFERROR(VLOOKUP(E:E,'（居民）工资表-7月'!E:AF,28,0)+VLOOKUP(E:E,'（居民）工资表-7月'!E:AG,29,0),0)</f>
        <v>1052.22</v>
      </c>
      <c r="AG8" s="97">
        <f t="shared" si="3"/>
        <v>508</v>
      </c>
      <c r="AH8" s="107">
        <f t="shared" si="4"/>
        <v>10220</v>
      </c>
      <c r="AI8" s="108"/>
      <c r="AJ8" s="107">
        <f t="shared" si="5"/>
        <v>10220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52000</v>
      </c>
      <c r="T9" s="91">
        <f>5000+IFERROR(VLOOKUP($E:$E,'（居民）工资表-7月'!$E:$T,16,0),0)</f>
        <v>40000</v>
      </c>
      <c r="U9" s="91">
        <f>Q9+IFERROR(VLOOKUP($E:$E,'（居民）工资表-7月'!$E:$U,17,0),0)</f>
        <v>4264.36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7735.64</v>
      </c>
      <c r="AE9" s="96">
        <f>ROUND(MAX((AD9)*{0.03;0.1;0.2;0.25;0.3;0.35;0.45}-{0;2520;16920;31920;52920;85920;181920},0),2)</f>
        <v>232.07</v>
      </c>
      <c r="AF9" s="97">
        <f>IFERROR(VLOOKUP(E:E,'（居民）工资表-7月'!E:AF,28,0)+VLOOKUP(E:E,'（居民）工资表-7月'!E:AG,29,0),0)</f>
        <v>202.87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36043.98</v>
      </c>
      <c r="T10" s="91">
        <f>5000+IFERROR(VLOOKUP($E:$E,'（居民）工资表-7月'!$E:$T,16,0),0)</f>
        <v>40000</v>
      </c>
      <c r="U10" s="91">
        <f>Q10+IFERROR(VLOOKUP($E:$E,'（居民）工资表-7月'!$E:$U,17,0),0)</f>
        <v>5114.9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-9070.92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70000</v>
      </c>
      <c r="T11" s="91">
        <f>5000+IFERROR(VLOOKUP($E:$E,'（居民）工资表-7月'!$E:$T,16,0),0)</f>
        <v>40000</v>
      </c>
      <c r="U11" s="91">
        <f>Q11+IFERROR(VLOOKUP($E:$E,'（居民）工资表-7月'!$E:$U,17,0),0)</f>
        <v>4493.84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25506.16</v>
      </c>
      <c r="AE11" s="96">
        <f>ROUND(MAX((AD11)*{0.03;0.1;0.2;0.25;0.3;0.35;0.45}-{0;2520;16920;31920;52920;85920;181920},0),2)</f>
        <v>765.18</v>
      </c>
      <c r="AF11" s="97">
        <f>IFERROR(VLOOKUP(E:E,'（居民）工资表-7月'!E:AF,28,0)+VLOOKUP(E:E,'（居民）工资表-7月'!E:AG,29,0),0)</f>
        <v>661.95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58000</v>
      </c>
      <c r="T12" s="91">
        <f>5000+IFERROR(VLOOKUP($E:$E,'（居民）工资表-7月'!$E:$T,16,0),0)</f>
        <v>40000</v>
      </c>
      <c r="U12" s="91">
        <f>Q12+IFERROR(VLOOKUP($E:$E,'（居民）工资表-7月'!$E:$U,17,0),0)</f>
        <v>6197.84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11802.16</v>
      </c>
      <c r="AE12" s="96">
        <f>ROUND(MAX((AD12)*{0.03;0.1;0.2;0.25;0.3;0.35;0.45}-{0;2520;16920;31920;52920;85920;181920},0),2)</f>
        <v>354.06</v>
      </c>
      <c r="AF12" s="97">
        <f>IFERROR(VLOOKUP(E:E,'（居民）工资表-7月'!E:AF,28,0)+VLOOKUP(E:E,'（居民）工资表-7月'!E:AG,29,0),0)</f>
        <v>302.22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60608.7</v>
      </c>
      <c r="T13" s="91">
        <f>5000+IFERROR(VLOOKUP($E:$E,'（居民）工资表-7月'!$E:$T,16,0),0)</f>
        <v>40000</v>
      </c>
      <c r="U13" s="91">
        <f>Q13+IFERROR(VLOOKUP($E:$E,'（居民）工资表-7月'!$E:$U,17,0),0)</f>
        <v>6197.84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14410.86</v>
      </c>
      <c r="AE13" s="96">
        <f>ROUND(MAX((AD13)*{0.03;0.1;0.2;0.25;0.3;0.35;0.45}-{0;2520;16920;31920;52920;85920;181920},0),2)</f>
        <v>432.33</v>
      </c>
      <c r="AF13" s="97">
        <f>IFERROR(VLOOKUP(E:E,'（居民）工资表-7月'!E:AF,28,0)+VLOOKUP(E:E,'（居民）工资表-7月'!E:AG,29,0),0)</f>
        <v>365.49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48572.73</v>
      </c>
      <c r="T14" s="91">
        <f>5000+IFERROR(VLOOKUP($E:$E,'（居民）工资表-7月'!$E:$T,16,0),0)</f>
        <v>35000</v>
      </c>
      <c r="U14" s="91">
        <f>Q14+IFERROR(VLOOKUP($E:$E,'（居民）工资表-7月'!$E:$U,17,0),0)</f>
        <v>3354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10218.73</v>
      </c>
      <c r="AE14" s="96">
        <f>ROUND(MAX((AD14)*{0.03;0.1;0.2;0.25;0.3;0.35;0.45}-{0;2520;16920;31920;52920;85920;181920},0),2)</f>
        <v>306.56</v>
      </c>
      <c r="AF14" s="97">
        <f>IFERROR(VLOOKUP(E:E,'（居民）工资表-7月'!E:AF,28,0)+VLOOKUP(E:E,'（居民）工资表-7月'!E:AG,29,0),0)</f>
        <v>277.38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41982.83</v>
      </c>
      <c r="T15" s="91">
        <f>5000+IFERROR(VLOOKUP($E:$E,'（居民）工资表-7月'!$E:$T,16,0),0)</f>
        <v>35000</v>
      </c>
      <c r="U15" s="91">
        <f>Q15+IFERROR(VLOOKUP($E:$E,'（居民）工资表-7月'!$E:$U,17,0),0)</f>
        <v>2638.55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4344.28</v>
      </c>
      <c r="AE15" s="96">
        <f>ROUND(MAX((AD15)*{0.03;0.1;0.2;0.25;0.3;0.35;0.45}-{0;2520;16920;31920;52920;85920;181920},0),2)</f>
        <v>130.33</v>
      </c>
      <c r="AF15" s="97">
        <f>IFERROR(VLOOKUP(E:E,'（居民）工资表-7月'!E:AF,28,0)+VLOOKUP(E:E,'（居民）工资表-7月'!E:AG,29,0),0)</f>
        <v>135.63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48000</v>
      </c>
      <c r="T16" s="91">
        <f>5000+IFERROR(VLOOKUP($E:$E,'（居民）工资表-7月'!$E:$T,16,0),0)</f>
        <v>40000</v>
      </c>
      <c r="U16" s="91">
        <f>Q16+IFERROR(VLOOKUP($E:$E,'（居民）工资表-7月'!$E:$U,17,0),0)</f>
        <v>4221.84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3778.16</v>
      </c>
      <c r="AE16" s="96">
        <f>ROUND(MAX((AD16)*{0.03;0.1;0.2;0.25;0.3;0.35;0.45}-{0;2520;16920;31920;52920;85920;181920},0),2)</f>
        <v>113.34</v>
      </c>
      <c r="AF16" s="97">
        <f>IFERROR(VLOOKUP(E:E,'（居民）工资表-7月'!E:AF,28,0)+VLOOKUP(E:E,'（居民）工资表-7月'!E:AG,29,0),0)</f>
        <v>99.09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77556.93</v>
      </c>
      <c r="T17" s="91">
        <f>5000+IFERROR(VLOOKUP($E:$E,'（居民）工资表-7月'!$E:$T,16,0),0)</f>
        <v>40000</v>
      </c>
      <c r="U17" s="91">
        <f>Q17+IFERROR(VLOOKUP($E:$E,'（居民）工资表-7月'!$E:$U,17,0),0)</f>
        <v>5299.39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32257.54</v>
      </c>
      <c r="AE17" s="96">
        <f>ROUND(MAX((AD17)*{0.03;0.1;0.2;0.25;0.3;0.35;0.45}-{0;2520;16920;31920;52920;85920;181920},0),2)</f>
        <v>967.73</v>
      </c>
      <c r="AF17" s="97">
        <f>IFERROR(VLOOKUP(E:E,'（居民）工资表-7月'!E:AF,28,0)+VLOOKUP(E:E,'（居民）工资表-7月'!E:AG,29,0),0)</f>
        <v>833.56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28350.3</v>
      </c>
      <c r="T18" s="91">
        <f>5000+IFERROR(VLOOKUP($E:$E,'（居民）工资表-7月'!$E:$T,16,0),0)</f>
        <v>25000</v>
      </c>
      <c r="U18" s="91">
        <f>Q18+IFERROR(VLOOKUP($E:$E,'（居民）工资表-7月'!$E:$U,17,0),0)</f>
        <v>3315.42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34.88</v>
      </c>
      <c r="AE18" s="96">
        <f>ROUND(MAX((AD18)*{0.03;0.1;0.2;0.25;0.3;0.35;0.45}-{0;2520;16920;31920;52920;85920;181920},0),2)</f>
        <v>1.05</v>
      </c>
      <c r="AF18" s="97">
        <f>IFERROR(VLOOKUP(E:E,'（居民）工资表-7月'!E:AF,28,0)+VLOOKUP(E:E,'（居民）工资表-7月'!E:AG,29,0),0)</f>
        <v>0</v>
      </c>
      <c r="AG18" s="97">
        <f t="shared" si="3"/>
        <v>1.05</v>
      </c>
      <c r="AH18" s="107">
        <f t="shared" si="4"/>
        <v>7046.38</v>
      </c>
      <c r="AI18" s="108"/>
      <c r="AJ18" s="107">
        <f t="shared" si="5"/>
        <v>7046.38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1031795.47</v>
      </c>
      <c r="T20" s="74">
        <f t="shared" si="10"/>
        <v>575000</v>
      </c>
      <c r="U20" s="74">
        <f t="shared" si="10"/>
        <v>73256.58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383538.89</v>
      </c>
      <c r="AE20" s="74">
        <f t="shared" si="10"/>
        <v>27980.87</v>
      </c>
      <c r="AF20" s="74">
        <f t="shared" si="10"/>
        <v>19675.66</v>
      </c>
      <c r="AG20" s="74">
        <f t="shared" si="10"/>
        <v>8310.51</v>
      </c>
      <c r="AH20" s="74">
        <f t="shared" si="10"/>
        <v>118713.37</v>
      </c>
      <c r="AI20" s="74">
        <f t="shared" si="10"/>
        <v>0</v>
      </c>
      <c r="AJ20" s="74">
        <f t="shared" si="10"/>
        <v>118713.37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118713.37</v>
      </c>
      <c r="C25" s="48">
        <f>AG20</f>
        <v>8310.51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L4+IFERROR(VLOOKUP($E:$E,'（居民）工资表-8月'!$E:$S,15,0),0)</f>
        <v>72000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5414.75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21585.25</v>
      </c>
      <c r="AE4" s="96">
        <f>ROUND(MAX((AD4)*{0.03;0.1;0.2;0.25;0.3;0.35;0.45}-{0;2520;16920;31920;52920;85920;181920},0),2)</f>
        <v>647.56</v>
      </c>
      <c r="AF4" s="97">
        <f>IFERROR(VLOOKUP(E:E,'（居民）工资表-8月'!E:AF,28,0)+VLOOKUP(E:E,'（居民）工资表-8月'!E:AG,29,0),0)</f>
        <v>576.19</v>
      </c>
      <c r="AG4" s="97">
        <f>AE4-AF4</f>
        <v>71.3699999999999</v>
      </c>
      <c r="AH4" s="107">
        <f>ROUND(IF((L4-Q4-AG4)&lt;0,0,(L4-Q4-AG4)),2)</f>
        <v>7307.6</v>
      </c>
      <c r="AI4" s="108"/>
      <c r="AJ4" s="107">
        <f>AH4+AI4</f>
        <v>7307.6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ref="Q5:Q19" si="0">ROUND(SUM(M5:P5),2)</f>
        <v>662.24</v>
      </c>
      <c r="R5" s="70">
        <v>0</v>
      </c>
      <c r="S5" s="90">
        <f>L5+IFERROR(VLOOKUP($E:$E,'（居民）工资表-8月'!$E:$S,15,0),0)</f>
        <v>53300</v>
      </c>
      <c r="T5" s="91">
        <f>5000+IFERROR(VLOOKUP($E:$E,'（居民）工资表-8月'!$E:$T,16,0),0)</f>
        <v>45000</v>
      </c>
      <c r="U5" s="91">
        <f>Q5+IFERROR(VLOOKUP($E:$E,'（居民）工资表-8月'!$E:$U,17,0),0)</f>
        <v>5966.6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2333.4</v>
      </c>
      <c r="AE5" s="96">
        <f>ROUND(MAX((AD5)*{0.03;0.1;0.2;0.25;0.3;0.35;0.45}-{0;2520;16920;31920;52920;85920;181920},0),2)</f>
        <v>70</v>
      </c>
      <c r="AF5" s="97">
        <f>IFERROR(VLOOKUP(E:E,'（居民）工资表-8月'!E:AF,28,0)+VLOOKUP(E:E,'（居民）工资表-8月'!E:AG,29,0),0)</f>
        <v>56.87</v>
      </c>
      <c r="AG5" s="97">
        <f t="shared" ref="AG5:AG19" si="3">AE5-AF5</f>
        <v>13.13</v>
      </c>
      <c r="AH5" s="107">
        <f t="shared" ref="AH5:AH19" si="4">ROUND(IF((L5-Q5-AG5)&lt;0,0,(L5-Q5-AG5)),2)</f>
        <v>5424.63</v>
      </c>
      <c r="AI5" s="108"/>
      <c r="AJ5" s="107">
        <f t="shared" ref="AJ5:AJ19" si="5">AH5+AI5</f>
        <v>5424.63</v>
      </c>
      <c r="AK5" s="109"/>
      <c r="AL5" s="107">
        <f t="shared" ref="AL5:AL19" si="6">AJ5+AG5+AK5</f>
        <v>5437.76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202</v>
      </c>
      <c r="Q6" s="89">
        <f t="shared" si="0"/>
        <v>977.32</v>
      </c>
      <c r="R6" s="70">
        <v>0</v>
      </c>
      <c r="S6" s="90">
        <f>L6+IFERROR(VLOOKUP($E:$E,'（居民）工资表-8月'!$E:$S,15,0),0)</f>
        <v>270540</v>
      </c>
      <c r="T6" s="91">
        <f>5000+IFERROR(VLOOKUP($E:$E,'（居民）工资表-8月'!$E:$T,16,0),0)</f>
        <v>45000</v>
      </c>
      <c r="U6" s="91">
        <f>Q6+IFERROR(VLOOKUP($E:$E,'（居民）工资表-8月'!$E:$U,17,0),0)</f>
        <v>8596.03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216943.97</v>
      </c>
      <c r="AE6" s="96">
        <f>ROUND(MAX((AD6)*{0.03;0.1;0.2;0.25;0.3;0.35;0.45}-{0;2520;16920;31920;52920;85920;181920},0),2)</f>
        <v>26468.79</v>
      </c>
      <c r="AF6" s="97">
        <f>IFERROR(VLOOKUP(E:E,'（居民）工资表-8月'!E:AF,28,0)+VLOOKUP(E:E,'（居民）工资表-8月'!E:AG,29,0),0)</f>
        <v>21652.26</v>
      </c>
      <c r="AG6" s="97">
        <f t="shared" si="3"/>
        <v>4816.53</v>
      </c>
      <c r="AH6" s="107">
        <f t="shared" si="4"/>
        <v>24266.15</v>
      </c>
      <c r="AI6" s="108"/>
      <c r="AJ6" s="107">
        <f t="shared" si="5"/>
        <v>24266.15</v>
      </c>
      <c r="AK6" s="109"/>
      <c r="AL6" s="107">
        <f t="shared" si="6"/>
        <v>29082.68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L7+IFERROR(VLOOKUP($E:$E,'（居民）工资表-8月'!$E:$S,15,0),0)</f>
        <v>81000</v>
      </c>
      <c r="T7" s="91">
        <f>5000+IFERROR(VLOOKUP($E:$E,'（居民）工资表-8月'!$E:$T,16,0),0)</f>
        <v>45000</v>
      </c>
      <c r="U7" s="91">
        <f>Q7+IFERROR(VLOOKUP($E:$E,'（居民）工资表-8月'!$E:$U,17,0),0)</f>
        <v>4771.68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31228.32</v>
      </c>
      <c r="AE7" s="96">
        <f>ROUND(MAX((AD7)*{0.03;0.1;0.2;0.25;0.3;0.35;0.45}-{0;2520;16920;31920;52920;85920;181920},0),2)</f>
        <v>936.85</v>
      </c>
      <c r="AF7" s="97">
        <f>IFERROR(VLOOKUP(E:E,'（居民）工资表-8月'!E:AF,28,0)+VLOOKUP(E:E,'（居民）工资表-8月'!E:AG,29,0),0)</f>
        <v>832.68</v>
      </c>
      <c r="AG7" s="97">
        <f t="shared" si="3"/>
        <v>104.17</v>
      </c>
      <c r="AH7" s="107">
        <f t="shared" si="4"/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L8+IFERROR(VLOOKUP($E:$E,'（居民）工资表-8月'!$E:$S,15,0),0)</f>
        <v>97500</v>
      </c>
      <c r="T8" s="91">
        <f>5000+IFERROR(VLOOKUP($E:$E,'（居民）工资表-8月'!$E:$T,16,0),0)</f>
        <v>45000</v>
      </c>
      <c r="U8" s="91">
        <f>Q8+IFERROR(VLOOKUP($E:$E,'（居民）工资表-8月'!$E:$U,17,0),0)</f>
        <v>6969.84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45530.16</v>
      </c>
      <c r="AE8" s="96">
        <f>ROUND(MAX((AD8)*{0.03;0.1;0.2;0.25;0.3;0.35;0.45}-{0;2520;16920;31920;52920;85920;181920},0),2)</f>
        <v>2033.02</v>
      </c>
      <c r="AF8" s="97">
        <f>IFERROR(VLOOKUP(E:E,'（居民）工资表-8月'!E:AF,28,0)+VLOOKUP(E:E,'（居民）工资表-8月'!E:AG,29,0),0)</f>
        <v>1560.22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L9+IFERROR(VLOOKUP($E:$E,'（居民）工资表-8月'!$E:$S,15,0),0)</f>
        <v>58500</v>
      </c>
      <c r="T9" s="91">
        <f>5000+IFERROR(VLOOKUP($E:$E,'（居民）工资表-8月'!$E:$T,16,0),0)</f>
        <v>45000</v>
      </c>
      <c r="U9" s="91">
        <f>Q9+IFERROR(VLOOKUP($E:$E,'（居民）工资表-8月'!$E:$U,17,0),0)</f>
        <v>4791.16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8708.84</v>
      </c>
      <c r="AE9" s="96">
        <f>ROUND(MAX((AD9)*{0.03;0.1;0.2;0.25;0.3;0.35;0.45}-{0;2520;16920;31920;52920;85920;181920},0),2)</f>
        <v>261.27</v>
      </c>
      <c r="AF9" s="97">
        <f>IFERROR(VLOOKUP(E:E,'（居民）工资表-8月'!E:AF,28,0)+VLOOKUP(E:E,'（居民）工资表-8月'!E:AG,29,0),0)</f>
        <v>232.07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L10+IFERROR(VLOOKUP($E:$E,'（居民）工资表-8月'!$E:$S,15,0),0)</f>
        <v>40491.95</v>
      </c>
      <c r="T10" s="91">
        <f>5000+IFERROR(VLOOKUP($E:$E,'（居民）工资表-8月'!$E:$T,16,0),0)</f>
        <v>45000</v>
      </c>
      <c r="U10" s="91">
        <f>Q10+IFERROR(VLOOKUP($E:$E,'（居民）工资表-8月'!$E:$U,17,0),0)</f>
        <v>5779.27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-10287.32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L11+IFERROR(VLOOKUP($E:$E,'（居民）工资表-8月'!$E:$S,15,0),0)</f>
        <v>79000</v>
      </c>
      <c r="T11" s="91">
        <f>5000+IFERROR(VLOOKUP($E:$E,'（居民）工资表-8月'!$E:$T,16,0),0)</f>
        <v>45000</v>
      </c>
      <c r="U11" s="91">
        <f>Q11+IFERROR(VLOOKUP($E:$E,'（居民）工资表-8月'!$E:$U,17,0),0)</f>
        <v>5052.84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28947.16</v>
      </c>
      <c r="AE11" s="96">
        <f>ROUND(MAX((AD11)*{0.03;0.1;0.2;0.25;0.3;0.35;0.45}-{0;2520;16920;31920;52920;85920;181920},0),2)</f>
        <v>868.41</v>
      </c>
      <c r="AF11" s="97">
        <f>IFERROR(VLOOKUP(E:E,'（居民）工资表-8月'!E:AF,28,0)+VLOOKUP(E:E,'（居民）工资表-8月'!E:AG,29,0),0)</f>
        <v>765.18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L12+IFERROR(VLOOKUP($E:$E,'（居民）工资表-8月'!$E:$S,15,0),0)</f>
        <v>65500</v>
      </c>
      <c r="T12" s="91">
        <f>5000+IFERROR(VLOOKUP($E:$E,'（居民）工资表-8月'!$E:$T,16,0),0)</f>
        <v>45000</v>
      </c>
      <c r="U12" s="91">
        <f>Q12+IFERROR(VLOOKUP($E:$E,'（居民）工资表-8月'!$E:$U,17,0),0)</f>
        <v>6969.84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13530.16</v>
      </c>
      <c r="AE12" s="96">
        <f>ROUND(MAX((AD12)*{0.03;0.1;0.2;0.25;0.3;0.35;0.45}-{0;2520;16920;31920;52920;85920;181920},0),2)</f>
        <v>405.9</v>
      </c>
      <c r="AF12" s="97">
        <f>IFERROR(VLOOKUP(E:E,'（居民）工资表-8月'!E:AF,28,0)+VLOOKUP(E:E,'（居民）工资表-8月'!E:AG,29,0),0)</f>
        <v>354.06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L13+IFERROR(VLOOKUP($E:$E,'（居民）工资表-8月'!$E:$S,15,0),0)</f>
        <v>68608.7</v>
      </c>
      <c r="T13" s="91">
        <f>5000+IFERROR(VLOOKUP($E:$E,'（居民）工资表-8月'!$E:$T,16,0),0)</f>
        <v>45000</v>
      </c>
      <c r="U13" s="91">
        <f>Q13+IFERROR(VLOOKUP($E:$E,'（居民）工资表-8月'!$E:$U,17,0),0)</f>
        <v>6969.84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16638.86</v>
      </c>
      <c r="AE13" s="96">
        <f>ROUND(MAX((AD13)*{0.03;0.1;0.2;0.25;0.3;0.35;0.45}-{0;2520;16920;31920;52920;85920;181920},0),2)</f>
        <v>499.17</v>
      </c>
      <c r="AF13" s="97">
        <f>IFERROR(VLOOKUP(E:E,'（居民）工资表-8月'!E:AF,28,0)+VLOOKUP(E:E,'（居民）工资表-8月'!E:AG,29,0),0)</f>
        <v>432.33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13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321.52</v>
      </c>
      <c r="N14" s="71">
        <v>80.38</v>
      </c>
      <c r="O14" s="71">
        <v>20.1</v>
      </c>
      <c r="P14" s="71">
        <v>103</v>
      </c>
      <c r="Q14" s="89">
        <f t="shared" si="0"/>
        <v>525</v>
      </c>
      <c r="R14" s="70">
        <v>0</v>
      </c>
      <c r="S14" s="90">
        <f>L14+IFERROR(VLOOKUP($E:$E,'（居民）工资表-8月'!$E:$S,15,0),0)</f>
        <v>54000</v>
      </c>
      <c r="T14" s="91">
        <f>5000+IFERROR(VLOOKUP($E:$E,'（居民）工资表-8月'!$E:$T,16,0),0)</f>
        <v>45000</v>
      </c>
      <c r="U14" s="91">
        <f>Q14+IFERROR(VLOOKUP($E:$E,'（居民）工资表-8月'!$E:$U,17,0),0)</f>
        <v>4746.84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4253.16</v>
      </c>
      <c r="AE14" s="96">
        <f>ROUND(MAX((AD14)*{0.03;0.1;0.2;0.25;0.3;0.35;0.45}-{0;2520;16920;31920;52920;85920;181920},0),2)</f>
        <v>127.59</v>
      </c>
      <c r="AF14" s="97">
        <f>IFERROR(VLOOKUP(E:E,'（居民）工资表-8月'!E:AF,28,0)+VLOOKUP(E:E,'（居民）工资表-8月'!E:AG,29,0),0)</f>
        <v>113.34</v>
      </c>
      <c r="AG14" s="97">
        <f t="shared" si="3"/>
        <v>14.25</v>
      </c>
      <c r="AH14" s="107">
        <f t="shared" si="4"/>
        <v>5460.75</v>
      </c>
      <c r="AI14" s="108"/>
      <c r="AJ14" s="107">
        <f t="shared" si="5"/>
        <v>5460.75</v>
      </c>
      <c r="AK14" s="109"/>
      <c r="AL14" s="107">
        <f t="shared" si="6"/>
        <v>5475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</row>
    <row r="15" s="12" customFormat="1" ht="18" customHeight="1" spans="1:46">
      <c r="A15" s="36">
        <v>14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L15+IFERROR(VLOOKUP($E:$E,'（居民）工资表-8月'!$E:$S,15,0),0)</f>
        <v>87556.93</v>
      </c>
      <c r="T15" s="91">
        <f>5000+IFERROR(VLOOKUP($E:$E,'（居民）工资表-8月'!$E:$T,16,0),0)</f>
        <v>45000</v>
      </c>
      <c r="U15" s="91">
        <f>Q15+IFERROR(VLOOKUP($E:$E,'（居民）工资表-8月'!$E:$U,17,0),0)</f>
        <v>5827.1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36729.83</v>
      </c>
      <c r="AE15" s="96">
        <f>ROUND(MAX((AD15)*{0.03;0.1;0.2;0.25;0.3;0.35;0.45}-{0;2520;16920;31920;52920;85920;181920},0),2)</f>
        <v>1152.98</v>
      </c>
      <c r="AF15" s="97">
        <f>IFERROR(VLOOKUP(E:E,'（居民）工资表-8月'!E:AF,28,0)+VLOOKUP(E:E,'（居民）工资表-8月'!E:AG,29,0),0)</f>
        <v>967.73</v>
      </c>
      <c r="AG15" s="97">
        <f t="shared" si="3"/>
        <v>185.25</v>
      </c>
      <c r="AH15" s="107">
        <f t="shared" si="4"/>
        <v>9287.04</v>
      </c>
      <c r="AI15" s="108"/>
      <c r="AJ15" s="107">
        <f t="shared" si="5"/>
        <v>9287.04</v>
      </c>
      <c r="AK15" s="109"/>
      <c r="AL15" s="107">
        <f t="shared" si="6"/>
        <v>9472.29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</row>
    <row r="16" s="12" customFormat="1" ht="18" customHeight="1" spans="1:46">
      <c r="A16" s="36">
        <v>15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L16+IFERROR(VLOOKUP($E:$E,'（居民）工资表-7月'!$E:$S,15,0),0)</f>
        <v>28350.3</v>
      </c>
      <c r="T16" s="91">
        <f>5000+IFERROR(VLOOKUP($E:$E,'（居民）工资表-7月'!$E:$T,16,0),0)</f>
        <v>25000</v>
      </c>
      <c r="U16" s="91">
        <f>Q16+IFERROR(VLOOKUP($E:$E,'（居民）工资表-7月'!$E:$U,17,0),0)</f>
        <v>3315.42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34.88</v>
      </c>
      <c r="AE16" s="96">
        <f>ROUND(MAX((AD16)*{0.03;0.1;0.2;0.25;0.3;0.35;0.45}-{0;2520;16920;31920;52920;85920;181920},0),2)</f>
        <v>1.05</v>
      </c>
      <c r="AF16" s="97">
        <f>IFERROR(VLOOKUP(E:E,'（居民）工资表-7月'!E:AF,28,0)+VLOOKUP(E:E,'（居民）工资表-7月'!E:AG,29,0),0)</f>
        <v>0</v>
      </c>
      <c r="AG16" s="97">
        <f>IF((AE16-AF16)&lt;0,0,AE16-AF16)</f>
        <v>1.05</v>
      </c>
      <c r="AH16" s="107">
        <f t="shared" si="4"/>
        <v>7046.38</v>
      </c>
      <c r="AI16" s="108"/>
      <c r="AJ16" s="107">
        <f t="shared" si="5"/>
        <v>7046.38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IF(SUMPRODUCT(N(E$1:E$18=E16))&gt;1,"重复","不")</f>
        <v>不</v>
      </c>
      <c r="AT16" s="116" t="str">
        <f>IF(SUMPRODUCT(N(AO$1:AO$18=AO16))&gt;1,"重复","不")</f>
        <v>重复</v>
      </c>
    </row>
    <row r="17" s="12" customFormat="1" ht="19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9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122707.97</v>
      </c>
      <c r="M18" s="74">
        <f>SUM(M4:M17)</f>
        <v>4671.85</v>
      </c>
      <c r="N18" s="74">
        <f>SUM(N4:N17)</f>
        <v>1295.96</v>
      </c>
      <c r="O18" s="74">
        <f t="shared" ref="O18:AL18" si="10">SUM(O4:O17)</f>
        <v>245.04</v>
      </c>
      <c r="P18" s="74">
        <f t="shared" si="10"/>
        <v>2246.9</v>
      </c>
      <c r="Q18" s="74">
        <f t="shared" si="10"/>
        <v>8459.75</v>
      </c>
      <c r="R18" s="74">
        <f t="shared" si="10"/>
        <v>0</v>
      </c>
      <c r="S18" s="74">
        <f t="shared" si="10"/>
        <v>1056347.88</v>
      </c>
      <c r="T18" s="74">
        <f t="shared" si="10"/>
        <v>565000</v>
      </c>
      <c r="U18" s="74">
        <f t="shared" si="10"/>
        <v>75171.21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416176.67</v>
      </c>
      <c r="AE18" s="74">
        <f t="shared" si="10"/>
        <v>33472.59</v>
      </c>
      <c r="AF18" s="74">
        <f t="shared" si="10"/>
        <v>27542.93</v>
      </c>
      <c r="AG18" s="74">
        <f t="shared" si="10"/>
        <v>5929.66</v>
      </c>
      <c r="AH18" s="74">
        <f t="shared" si="10"/>
        <v>108318.56</v>
      </c>
      <c r="AI18" s="74">
        <f t="shared" si="10"/>
        <v>0</v>
      </c>
      <c r="AJ18" s="74">
        <f t="shared" si="10"/>
        <v>108318.56</v>
      </c>
      <c r="AK18" s="74">
        <f t="shared" si="10"/>
        <v>0</v>
      </c>
      <c r="AL18" s="74">
        <f t="shared" si="10"/>
        <v>114248.22</v>
      </c>
      <c r="AM18" s="110"/>
      <c r="AN18" s="110"/>
      <c r="AO18" s="110"/>
      <c r="AP18" s="110"/>
      <c r="AQ18" s="110"/>
      <c r="AR18" s="45"/>
      <c r="AS18" s="45"/>
      <c r="AT18" s="118"/>
    </row>
    <row r="19" ht="19" customHeight="1"/>
    <row r="20" ht="19" customHeight="1"/>
    <row r="21" ht="19" customHeight="1" spans="30:30">
      <c r="AD21" s="101"/>
    </row>
    <row r="22" ht="19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9" customHeight="1" spans="2:5">
      <c r="B23" s="48">
        <f>AJ18</f>
        <v>108318.56</v>
      </c>
      <c r="C23" s="48">
        <f>AG18</f>
        <v>5929.66</v>
      </c>
      <c r="D23" s="48">
        <f>AK18</f>
        <v>0</v>
      </c>
      <c r="E23" s="48">
        <f>B23+C23+D23</f>
        <v>114248.22</v>
      </c>
    </row>
    <row r="24" ht="19" customHeight="1" spans="2:5">
      <c r="B24" s="49"/>
      <c r="C24" s="49"/>
      <c r="D24" s="49"/>
      <c r="E24" s="49"/>
    </row>
    <row r="25" s="14" customFormat="1" ht="19" customHeigh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ht="19" customHeigh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1" si="0">ROUND(SUM(M4:P4),2)</f>
        <v>621.03</v>
      </c>
      <c r="R4" s="70">
        <v>0</v>
      </c>
      <c r="S4" s="90">
        <f>L4+IFERROR(VLOOKUP($E:$E,'（居民）工资表-9月'!$E:$S,15,0),0)</f>
        <v>80000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6035.78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-35.78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647.56</v>
      </c>
      <c r="AG4" s="97">
        <f t="shared" ref="AG4:AG11" si="3">IF((AE4-AF4)&lt;0,0,AE4-AF4)</f>
        <v>0</v>
      </c>
      <c r="AH4" s="107">
        <f t="shared" ref="AH4:AH11" si="4">ROUND(IF((L4-Q4-AG4)&lt;0,0,(L4-Q4-AG4)),2)</f>
        <v>7378.97</v>
      </c>
      <c r="AI4" s="108"/>
      <c r="AJ4" s="107">
        <f t="shared" ref="AJ4:AJ11" si="5">AH4+AI4</f>
        <v>7378.97</v>
      </c>
      <c r="AK4" s="109"/>
      <c r="AL4" s="107">
        <f t="shared" ref="AL4:AL11" si="6">AJ4+AG4+AK4</f>
        <v>7378.97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L5+IFERROR(VLOOKUP($E:$E,'（居民）工资表-9月'!$E:$S,15,0),0)</f>
        <v>59400</v>
      </c>
      <c r="T5" s="91">
        <f>5000+IFERROR(VLOOKUP($E:$E,'（居民）工资表-9月'!$E:$T,16,0),0)</f>
        <v>50000</v>
      </c>
      <c r="U5" s="91">
        <f>Q5+IFERROR(VLOOKUP($E:$E,'（居民）工资表-9月'!$E:$U,17,0),0)</f>
        <v>6628.84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2771.16</v>
      </c>
      <c r="AE5" s="96">
        <f>ROUND(MAX((AD5)*{0.03;0.1;0.2;0.25;0.3;0.35;0.45}-{0;2520;16920;31920;52920;85920;181920},0),2)</f>
        <v>83.13</v>
      </c>
      <c r="AF5" s="97">
        <f>IFERROR(VLOOKUP(E:E,'（居民）工资表-9月'!E:AF,28,0)+VLOOKUP(E:E,'（居民）工资表-9月'!E:AG,29,0),0)</f>
        <v>70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L6+IFERROR(VLOOKUP($E:$E,'（居民）工资表-9月'!$E:$S,15,0),0)</f>
        <v>300600</v>
      </c>
      <c r="T6" s="91">
        <f>5000+IFERROR(VLOOKUP($E:$E,'（居民）工资表-9月'!$E:$T,16,0),0)</f>
        <v>50000</v>
      </c>
      <c r="U6" s="91">
        <f>Q6+IFERROR(VLOOKUP($E:$E,'（居民）工资表-9月'!$E:$U,17,0),0)</f>
        <v>9559.35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241040.65</v>
      </c>
      <c r="AE6" s="96">
        <f>ROUND(MAX((AD6)*{0.03;0.1;0.2;0.25;0.3;0.35;0.45}-{0;2520;16920;31920;52920;85920;181920},0),2)</f>
        <v>31288.13</v>
      </c>
      <c r="AF6" s="97">
        <f>IFERROR(VLOOKUP(E:E,'（居民）工资表-9月'!E:AF,28,0)+VLOOKUP(E:E,'（居民）工资表-9月'!E:AG,29,0),0)</f>
        <v>26468.79</v>
      </c>
      <c r="AG6" s="97">
        <f t="shared" si="3"/>
        <v>4819.34</v>
      </c>
      <c r="AH6" s="107">
        <f t="shared" si="4"/>
        <v>24277.34</v>
      </c>
      <c r="AI6" s="108"/>
      <c r="AJ6" s="107">
        <f t="shared" si="5"/>
        <v>24277.34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504.56</v>
      </c>
      <c r="N7" s="71">
        <v>139.8</v>
      </c>
      <c r="O7" s="71">
        <v>31.54</v>
      </c>
      <c r="P7" s="71">
        <v>97</v>
      </c>
      <c r="Q7" s="89">
        <f t="shared" si="0"/>
        <v>772.9</v>
      </c>
      <c r="R7" s="70">
        <v>0</v>
      </c>
      <c r="S7" s="90">
        <f>L7+IFERROR(VLOOKUP($E:$E,'（居民）工资表-9月'!$E:$S,15,0),0)</f>
        <v>90000</v>
      </c>
      <c r="T7" s="91">
        <f>5000+IFERROR(VLOOKUP($E:$E,'（居民）工资表-9月'!$E:$T,16,0),0)</f>
        <v>50000</v>
      </c>
      <c r="U7" s="91">
        <f>Q7+IFERROR(VLOOKUP($E:$E,'（居民）工资表-9月'!$E:$U,17,0),0)</f>
        <v>5544.58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34455.42</v>
      </c>
      <c r="AE7" s="96">
        <f>ROUND(MAX((AD7)*{0.03;0.1;0.2;0.25;0.3;0.35;0.45}-{0;2520;16920;31920;52920;85920;181920},0),2)</f>
        <v>1033.66</v>
      </c>
      <c r="AF7" s="97">
        <f>IFERROR(VLOOKUP(E:E,'（居民）工资表-9月'!E:AF,28,0)+VLOOKUP(E:E,'（居民）工资表-9月'!E:AG,29,0),0)</f>
        <v>936.85</v>
      </c>
      <c r="AG7" s="97">
        <f t="shared" si="3"/>
        <v>96.8100000000001</v>
      </c>
      <c r="AH7" s="107">
        <f t="shared" si="4"/>
        <v>8130.29</v>
      </c>
      <c r="AI7" s="108"/>
      <c r="AJ7" s="107">
        <f t="shared" si="5"/>
        <v>8130.29</v>
      </c>
      <c r="AK7" s="109"/>
      <c r="AL7" s="107">
        <f t="shared" si="6"/>
        <v>8227.1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504.56</v>
      </c>
      <c r="N8" s="71">
        <v>132.14</v>
      </c>
      <c r="O8" s="71">
        <v>31.54</v>
      </c>
      <c r="P8" s="71">
        <v>344</v>
      </c>
      <c r="Q8" s="89">
        <f t="shared" si="0"/>
        <v>1012.24</v>
      </c>
      <c r="R8" s="70">
        <v>0</v>
      </c>
      <c r="S8" s="90">
        <f>L8+IFERROR(VLOOKUP($E:$E,'（居民）工资表-9月'!$E:$S,15,0),0)</f>
        <v>108000</v>
      </c>
      <c r="T8" s="91">
        <f>5000+IFERROR(VLOOKUP($E:$E,'（居民）工资表-9月'!$E:$T,16,0),0)</f>
        <v>50000</v>
      </c>
      <c r="U8" s="91">
        <f>Q8+IFERROR(VLOOKUP($E:$E,'（居民）工资表-9月'!$E:$U,17,0),0)</f>
        <v>7982.08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50017.92</v>
      </c>
      <c r="AE8" s="96">
        <f>ROUND(MAX((AD8)*{0.03;0.1;0.2;0.25;0.3;0.35;0.45}-{0;2520;16920;31920;52920;85920;181920},0),2)</f>
        <v>2481.79</v>
      </c>
      <c r="AF8" s="97">
        <f>IFERROR(VLOOKUP(E:E,'（居民）工资表-9月'!E:AF,28,0)+VLOOKUP(E:E,'（居民）工资表-9月'!E:AG,29,0),0)</f>
        <v>2033.02</v>
      </c>
      <c r="AG8" s="97">
        <f t="shared" si="3"/>
        <v>448.77</v>
      </c>
      <c r="AH8" s="107">
        <f t="shared" si="4"/>
        <v>9038.99</v>
      </c>
      <c r="AI8" s="108"/>
      <c r="AJ8" s="107">
        <f t="shared" si="5"/>
        <v>9038.99</v>
      </c>
      <c r="AK8" s="109"/>
      <c r="AL8" s="107">
        <f t="shared" si="6"/>
        <v>9487.76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105.82</v>
      </c>
      <c r="O9" s="71">
        <v>12.16</v>
      </c>
      <c r="P9" s="71">
        <v>100</v>
      </c>
      <c r="Q9" s="89">
        <f t="shared" si="0"/>
        <v>542.22</v>
      </c>
      <c r="R9" s="70">
        <v>0</v>
      </c>
      <c r="S9" s="90">
        <f>L9+IFERROR(VLOOKUP($E:$E,'（居民）工资表-9月'!$E:$S,15,0),0)</f>
        <v>65000</v>
      </c>
      <c r="T9" s="91">
        <f>5000+IFERROR(VLOOKUP($E:$E,'（居民）工资表-9月'!$E:$T,16,0),0)</f>
        <v>50000</v>
      </c>
      <c r="U9" s="91">
        <f>Q9+IFERROR(VLOOKUP($E:$E,'（居民）工资表-9月'!$E:$U,17,0),0)</f>
        <v>5333.38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9666.62</v>
      </c>
      <c r="AE9" s="96">
        <f>ROUND(MAX((AD9)*{0.03;0.1;0.2;0.25;0.3;0.35;0.45}-{0;2520;16920;31920;52920;85920;181920},0),2)</f>
        <v>290</v>
      </c>
      <c r="AF9" s="97">
        <f>IFERROR(VLOOKUP(E:E,'（居民）工资表-9月'!E:AF,28,0)+VLOOKUP(E:E,'（居民）工资表-9月'!E:AG,29,0),0)</f>
        <v>261.27</v>
      </c>
      <c r="AG9" s="97">
        <f t="shared" si="3"/>
        <v>28.73</v>
      </c>
      <c r="AH9" s="107">
        <f t="shared" si="4"/>
        <v>5929.05</v>
      </c>
      <c r="AI9" s="108"/>
      <c r="AJ9" s="107">
        <f t="shared" si="5"/>
        <v>5929.05</v>
      </c>
      <c r="AK9" s="109"/>
      <c r="AL9" s="107">
        <f t="shared" si="6"/>
        <v>5957.78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L10+IFERROR(VLOOKUP($E:$E,'（居民）工资表-9月'!$E:$S,15,0),0)</f>
        <v>44939.92</v>
      </c>
      <c r="T10" s="91">
        <f>5000+IFERROR(VLOOKUP($E:$E,'（居民）工资表-9月'!$E:$T,16,0),0)</f>
        <v>50000</v>
      </c>
      <c r="U10" s="91">
        <f>Q10+IFERROR(VLOOKUP($E:$E,'（居民）工资表-9月'!$E:$U,17,0),0)</f>
        <v>6443.64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-11503.72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207</v>
      </c>
    </row>
    <row r="11" s="12" customFormat="1" ht="18" customHeight="1" spans="1:49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504.56</v>
      </c>
      <c r="N11" s="71">
        <v>166.14</v>
      </c>
      <c r="O11" s="71">
        <v>31.54</v>
      </c>
      <c r="P11" s="71">
        <v>97</v>
      </c>
      <c r="Q11" s="89">
        <f t="shared" ref="Q11:Q19" si="10">ROUND(SUM(M11:P11),2)</f>
        <v>799.24</v>
      </c>
      <c r="R11" s="70">
        <v>0</v>
      </c>
      <c r="S11" s="90">
        <f>L11+IFERROR(VLOOKUP($E:$E,'（居民）工资表-9月'!$E:$S,15,0),0)</f>
        <v>88000</v>
      </c>
      <c r="T11" s="91">
        <f>5000+IFERROR(VLOOKUP($E:$E,'（居民）工资表-9月'!$E:$T,16,0),0)</f>
        <v>50000</v>
      </c>
      <c r="U11" s="91">
        <f>Q11+IFERROR(VLOOKUP($E:$E,'（居民）工资表-9月'!$E:$U,17,0),0)</f>
        <v>5852.08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32147.92</v>
      </c>
      <c r="AE11" s="96">
        <f>ROUND(MAX((AD11)*{0.03;0.1;0.2;0.25;0.3;0.35;0.45}-{0;2520;16920;31920;52920;85920;181920},0),2)</f>
        <v>964.44</v>
      </c>
      <c r="AF11" s="97">
        <f>IFERROR(VLOOKUP(E:E,'（居民）工资表-9月'!E:AF,28,0)+VLOOKUP(E:E,'（居民）工资表-9月'!E:AG,29,0),0)</f>
        <v>868.41</v>
      </c>
      <c r="AG11" s="97">
        <f t="shared" ref="AG11:AG19" si="13">IF((AE11-AF11)&lt;0,0,AE11-AF11)</f>
        <v>96.0300000000001</v>
      </c>
      <c r="AH11" s="107">
        <f t="shared" ref="AH11:AH19" si="14">ROUND(IF((L11-Q11-AG11)&lt;0,0,(L11-Q11-AG11)),2)</f>
        <v>8104.73</v>
      </c>
      <c r="AI11" s="108"/>
      <c r="AJ11" s="107">
        <f t="shared" ref="AJ11:AJ19" si="15">AH11+AI11</f>
        <v>8104.73</v>
      </c>
      <c r="AK11" s="109"/>
      <c r="AL11" s="107">
        <f t="shared" ref="AL11:AL19" si="16">AJ11+AG11+AK11</f>
        <v>8200.76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170</v>
      </c>
      <c r="AW11" s="12" t="s">
        <v>171</v>
      </c>
    </row>
    <row r="12" s="12" customFormat="1" ht="18" customHeight="1" spans="1:49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504.56</v>
      </c>
      <c r="N12" s="71">
        <v>132.14</v>
      </c>
      <c r="O12" s="71">
        <v>31.54</v>
      </c>
      <c r="P12" s="71">
        <v>344</v>
      </c>
      <c r="Q12" s="89">
        <f t="shared" si="10"/>
        <v>1012.24</v>
      </c>
      <c r="R12" s="70">
        <v>0</v>
      </c>
      <c r="S12" s="90">
        <f>L12+IFERROR(VLOOKUP($E:$E,'（居民）工资表-9月'!$E:$S,15,0),0)</f>
        <v>73000</v>
      </c>
      <c r="T12" s="91">
        <f>5000+IFERROR(VLOOKUP($E:$E,'（居民）工资表-9月'!$E:$T,16,0),0)</f>
        <v>50000</v>
      </c>
      <c r="U12" s="91">
        <f>Q12+IFERROR(VLOOKUP($E:$E,'（居民）工资表-9月'!$E:$U,17,0),0)</f>
        <v>7982.08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15017.92</v>
      </c>
      <c r="AE12" s="96">
        <f>ROUND(MAX((AD12)*{0.03;0.1;0.2;0.25;0.3;0.35;0.45}-{0;2520;16920;31920;52920;85920;181920},0),2)</f>
        <v>450.54</v>
      </c>
      <c r="AF12" s="97">
        <f>IFERROR(VLOOKUP(E:E,'（居民）工资表-9月'!E:AF,28,0)+VLOOKUP(E:E,'（居民）工资表-9月'!E:AG,29,0),0)</f>
        <v>405.9</v>
      </c>
      <c r="AG12" s="97">
        <f t="shared" si="13"/>
        <v>44.64</v>
      </c>
      <c r="AH12" s="107">
        <f t="shared" si="14"/>
        <v>6443.12</v>
      </c>
      <c r="AI12" s="108"/>
      <c r="AJ12" s="107">
        <f t="shared" si="15"/>
        <v>6443.12</v>
      </c>
      <c r="AK12" s="109"/>
      <c r="AL12" s="107">
        <f t="shared" si="16"/>
        <v>6487.76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504.56</v>
      </c>
      <c r="N13" s="71">
        <v>132.14</v>
      </c>
      <c r="O13" s="71">
        <v>41.24</v>
      </c>
      <c r="P13" s="71">
        <v>344</v>
      </c>
      <c r="Q13" s="89">
        <f t="shared" si="10"/>
        <v>1021.94</v>
      </c>
      <c r="R13" s="70">
        <v>0</v>
      </c>
      <c r="S13" s="90">
        <f>L13+IFERROR(VLOOKUP($E:$E,'（居民）工资表-9月'!$E:$S,15,0),0)</f>
        <v>76608.7</v>
      </c>
      <c r="T13" s="91">
        <f>5000+IFERROR(VLOOKUP($E:$E,'（居民）工资表-9月'!$E:$T,16,0),0)</f>
        <v>50000</v>
      </c>
      <c r="U13" s="91">
        <f>Q13+IFERROR(VLOOKUP($E:$E,'（居民）工资表-9月'!$E:$U,17,0),0)</f>
        <v>7991.78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18616.92</v>
      </c>
      <c r="AE13" s="96">
        <f>ROUND(MAX((AD13)*{0.03;0.1;0.2;0.25;0.3;0.35;0.45}-{0;2520;16920;31920;52920;85920;181920},0),2)</f>
        <v>558.51</v>
      </c>
      <c r="AF13" s="97">
        <f>IFERROR(VLOOKUP(E:E,'（居民）工资表-9月'!E:AF,28,0)+VLOOKUP(E:E,'（居民）工资表-9月'!E:AG,29,0),0)</f>
        <v>499.17</v>
      </c>
      <c r="AG13" s="97">
        <f t="shared" si="13"/>
        <v>59.34</v>
      </c>
      <c r="AH13" s="107">
        <f t="shared" si="14"/>
        <v>6918.72</v>
      </c>
      <c r="AI13" s="108"/>
      <c r="AJ13" s="107">
        <f t="shared" si="15"/>
        <v>6918.72</v>
      </c>
      <c r="AK13" s="109"/>
      <c r="AL13" s="107">
        <f t="shared" si="16"/>
        <v>6978.06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504.56</v>
      </c>
      <c r="N14" s="71">
        <v>126.14</v>
      </c>
      <c r="O14" s="71">
        <v>31.54</v>
      </c>
      <c r="P14" s="71">
        <v>103</v>
      </c>
      <c r="Q14" s="89">
        <f t="shared" si="10"/>
        <v>765.24</v>
      </c>
      <c r="R14" s="70">
        <v>0</v>
      </c>
      <c r="S14" s="90">
        <f>L14+IFERROR(VLOOKUP($E:$E,'（居民）工资表-9月'!$E:$S,15,0),0)</f>
        <v>60000</v>
      </c>
      <c r="T14" s="91">
        <f>5000+IFERROR(VLOOKUP($E:$E,'（居民）工资表-9月'!$E:$T,16,0),0)</f>
        <v>50000</v>
      </c>
      <c r="U14" s="91">
        <f>Q14+IFERROR(VLOOKUP($E:$E,'（居民）工资表-9月'!$E:$U,17,0),0)</f>
        <v>5512.08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4487.92</v>
      </c>
      <c r="AE14" s="96">
        <f>ROUND(MAX((AD14)*{0.03;0.1;0.2;0.25;0.3;0.35;0.45}-{0;2520;16920;31920;52920;85920;181920},0),2)</f>
        <v>134.64</v>
      </c>
      <c r="AF14" s="97">
        <f>IFERROR(VLOOKUP(E:E,'（居民）工资表-9月'!E:AF,28,0)+VLOOKUP(E:E,'（居民）工资表-9月'!E:AG,29,0),0)</f>
        <v>127.59</v>
      </c>
      <c r="AG14" s="97">
        <f t="shared" si="13"/>
        <v>7.04999999999998</v>
      </c>
      <c r="AH14" s="107">
        <f t="shared" si="14"/>
        <v>5227.71</v>
      </c>
      <c r="AI14" s="108"/>
      <c r="AJ14" s="107">
        <f t="shared" si="15"/>
        <v>5227.71</v>
      </c>
      <c r="AK14" s="109"/>
      <c r="AL14" s="107">
        <f t="shared" si="16"/>
        <v>5234.76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504.56</v>
      </c>
      <c r="N15" s="71">
        <v>139.8</v>
      </c>
      <c r="O15" s="71">
        <v>31.54</v>
      </c>
      <c r="P15" s="71">
        <v>97</v>
      </c>
      <c r="Q15" s="89">
        <f t="shared" si="10"/>
        <v>772.9</v>
      </c>
      <c r="R15" s="70">
        <v>0</v>
      </c>
      <c r="S15" s="90">
        <f>L15+IFERROR(VLOOKUP($E:$E,'（居民）工资表-9月'!$E:$S,15,0),0)</f>
        <v>97556.93</v>
      </c>
      <c r="T15" s="91">
        <f>5000+IFERROR(VLOOKUP($E:$E,'（居民）工资表-9月'!$E:$T,16,0),0)</f>
        <v>50000</v>
      </c>
      <c r="U15" s="91">
        <f>Q15+IFERROR(VLOOKUP($E:$E,'（居民）工资表-9月'!$E:$U,17,0),0)</f>
        <v>6600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40956.93</v>
      </c>
      <c r="AE15" s="96">
        <f>ROUND(MAX((AD15)*{0.03;0.1;0.2;0.25;0.3;0.35;0.45}-{0;2520;16920;31920;52920;85920;181920},0),2)</f>
        <v>1575.69</v>
      </c>
      <c r="AF15" s="97">
        <f>IFERROR(VLOOKUP(E:E,'（居民）工资表-9月'!E:AF,28,0)+VLOOKUP(E:E,'（居民）工资表-9月'!E:AG,29,0),0)</f>
        <v>1152.98</v>
      </c>
      <c r="AG15" s="97">
        <f t="shared" si="13"/>
        <v>422.71</v>
      </c>
      <c r="AH15" s="107">
        <f t="shared" si="14"/>
        <v>8804.39</v>
      </c>
      <c r="AI15" s="108"/>
      <c r="AJ15" s="107">
        <f t="shared" si="15"/>
        <v>8804.39</v>
      </c>
      <c r="AK15" s="109"/>
      <c r="AL15" s="107">
        <f t="shared" si="16"/>
        <v>9227.1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7560.35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10"/>
        <v>552.57</v>
      </c>
      <c r="R16" s="70">
        <v>0</v>
      </c>
      <c r="S16" s="90">
        <f>L16+IFERROR(VLOOKUP($E:$E,'（居民）工资表-9月'!$E:$S,15,0),0)</f>
        <v>35910.65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3867.99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2042.66</v>
      </c>
      <c r="AE16" s="96">
        <f>ROUND(MAX((AD16)*{0.03;0.1;0.2;0.25;0.3;0.35;0.45}-{0;2520;16920;31920;52920;85920;181920},0),2)</f>
        <v>61.28</v>
      </c>
      <c r="AF16" s="97">
        <f>IFERROR(VLOOKUP(E:E,'（居民）工资表-9月'!E:AF,28,0)+VLOOKUP(E:E,'（居民）工资表-9月'!E:AG,29,0),0)</f>
        <v>1.05</v>
      </c>
      <c r="AG16" s="97">
        <f t="shared" si="13"/>
        <v>60.23</v>
      </c>
      <c r="AH16" s="107">
        <f t="shared" si="14"/>
        <v>6947.55</v>
      </c>
      <c r="AI16" s="108"/>
      <c r="AJ16" s="107">
        <f t="shared" si="15"/>
        <v>6947.55</v>
      </c>
      <c r="AK16" s="109"/>
      <c r="AL16" s="107">
        <f t="shared" si="16"/>
        <v>7007.78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6">
      <c r="A17" s="36"/>
      <c r="B17" s="37"/>
      <c r="C17" s="128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122668.32</v>
      </c>
      <c r="M18" s="74">
        <f>SUM(M4:M17)</f>
        <v>5953.13</v>
      </c>
      <c r="N18" s="74">
        <f>SUM(N4:N17)</f>
        <v>1641.6</v>
      </c>
      <c r="O18" s="74">
        <f>SUM(O4:O17)</f>
        <v>334.82</v>
      </c>
      <c r="P18" s="74">
        <f>SUM(P4:P17)</f>
        <v>2232.9</v>
      </c>
      <c r="Q18" s="74">
        <f t="shared" ref="Q18:AL18" si="20">SUM(Q4:Q17)</f>
        <v>10162.45</v>
      </c>
      <c r="R18" s="74">
        <f t="shared" si="20"/>
        <v>0</v>
      </c>
      <c r="S18" s="74">
        <f t="shared" si="20"/>
        <v>1179016.2</v>
      </c>
      <c r="T18" s="74">
        <f t="shared" si="20"/>
        <v>630000</v>
      </c>
      <c r="U18" s="74">
        <f t="shared" si="20"/>
        <v>85333.66</v>
      </c>
      <c r="V18" s="74">
        <f t="shared" si="20"/>
        <v>10000</v>
      </c>
      <c r="W18" s="74">
        <f t="shared" si="20"/>
        <v>0</v>
      </c>
      <c r="X18" s="74">
        <f t="shared" si="20"/>
        <v>10000</v>
      </c>
      <c r="Y18" s="74">
        <f t="shared" si="20"/>
        <v>0</v>
      </c>
      <c r="Z18" s="74">
        <f t="shared" si="20"/>
        <v>4000</v>
      </c>
      <c r="AA18" s="74">
        <f t="shared" si="20"/>
        <v>0</v>
      </c>
      <c r="AB18" s="74">
        <f t="shared" si="20"/>
        <v>24000</v>
      </c>
      <c r="AC18" s="74">
        <f t="shared" si="20"/>
        <v>0</v>
      </c>
      <c r="AD18" s="74">
        <f t="shared" si="20"/>
        <v>439682.54</v>
      </c>
      <c r="AE18" s="74">
        <f t="shared" si="20"/>
        <v>38921.81</v>
      </c>
      <c r="AF18" s="74">
        <f t="shared" si="20"/>
        <v>33472.59</v>
      </c>
      <c r="AG18" s="74">
        <f t="shared" si="20"/>
        <v>6096.78</v>
      </c>
      <c r="AH18" s="74">
        <f t="shared" si="20"/>
        <v>106409.09</v>
      </c>
      <c r="AI18" s="74">
        <f t="shared" si="20"/>
        <v>0</v>
      </c>
      <c r="AJ18" s="74">
        <f t="shared" si="20"/>
        <v>106409.09</v>
      </c>
      <c r="AK18" s="74">
        <f t="shared" si="20"/>
        <v>0</v>
      </c>
      <c r="AL18" s="74">
        <f t="shared" si="20"/>
        <v>112505.87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106409.09</v>
      </c>
      <c r="C23" s="48">
        <f>AG18</f>
        <v>6096.78</v>
      </c>
      <c r="D23" s="48">
        <f>AK18</f>
        <v>0</v>
      </c>
      <c r="E23" s="48">
        <f>B23+C23+D23</f>
        <v>112505.87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17">
    <cfRule type="duplicateValues" dxfId="4" priority="1"/>
  </conditionalFormatting>
  <conditionalFormatting sqref="B30">
    <cfRule type="duplicateValues" dxfId="4" priority="3" stopIfTrue="1"/>
  </conditionalFormatting>
  <conditionalFormatting sqref="B25:B29">
    <cfRule type="duplicateValues" dxfId="4" priority="4" stopIfTrue="1"/>
  </conditionalFormatting>
  <conditionalFormatting sqref="B33:B34">
    <cfRule type="duplicateValues" dxfId="4" priority="2" stopIfTrue="1"/>
  </conditionalFormatting>
  <conditionalFormatting sqref="C22:C24">
    <cfRule type="duplicateValues" dxfId="4" priority="5" stopIfTrue="1"/>
    <cfRule type="expression" dxfId="5" priority="6" stopIfTrue="1">
      <formula>AND(COUNTIF($B$18:$B$65454,C22)+COUNTIF($B$1:$B$3,C22)&gt;1,NOT(ISBLANK(C22)))</formula>
    </cfRule>
    <cfRule type="expression" dxfId="5" priority="7" stopIfTrue="1">
      <formula>AND(COUNTIF($B$29:$B$65405,C22)+COUNTIF($B$1:$B$28,C22)&gt;1,NOT(ISBLANK(C22)))</formula>
    </cfRule>
    <cfRule type="expression" dxfId="5" priority="8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6" si="0">ROUND(SUM(M4:P4),2)</f>
        <v>621.03</v>
      </c>
      <c r="R4" s="70">
        <v>0</v>
      </c>
      <c r="S4" s="90">
        <f>L4+IFERROR(VLOOKUP($E:$E,'（居民）工资表-10月'!$E:$S,15,0),0)</f>
        <v>88000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6656.81</v>
      </c>
      <c r="V4" s="70"/>
      <c r="W4" s="70"/>
      <c r="X4" s="70"/>
      <c r="Y4" s="70"/>
      <c r="Z4" s="70"/>
      <c r="AA4" s="70"/>
      <c r="AB4" s="90">
        <f t="shared" ref="AB4:AB16" si="1">ROUND(SUM(V4:AA4),2)</f>
        <v>0</v>
      </c>
      <c r="AC4" s="90">
        <f>R4+IFERROR(VLOOKUP($E:$E,'（居民）工资表-10月'!$E:$AC,25,0),0)</f>
        <v>0</v>
      </c>
      <c r="AD4" s="95">
        <f t="shared" ref="AD4:AD16" si="2">ROUND(S4-T4-U4-AB4-AC4,2)</f>
        <v>26343.19</v>
      </c>
      <c r="AE4" s="96">
        <f>ROUND(MAX((AD4)*{0.03;0.1;0.2;0.25;0.3;0.35;0.45}-{0;2520;16920;31920;52920;85920;181920},0),2)</f>
        <v>790.3</v>
      </c>
      <c r="AF4" s="97">
        <f>IFERROR(VLOOKUP(E:E,'（居民）工资表-10月'!E:AF,28,0)+VLOOKUP(E:E,'（居民）工资表-10月'!E:AG,29,0),0)</f>
        <v>647.56</v>
      </c>
      <c r="AG4" s="97">
        <f>IF((AE4-AF4)&lt;0,0,AE4-AF4)</f>
        <v>142.74</v>
      </c>
      <c r="AH4" s="107">
        <f t="shared" ref="AH4:AH16" si="3">ROUND(IF((L4-Q4-AG4)&lt;0,0,(L4-Q4-AG4)),2)</f>
        <v>7236.23</v>
      </c>
      <c r="AI4" s="108"/>
      <c r="AJ4" s="107">
        <f t="shared" ref="AJ4:AJ16" si="4">AH4+AI4</f>
        <v>7236.23</v>
      </c>
      <c r="AK4" s="109"/>
      <c r="AL4" s="107">
        <f t="shared" ref="AL4:AL16" si="5">AJ4+AG4+AK4</f>
        <v>7378.97</v>
      </c>
      <c r="AM4" s="109"/>
      <c r="AN4" s="109"/>
      <c r="AO4" s="109"/>
      <c r="AP4" s="109"/>
      <c r="AQ4" s="109"/>
      <c r="AR4" s="116" t="str">
        <f t="shared" ref="AR4:AR16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L5+IFERROR(VLOOKUP($E:$E,'（居民）工资表-10月'!$E:$S,15,0),0)</f>
        <v>65500</v>
      </c>
      <c r="T5" s="91">
        <f>5000+IFERROR(VLOOKUP($E:$E,'（居民）工资表-10月'!$E:$T,16,0),0)</f>
        <v>55000</v>
      </c>
      <c r="U5" s="91">
        <f>Q5+IFERROR(VLOOKUP($E:$E,'（居民）工资表-10月'!$E:$U,17,0),0)</f>
        <v>7291.08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3208.92</v>
      </c>
      <c r="AE5" s="96">
        <f>ROUND(MAX((AD5)*{0.03;0.1;0.2;0.25;0.3;0.35;0.45}-{0;2520;16920;31920;52920;85920;181920},0),2)</f>
        <v>96.27</v>
      </c>
      <c r="AF5" s="97">
        <f>IFERROR(VLOOKUP(E:E,'（居民）工资表-10月'!E:AF,28,0)+VLOOKUP(E:E,'（居民）工资表-10月'!E:AG,29,0),0)</f>
        <v>83.13</v>
      </c>
      <c r="AG5" s="97">
        <f t="shared" ref="AG5:AG16" si="9">IF((AE5-AF5)&lt;0,0,AE5-AF5)</f>
        <v>13.14</v>
      </c>
      <c r="AH5" s="107">
        <f t="shared" si="3"/>
        <v>5424.62</v>
      </c>
      <c r="AI5" s="108"/>
      <c r="AJ5" s="107">
        <f t="shared" si="4"/>
        <v>5424.62</v>
      </c>
      <c r="AK5" s="109"/>
      <c r="AL5" s="107">
        <f t="shared" si="5"/>
        <v>5437.76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L6+IFERROR(VLOOKUP($E:$E,'（居民）工资表-10月'!$E:$S,15,0),0)</f>
        <v>330660</v>
      </c>
      <c r="T6" s="91">
        <f>5000+IFERROR(VLOOKUP($E:$E,'（居民）工资表-10月'!$E:$T,16,0),0)</f>
        <v>55000</v>
      </c>
      <c r="U6" s="91">
        <f>Q6+IFERROR(VLOOKUP($E:$E,'（居民）工资表-10月'!$E:$U,17,0),0)</f>
        <v>10522.67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265137.33</v>
      </c>
      <c r="AE6" s="96">
        <f>ROUND(MAX((AD6)*{0.03;0.1;0.2;0.25;0.3;0.35;0.45}-{0;2520;16920;31920;52920;85920;181920},0),2)</f>
        <v>36107.47</v>
      </c>
      <c r="AF6" s="97">
        <f>IFERROR(VLOOKUP(E:E,'（居民）工资表-10月'!E:AF,28,0)+VLOOKUP(E:E,'（居民）工资表-10月'!E:AG,29,0),0)</f>
        <v>31288.13</v>
      </c>
      <c r="AG6" s="97">
        <f t="shared" si="9"/>
        <v>4819.34</v>
      </c>
      <c r="AH6" s="107">
        <f t="shared" si="3"/>
        <v>24277.34</v>
      </c>
      <c r="AI6" s="108"/>
      <c r="AJ6" s="107">
        <f t="shared" si="4"/>
        <v>24277.34</v>
      </c>
      <c r="AK6" s="109"/>
      <c r="AL6" s="107">
        <f t="shared" si="5"/>
        <v>29096.68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L7+IFERROR(VLOOKUP($E:$E,'（居民）工资表-10月'!$E:$S,15,0),0)</f>
        <v>99000</v>
      </c>
      <c r="T7" s="91">
        <f>5000+IFERROR(VLOOKUP($E:$E,'（居民）工资表-10月'!$E:$T,16,0),0)</f>
        <v>55000</v>
      </c>
      <c r="U7" s="91">
        <f>Q7+IFERROR(VLOOKUP($E:$E,'（居民）工资表-10月'!$E:$U,17,0),0)</f>
        <v>6094.58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37905.42</v>
      </c>
      <c r="AE7" s="96">
        <f>ROUND(MAX((AD7)*{0.03;0.1;0.2;0.25;0.3;0.35;0.45}-{0;2520;16920;31920;52920;85920;181920},0),2)</f>
        <v>1270.54</v>
      </c>
      <c r="AF7" s="97">
        <f>IFERROR(VLOOKUP(E:E,'（居民）工资表-10月'!E:AF,28,0)+VLOOKUP(E:E,'（居民）工资表-10月'!E:AG,29,0),0)</f>
        <v>1033.66</v>
      </c>
      <c r="AG7" s="97">
        <f t="shared" si="9"/>
        <v>236.88</v>
      </c>
      <c r="AH7" s="107">
        <f t="shared" si="3"/>
        <v>8213.12</v>
      </c>
      <c r="AI7" s="108"/>
      <c r="AJ7" s="107">
        <f t="shared" si="4"/>
        <v>8213.12</v>
      </c>
      <c r="AK7" s="109"/>
      <c r="AL7" s="107">
        <f t="shared" si="5"/>
        <v>8450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L8+IFERROR(VLOOKUP($E:$E,'（居民）工资表-10月'!$E:$S,15,0),0)</f>
        <v>118500</v>
      </c>
      <c r="T8" s="91">
        <f>5000+IFERROR(VLOOKUP($E:$E,'（居民）工资表-10月'!$E:$T,16,0),0)</f>
        <v>55000</v>
      </c>
      <c r="U8" s="91">
        <f>Q8+IFERROR(VLOOKUP($E:$E,'（居民）工资表-10月'!$E:$U,17,0),0)</f>
        <v>8775.92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54724.08</v>
      </c>
      <c r="AE8" s="96">
        <f>ROUND(MAX((AD8)*{0.03;0.1;0.2;0.25;0.3;0.35;0.45}-{0;2520;16920;31920;52920;85920;181920},0),2)</f>
        <v>2952.41</v>
      </c>
      <c r="AF8" s="97">
        <f>IFERROR(VLOOKUP(E:E,'（居民）工资表-10月'!E:AF,28,0)+VLOOKUP(E:E,'（居民）工资表-10月'!E:AG,29,0),0)</f>
        <v>2481.79</v>
      </c>
      <c r="AG8" s="97">
        <f t="shared" si="9"/>
        <v>470.62</v>
      </c>
      <c r="AH8" s="107">
        <f t="shared" si="3"/>
        <v>9235.54</v>
      </c>
      <c r="AI8" s="108"/>
      <c r="AJ8" s="107">
        <f t="shared" si="4"/>
        <v>9235.54</v>
      </c>
      <c r="AK8" s="109"/>
      <c r="AL8" s="107">
        <f t="shared" si="5"/>
        <v>9706.16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299.28</v>
      </c>
      <c r="N9" s="71">
        <v>95.54</v>
      </c>
      <c r="O9" s="71">
        <v>11.22</v>
      </c>
      <c r="P9" s="71">
        <v>100</v>
      </c>
      <c r="Q9" s="89">
        <f t="shared" si="0"/>
        <v>506.04</v>
      </c>
      <c r="R9" s="70">
        <v>0</v>
      </c>
      <c r="S9" s="90">
        <f>L9+IFERROR(VLOOKUP($E:$E,'（居民）工资表-10月'!$E:$S,15,0),0)</f>
        <v>71500</v>
      </c>
      <c r="T9" s="91">
        <f>5000+IFERROR(VLOOKUP($E:$E,'（居民）工资表-10月'!$E:$T,16,0),0)</f>
        <v>55000</v>
      </c>
      <c r="U9" s="91">
        <f>Q9+IFERROR(VLOOKUP($E:$E,'（居民）工资表-10月'!$E:$U,17,0),0)</f>
        <v>5839.42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10660.58</v>
      </c>
      <c r="AE9" s="96">
        <f>ROUND(MAX((AD9)*{0.03;0.1;0.2;0.25;0.3;0.35;0.45}-{0;2520;16920;31920;52920;85920;181920},0),2)</f>
        <v>319.82</v>
      </c>
      <c r="AF9" s="97">
        <f>IFERROR(VLOOKUP(E:E,'（居民）工资表-10月'!E:AF,28,0)+VLOOKUP(E:E,'（居民）工资表-10月'!E:AG,29,0),0)</f>
        <v>290</v>
      </c>
      <c r="AG9" s="97">
        <f t="shared" si="9"/>
        <v>29.82</v>
      </c>
      <c r="AH9" s="107">
        <f t="shared" si="3"/>
        <v>5964.14</v>
      </c>
      <c r="AI9" s="108"/>
      <c r="AJ9" s="107">
        <f t="shared" si="4"/>
        <v>5964.14</v>
      </c>
      <c r="AK9" s="109"/>
      <c r="AL9" s="107">
        <f t="shared" si="5"/>
        <v>5993.96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L10+IFERROR(VLOOKUP($E:$E,'（居民）工资表-10月'!$E:$S,15,0),0)</f>
        <v>49387.89</v>
      </c>
      <c r="T10" s="91">
        <f>5000+IFERROR(VLOOKUP($E:$E,'（居民）工资表-10月'!$E:$T,16,0),0)</f>
        <v>55000</v>
      </c>
      <c r="U10" s="91">
        <f>Q10+IFERROR(VLOOKUP($E:$E,'（居民）工资表-10月'!$E:$U,17,0),0)</f>
        <v>7108.01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-12720.12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3783.6</v>
      </c>
      <c r="AI10" s="108"/>
      <c r="AJ10" s="107">
        <f t="shared" si="4"/>
        <v>3783.6</v>
      </c>
      <c r="AK10" s="109"/>
      <c r="AL10" s="107">
        <f t="shared" si="5"/>
        <v>3783.6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L11+IFERROR(VLOOKUP($E:$E,'（居民）工资表-10月'!$E:$S,15,0),0)</f>
        <v>97000</v>
      </c>
      <c r="T11" s="91">
        <f>5000+IFERROR(VLOOKUP($E:$E,'（居民）工资表-10月'!$E:$T,16,0),0)</f>
        <v>55000</v>
      </c>
      <c r="U11" s="91">
        <f>Q11+IFERROR(VLOOKUP($E:$E,'（居民）工资表-10月'!$E:$U,17,0),0)</f>
        <v>6432.92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35567.08</v>
      </c>
      <c r="AE11" s="96">
        <f>ROUND(MAX((AD11)*{0.03;0.1;0.2;0.25;0.3;0.35;0.45}-{0;2520;16920;31920;52920;85920;181920},0),2)</f>
        <v>1067.01</v>
      </c>
      <c r="AF11" s="97">
        <f>IFERROR(VLOOKUP(E:E,'（居民）工资表-10月'!E:AF,28,0)+VLOOKUP(E:E,'（居民）工资表-10月'!E:AG,29,0),0)</f>
        <v>964.44</v>
      </c>
      <c r="AG11" s="97">
        <f t="shared" si="9"/>
        <v>102.57</v>
      </c>
      <c r="AH11" s="107">
        <f t="shared" si="3"/>
        <v>8316.59</v>
      </c>
      <c r="AI11" s="108"/>
      <c r="AJ11" s="107">
        <f t="shared" si="4"/>
        <v>8316.59</v>
      </c>
      <c r="AK11" s="109"/>
      <c r="AL11" s="107">
        <f t="shared" si="5"/>
        <v>8419.16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L12+IFERROR(VLOOKUP($E:$E,'（居民）工资表-10月'!$E:$S,15,0),0)</f>
        <v>80500</v>
      </c>
      <c r="T12" s="91">
        <f>5000+IFERROR(VLOOKUP($E:$E,'（居民）工资表-10月'!$E:$T,16,0),0)</f>
        <v>55000</v>
      </c>
      <c r="U12" s="91">
        <f>Q12+IFERROR(VLOOKUP($E:$E,'（居民）工资表-10月'!$E:$U,17,0),0)</f>
        <v>8775.92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R12+IFERROR(VLOOKUP($E:$E,'（居民）工资表-10月'!$E:$AC,25,0),0)</f>
        <v>0</v>
      </c>
      <c r="AD12" s="95">
        <f t="shared" si="2"/>
        <v>16724.08</v>
      </c>
      <c r="AE12" s="96">
        <f>ROUND(MAX((AD12)*{0.03;0.1;0.2;0.25;0.3;0.35;0.45}-{0;2520;16920;31920;52920;85920;181920},0),2)</f>
        <v>501.72</v>
      </c>
      <c r="AF12" s="97">
        <f>IFERROR(VLOOKUP(E:E,'（居民）工资表-10月'!E:AF,28,0)+VLOOKUP(E:E,'（居民）工资表-10月'!E:AG,29,0),0)</f>
        <v>450.54</v>
      </c>
      <c r="AG12" s="97">
        <f t="shared" si="9"/>
        <v>51.18</v>
      </c>
      <c r="AH12" s="107">
        <f t="shared" si="3"/>
        <v>6654.98</v>
      </c>
      <c r="AI12" s="108"/>
      <c r="AJ12" s="107">
        <f t="shared" si="4"/>
        <v>6654.98</v>
      </c>
      <c r="AK12" s="109"/>
      <c r="AL12" s="107">
        <f t="shared" si="5"/>
        <v>6706.16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>IF(SUMPRODUCT(N(E$1:E$6=E12))&gt;1,"重复","不")</f>
        <v>不</v>
      </c>
      <c r="AT12" s="116" t="str">
        <f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L13+IFERROR(VLOOKUP($E:$E,'（居民）工资表-10月'!$E:$S,15,0),0)</f>
        <v>84608.7</v>
      </c>
      <c r="T13" s="91">
        <f>5000+IFERROR(VLOOKUP($E:$E,'（居民）工资表-10月'!$E:$T,16,0),0)</f>
        <v>55000</v>
      </c>
      <c r="U13" s="91">
        <f>Q13+IFERROR(VLOOKUP($E:$E,'（居民）工资表-10月'!$E:$U,17,0),0)</f>
        <v>8785.62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R13+IFERROR(VLOOKUP($E:$E,'（居民）工资表-10月'!$E:$AC,25,0),0)</f>
        <v>0</v>
      </c>
      <c r="AD13" s="95">
        <f t="shared" si="2"/>
        <v>20823.08</v>
      </c>
      <c r="AE13" s="96">
        <f>ROUND(MAX((AD13)*{0.03;0.1;0.2;0.25;0.3;0.35;0.45}-{0;2520;16920;31920;52920;85920;181920},0),2)</f>
        <v>624.69</v>
      </c>
      <c r="AF13" s="97">
        <f>IFERROR(VLOOKUP(E:E,'（居民）工资表-10月'!E:AF,28,0)+VLOOKUP(E:E,'（居民）工资表-10月'!E:AG,29,0),0)</f>
        <v>558.51</v>
      </c>
      <c r="AG13" s="97">
        <f t="shared" si="9"/>
        <v>66.1800000000001</v>
      </c>
      <c r="AH13" s="107">
        <f t="shared" si="3"/>
        <v>7139.98</v>
      </c>
      <c r="AI13" s="108"/>
      <c r="AJ13" s="107">
        <f t="shared" si="4"/>
        <v>7139.98</v>
      </c>
      <c r="AK13" s="109"/>
      <c r="AL13" s="107">
        <f t="shared" si="5"/>
        <v>7206.16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IF(SUMPRODUCT(N(E$1:E$6=E13))&gt;1,"重复","不")</f>
        <v>不</v>
      </c>
      <c r="AT13" s="116" t="str">
        <f>IF(SUMPRODUCT(N(AO$1:AO$6=AO13))&gt;1,"重复","不")</f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L14+IFERROR(VLOOKUP($E:$E,'（居民）工资表-10月'!$E:$S,15,0),0)</f>
        <v>66000</v>
      </c>
      <c r="T14" s="91">
        <f>5000+IFERROR(VLOOKUP($E:$E,'（居民）工资表-10月'!$E:$T,16,0),0)</f>
        <v>55000</v>
      </c>
      <c r="U14" s="91">
        <f>Q14+IFERROR(VLOOKUP($E:$E,'（居民）工资表-10月'!$E:$U,17,0),0)</f>
        <v>6058.92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R14+IFERROR(VLOOKUP($E:$E,'（居民）工资表-10月'!$E:$AC,25,0),0)</f>
        <v>0</v>
      </c>
      <c r="AD14" s="95">
        <f t="shared" si="2"/>
        <v>4941.08</v>
      </c>
      <c r="AE14" s="96">
        <f>ROUND(MAX((AD14)*{0.03;0.1;0.2;0.25;0.3;0.35;0.45}-{0;2520;16920;31920;52920;85920;181920},0),2)</f>
        <v>148.23</v>
      </c>
      <c r="AF14" s="97">
        <f>IFERROR(VLOOKUP(E:E,'（居民）工资表-10月'!E:AF,28,0)+VLOOKUP(E:E,'（居民）工资表-10月'!E:AG,29,0),0)</f>
        <v>134.64</v>
      </c>
      <c r="AG14" s="97">
        <f t="shared" si="9"/>
        <v>13.59</v>
      </c>
      <c r="AH14" s="107">
        <f t="shared" si="3"/>
        <v>5439.57</v>
      </c>
      <c r="AI14" s="108"/>
      <c r="AJ14" s="107">
        <f t="shared" si="4"/>
        <v>5439.57</v>
      </c>
      <c r="AK14" s="109"/>
      <c r="AL14" s="107">
        <f t="shared" si="5"/>
        <v>5453.16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IF(SUMPRODUCT(N(E$1:E$6=E14))&gt;1,"重复","不")</f>
        <v>不</v>
      </c>
      <c r="AT14" s="116" t="str">
        <f>IF(SUMPRODUCT(N(AO$1:AO$6=AO14))&gt;1,"重复","不")</f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L15+IFERROR(VLOOKUP($E:$E,'（居民）工资表-10月'!$E:$S,15,0),0)</f>
        <v>107556.93</v>
      </c>
      <c r="T15" s="91">
        <f>5000+IFERROR(VLOOKUP($E:$E,'（居民）工资表-10月'!$E:$T,16,0),0)</f>
        <v>55000</v>
      </c>
      <c r="U15" s="91">
        <f>Q15+IFERROR(VLOOKUP($E:$E,'（居民）工资表-10月'!$E:$U,17,0),0)</f>
        <v>7150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R15+IFERROR(VLOOKUP($E:$E,'（居民）工资表-10月'!$E:$AC,25,0),0)</f>
        <v>0</v>
      </c>
      <c r="AD15" s="95">
        <f t="shared" si="2"/>
        <v>45406.93</v>
      </c>
      <c r="AE15" s="96">
        <f>ROUND(MAX((AD15)*{0.03;0.1;0.2;0.25;0.3;0.35;0.45}-{0;2520;16920;31920;52920;85920;181920},0),2)</f>
        <v>2020.69</v>
      </c>
      <c r="AF15" s="97">
        <f>IFERROR(VLOOKUP(E:E,'（居民）工资表-10月'!E:AF,28,0)+VLOOKUP(E:E,'（居民）工资表-10月'!E:AG,29,0),0)</f>
        <v>1575.69</v>
      </c>
      <c r="AG15" s="97">
        <f t="shared" si="9"/>
        <v>445</v>
      </c>
      <c r="AH15" s="107">
        <f t="shared" si="3"/>
        <v>9005</v>
      </c>
      <c r="AI15" s="108"/>
      <c r="AJ15" s="107">
        <f t="shared" si="4"/>
        <v>9005</v>
      </c>
      <c r="AK15" s="109"/>
      <c r="AL15" s="107">
        <f t="shared" si="5"/>
        <v>9450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IF(SUMPRODUCT(N(E$1:E$6=E15))&gt;1,"重复","不")</f>
        <v>不</v>
      </c>
      <c r="AT15" s="116" t="str">
        <f>IF(SUMPRODUCT(N(AO$1:AO$6=AO15))&gt;1,"重复","不")</f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L16+IFERROR(VLOOKUP($E:$E,'（居民）工资表-10月'!$E:$S,15,0),0)</f>
        <v>43510.65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4420.56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R16+IFERROR(VLOOKUP($E:$E,'（居民）工资表-10月'!$E:$AC,25,0),0)</f>
        <v>0</v>
      </c>
      <c r="AD16" s="95">
        <f t="shared" si="2"/>
        <v>4090.09</v>
      </c>
      <c r="AE16" s="96">
        <f>ROUND(MAX((AD16)*{0.03;0.1;0.2;0.25;0.3;0.35;0.45}-{0;2520;16920;31920;52920;85920;181920},0),2)</f>
        <v>122.7</v>
      </c>
      <c r="AF16" s="97">
        <f>IFERROR(VLOOKUP(E:E,'（居民）工资表-10月'!E:AF,28,0)+VLOOKUP(E:E,'（居民）工资表-10月'!E:AG,29,0),0)</f>
        <v>61.28</v>
      </c>
      <c r="AG16" s="97">
        <f t="shared" si="9"/>
        <v>61.42</v>
      </c>
      <c r="AH16" s="107">
        <f t="shared" si="3"/>
        <v>6986.01</v>
      </c>
      <c r="AI16" s="108"/>
      <c r="AJ16" s="107">
        <f t="shared" si="4"/>
        <v>6986.01</v>
      </c>
      <c r="AK16" s="109"/>
      <c r="AL16" s="107">
        <f t="shared" si="5"/>
        <v>7047.43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IF(SUMPRODUCT(N(E$1:E$6=E16))&gt;1,"重复","不")</f>
        <v>不</v>
      </c>
      <c r="AT16" s="116" t="str">
        <f>IF(SUMPRODUCT(N(AO$1:AO$6=AO16))&gt;1,"重复","不")</f>
        <v>重复</v>
      </c>
      <c r="AU16" s="11"/>
      <c r="AV16" s="11"/>
    </row>
    <row r="17" s="12" customFormat="1" ht="18" customHeight="1" spans="1:48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  <c r="AU17" s="11"/>
      <c r="AV17" s="11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SUM(L4:L16)</f>
        <v>122707.97</v>
      </c>
      <c r="M18" s="74">
        <f>SUM(M4:M16)</f>
        <v>4763.37</v>
      </c>
      <c r="N18" s="74">
        <f>SUM(N4:N16)</f>
        <v>1331.12</v>
      </c>
      <c r="O18" s="74">
        <f t="shared" ref="O18:AL18" si="10">SUM(O4:O16)</f>
        <v>251.38</v>
      </c>
      <c r="P18" s="74">
        <f t="shared" si="10"/>
        <v>2232.9</v>
      </c>
      <c r="Q18" s="74">
        <f t="shared" si="10"/>
        <v>8578.77</v>
      </c>
      <c r="R18" s="74">
        <f t="shared" si="10"/>
        <v>0</v>
      </c>
      <c r="S18" s="74">
        <f t="shared" si="10"/>
        <v>1301724.17</v>
      </c>
      <c r="T18" s="74">
        <f t="shared" si="10"/>
        <v>695000</v>
      </c>
      <c r="U18" s="74">
        <f t="shared" si="10"/>
        <v>93912.43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512811.74</v>
      </c>
      <c r="AE18" s="74">
        <f t="shared" si="10"/>
        <v>46021.85</v>
      </c>
      <c r="AF18" s="74">
        <f t="shared" si="10"/>
        <v>39569.37</v>
      </c>
      <c r="AG18" s="74">
        <f t="shared" si="10"/>
        <v>6452.48</v>
      </c>
      <c r="AH18" s="74">
        <f t="shared" si="10"/>
        <v>107676.72</v>
      </c>
      <c r="AI18" s="74">
        <f t="shared" si="10"/>
        <v>0</v>
      </c>
      <c r="AJ18" s="74">
        <f t="shared" si="10"/>
        <v>107676.72</v>
      </c>
      <c r="AK18" s="74">
        <f t="shared" si="10"/>
        <v>0</v>
      </c>
      <c r="AL18" s="74">
        <f t="shared" si="10"/>
        <v>114129.2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107676.72</v>
      </c>
      <c r="C23" s="48">
        <f>AG18</f>
        <v>6452.48</v>
      </c>
      <c r="D23" s="48">
        <f>AK18</f>
        <v>0</v>
      </c>
      <c r="E23" s="48">
        <f>B23+C23+D23</f>
        <v>114129.2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2025-01-02T06:48:31Z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2052-12.1.0.19770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