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225" tabRatio="609" firstSheet="1" activeTab="6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state="hidden" r:id="rId5"/>
    <sheet name="（居民）工资表-8月" sheetId="21" state="hidden" r:id="rId6"/>
    <sheet name="（居民）工资表-9月" sheetId="22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'（居民）工资表-9月'!$A$3:$AT$18</definedName>
    <definedName name="_xlnm._FilterDatabase" localSheetId="7" hidden="1">'（居民）工资表-10月'!$A$3:$AT$21</definedName>
    <definedName name="_xlnm._FilterDatabase" localSheetId="8" hidden="1">'（居民）工资表-11月'!$A$3:$AT$21</definedName>
    <definedName name="_xlnm._FilterDatabase" localSheetId="10" hidden="1">'（居民）工资表-12月'!$A$3:$AT$21</definedName>
    <definedName name="_xlnm._FilterDatabase" localSheetId="11" hidden="1">'（居民）工资表-2月'!$A$3:$AT$20</definedName>
    <definedName name="_xlnm._FilterDatabase" localSheetId="12" hidden="1">'（居民）工资表-3月'!$A$3:$AT$19</definedName>
    <definedName name="_xlnm._FilterDatabase" localSheetId="13" hidden="1">'（居民）工资表-4月'!$A$3:$AT$20</definedName>
    <definedName name="_xlnm._FilterDatabase" localSheetId="5" hidden="1">'（居民）工资表-8月'!$A$3:$AT$20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'（居民）工资表-10月'!$A$1:$AT$27</definedName>
    <definedName name="_xlnm.Print_Area" localSheetId="8">'（居民）工资表-11月'!$A$1:$AT$27</definedName>
    <definedName name="_xlnm.Print_Area" localSheetId="10">'（居民）工资表-12月'!$A$1:$AT$27</definedName>
    <definedName name="_xlnm.Print_Area" localSheetId="9">'（居民）工资表-1月'!$A$1:$AT$25</definedName>
    <definedName name="_xlnm.Print_Area" localSheetId="11">'（居民）工资表-2月'!$A$1:$AT$25</definedName>
    <definedName name="_xlnm.Print_Area" localSheetId="12">'（居民）工资表-3月'!$A$1:$AT$25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<sst xmlns="http://schemas.openxmlformats.org/spreadsheetml/2006/main" count="2175" uniqueCount="255">
  <si>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</si>
  <si>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</si>
  <si>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</si>
  <si>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</si>
  <si>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</si>
  <si>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</si>
  <si>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</si>
  <si>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</si>
  <si>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</si>
  <si>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</si>
  <si>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</si>
  <si>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</si>
  <si>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</si>
  <si>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</si>
  <si>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</si>
  <si>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</si>
  <si>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</si>
  <si>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</si>
  <si>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</si>
  <si>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</si>
  <si>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</si>
  <si>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</si>
  <si>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</si>
  <si>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</si>
  <si>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</si>
  <si>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</si>
  <si>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</si>
  <si>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</si>
  <si>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</si>
  <si>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</si>
  <si>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</si>
  <si>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</si>
  <si>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</si>
  <si>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</si>
  <si>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</si>
  <si>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</si>
  <si>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</si>
  <si>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</si>
  <si>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</si>
  <si>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</si>
  <si>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</si>
  <si>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</si>
  <si>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</si>
  <si>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</si>
  <si>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</si>
  <si>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</si>
  <si>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</si>
  <si>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</si>
  <si>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</si>
  <si>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</si>
  <si>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</si>
  <si>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</si>
  <si>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</si>
  <si>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</si>
  <si>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</si>
  <si>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</si>
  <si>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</si>
  <si>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</si>
  <si>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</si>
  <si>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</si>
  <si>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</si>
  <si>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</si>
  <si>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</si>
  <si>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</si>
  <si>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</si>
  <si>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</si>
  <si>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</si>
  <si>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</si>
  <si>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</si>
  <si>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根据贵公司与我公司所签订的服务协议，请贵公司在2024年9月8日之前按照下列表格内容支付相关款项.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</si>
  <si>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</si>
  <si>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</si>
  <si>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</si>
  <si>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</si>
  <si>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</si>
  <si>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</si>
  <si>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</si>
  <si>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</si>
  <si>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</si>
  <si>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</si>
  <si>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</si>
  <si>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</si>
  <si>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</si>
  <si>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</si>
  <si>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</si>
  <si>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</si>
  <si>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</si>
  <si>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</si>
  <si>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</si>
  <si>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</si>
  <si>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</si>
  <si>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</si>
  <si>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</si>
  <si>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</si>
  <si>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</si>
  <si>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</si>
  <si>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</si>
  <si>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</si>
  <si>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</si>
  <si>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</si>
  <si>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</si>
  <si>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</si>
  <si>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</si>
  <si>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</si>
  <si>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</si>
  <si>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</si>
  <si>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</si>
  <si>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</si>
  <si>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</si>
  <si>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</si>
  <si>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</si>
  <si>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</si>
  <si>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</si>
  <si>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</si>
  <si>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</si>
  <si>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</si>
  <si>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</si>
  <si>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</si>
  <si>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</si>
  <si>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</si>
  <si>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</si>
  <si>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</si>
  <si>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</si>
  <si>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</si>
  <si>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</si>
  <si>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</si>
  <si>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</si>
  <si>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</si>
  <si>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</si>
  <si>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</si>
  <si>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</si>
  <si>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</si>
  <si>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</si>
  <si>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</si>
  <si>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</si>
  <si>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</si>
  <si>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</si>
  <si>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</si>
  <si>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</si>
  <si>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</si>
  <si>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</si>
  <si>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</si>
  <si>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</si>
  <si>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</si>
  <si>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</si>
  <si>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</si>
  <si>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</si>
  <si>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</si>
  <si>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</si>
  <si>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</si>
  <si>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</si>
  <si>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</si>
  <si>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</si>
  <si>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</si>
  <si>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</si>
  <si>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</si>
  <si>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</si>
  <si>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</si>
  <si>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</si>
  <si>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</si>
  <si>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</si>
  <si>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</si>
  <si>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</si>
  <si>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孙海娟</t>
  </si>
  <si>
    <t>150428198211155123</t>
  </si>
  <si>
    <t>13875812115</t>
  </si>
  <si>
    <t>重庆</t>
  </si>
  <si>
    <t>重庆外商</t>
  </si>
  <si>
    <t>汤祥文</t>
  </si>
  <si>
    <t>340222198505126017</t>
  </si>
  <si>
    <t>天津</t>
  </si>
  <si>
    <t>天津易铭天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</si>
  <si>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</si>
  <si>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</si>
  <si>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</si>
  <si>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</si>
  <si>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</si>
  <si>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</si>
  <si>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</si>
  <si>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</si>
  <si>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</si>
  <si>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张莉</t>
  </si>
  <si>
    <t>340122198910212909</t>
  </si>
  <si>
    <t>倪绍帅</t>
  </si>
  <si>
    <t>341225199804264377</t>
  </si>
  <si>
    <t>吕阳</t>
  </si>
  <si>
    <t>420704199405100011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</si>
  <si>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</si>
  <si>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</si>
  <si>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</si>
  <si>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</si>
  <si>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</si>
  <si>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</si>
  <si>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</si>
  <si>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</si>
  <si>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</si>
  <si>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</si>
  <si>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</si>
  <si>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</si>
  <si>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</si>
  <si>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</si>
  <si>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</si>
  <si>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</si>
  <si>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</si>
  <si>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</si>
  <si>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</si>
  <si>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</si>
  <si>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谭江月</t>
  </si>
  <si>
    <t>500228199607193387</t>
  </si>
  <si>
    <t>18297976577</t>
  </si>
  <si>
    <t>重庆易铭天</t>
  </si>
  <si>
    <t>杨文</t>
  </si>
  <si>
    <t>430902198512287016</t>
  </si>
  <si>
    <t>周兆平</t>
  </si>
  <si>
    <t>420625199902250033</t>
  </si>
  <si>
    <t>武汉</t>
  </si>
  <si>
    <t>残障金</t>
  </si>
  <si>
    <t>吉林省-四平市</t>
  </si>
  <si>
    <t>广东省-广州市</t>
  </si>
  <si>
    <t>上海市-上海市</t>
  </si>
  <si>
    <t>安徽省-蚌埠市</t>
  </si>
  <si>
    <t>安徽省-阜阳市</t>
  </si>
  <si>
    <t>湖南省-常德市</t>
  </si>
  <si>
    <t>天津市-天津市</t>
  </si>
  <si>
    <t>安徽省-芜湖市</t>
  </si>
  <si>
    <t>安徽省-合肥市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</si>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</sst>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3" customWidth="1"/>
    <col min="2" max="2" width="25" style="243" customWidth="1"/>
    <col min="3" max="3" width="7.36666666666667" style="243" customWidth="1"/>
    <col min="4" max="4" width="9.45" style="243" customWidth="1"/>
    <col min="5" max="5" width="8.26666666666667" style="243" customWidth="1"/>
    <col min="6" max="6" width="11.9083333333333" style="243" customWidth="1"/>
    <col min="7" max="7" width="16.3666666666667" style="243" customWidth="1"/>
    <col min="8" max="11" width="8.45" style="243" customWidth="1"/>
    <col min="12" max="12" width="9.09166666666667" style="243" customWidth="1"/>
    <col min="13" max="14" width="9.26666666666667" style="243" customWidth="1"/>
    <col min="15" max="15" width="7.45" style="243" customWidth="1"/>
    <col min="16" max="16" width="11.2666666666667" style="243" customWidth="1"/>
    <col min="17" max="17" width="9.09166666666667" style="243" customWidth="1"/>
    <col min="18" max="21" width="9.26666666666667" style="243" customWidth="1"/>
    <col min="22" max="22" width="9.09166666666667" style="243" customWidth="1"/>
    <col min="23" max="26" width="9.26666666666667" style="243" customWidth="1"/>
    <col min="27" max="28" width="9.09166666666667" style="243" customWidth="1"/>
    <col min="29" max="29" width="9" style="243" customWidth="1"/>
    <col min="30" max="30" width="9.09166666666667" style="243" customWidth="1"/>
    <col min="31" max="31" width="9.26666666666667" style="243" customWidth="1"/>
    <col min="32" max="32" width="8.90833333333333" style="243" customWidth="1"/>
    <col min="33" max="33" width="9.09166666666667" style="243" customWidth="1"/>
    <col min="34" max="34" width="9.26666666666667" style="243" customWidth="1"/>
    <col min="35" max="35" width="11.0916666666667" style="243" customWidth="1"/>
    <col min="36" max="36" width="9.26666666666667" style="243" customWidth="1"/>
    <col min="37" max="37" width="8.45" style="243" customWidth="1"/>
    <col min="38" max="38" width="9.09166666666667" style="243" hidden="1" customWidth="1"/>
    <col min="39" max="42" width="9.26666666666667" style="243" hidden="1" customWidth="1"/>
    <col min="43" max="43" width="9.90833333333333" style="243" customWidth="1"/>
    <col min="44" max="44" width="9.36666666666667" style="243" customWidth="1"/>
    <col min="45" max="45" width="10.2666666666667" style="244" customWidth="1"/>
    <col min="46" max="46" width="10" style="244" customWidth="1"/>
    <col min="47" max="49" width="9.26666666666667" style="244" customWidth="1"/>
    <col min="50" max="50" width="9.26666666666667" style="243" customWidth="1"/>
    <col min="51" max="51" width="5.90833333333333" style="243" customWidth="1"/>
    <col min="52" max="52" width="8.36666666666667" style="243" customWidth="1"/>
    <col min="53" max="53" width="5.90833333333333" style="243" customWidth="1"/>
    <col min="54" max="54" width="8.90833333333333" style="243" customWidth="1"/>
    <col min="55" max="55" width="10.9083333333333" style="243" customWidth="1"/>
    <col min="56" max="56" width="40.2666666666667" style="245" customWidth="1"/>
    <col min="57" max="57" width="10.6333333333333" style="243" customWidth="1"/>
    <col min="58" max="16384" width="9" style="243"/>
  </cols>
  <sheetData>
    <row r="1" s="237" customFormat="1" ht="22.5" customHeight="1" spans="1:56">
      <c r="A1" s="246" t="s">
        <v>0</v>
      </c>
      <c r="B1" s="247" t="s">
        <v>1</v>
      </c>
      <c r="C1" s="247" t="s">
        <v>2</v>
      </c>
      <c r="D1" s="246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7" t="s">
        <v>8</v>
      </c>
      <c r="J1" s="247" t="s">
        <v>9</v>
      </c>
      <c r="K1" s="247" t="s">
        <v>10</v>
      </c>
      <c r="L1" s="280" t="s">
        <v>11</v>
      </c>
      <c r="M1" s="280"/>
      <c r="N1" s="280"/>
      <c r="O1" s="280"/>
      <c r="P1" s="280"/>
      <c r="Q1" s="280" t="s">
        <v>12</v>
      </c>
      <c r="R1" s="280"/>
      <c r="S1" s="280"/>
      <c r="T1" s="280"/>
      <c r="U1" s="280"/>
      <c r="V1" s="280" t="s">
        <v>13</v>
      </c>
      <c r="W1" s="280"/>
      <c r="X1" s="280"/>
      <c r="Y1" s="280"/>
      <c r="Z1" s="280"/>
      <c r="AA1" s="246" t="s">
        <v>14</v>
      </c>
      <c r="AB1" s="246"/>
      <c r="AC1" s="246"/>
      <c r="AD1" s="246" t="s">
        <v>15</v>
      </c>
      <c r="AE1" s="246"/>
      <c r="AF1" s="246"/>
      <c r="AG1" s="280" t="s">
        <v>16</v>
      </c>
      <c r="AH1" s="280"/>
      <c r="AI1" s="280"/>
      <c r="AJ1" s="280"/>
      <c r="AK1" s="280"/>
      <c r="AL1" s="246" t="s">
        <v>17</v>
      </c>
      <c r="AM1" s="246"/>
      <c r="AN1" s="246"/>
      <c r="AO1" s="246"/>
      <c r="AP1" s="246"/>
      <c r="AQ1" s="246" t="s">
        <v>18</v>
      </c>
      <c r="AR1" s="246"/>
      <c r="AS1" s="291" t="s">
        <v>19</v>
      </c>
      <c r="AT1" s="291"/>
      <c r="AU1" s="291"/>
      <c r="AV1" s="291"/>
      <c r="AW1" s="291"/>
      <c r="AX1" s="246" t="s">
        <v>20</v>
      </c>
      <c r="AY1" s="246"/>
      <c r="AZ1" s="246" t="s">
        <v>21</v>
      </c>
      <c r="BA1" s="246"/>
      <c r="BB1" s="246" t="s">
        <v>22</v>
      </c>
      <c r="BC1" s="246" t="s">
        <v>23</v>
      </c>
      <c r="BD1" s="302" t="s">
        <v>24</v>
      </c>
    </row>
    <row r="2" ht="22.5" customHeight="1" spans="1:56">
      <c r="A2" s="246"/>
      <c r="B2" s="248"/>
      <c r="C2" s="247"/>
      <c r="D2" s="246"/>
      <c r="E2" s="247"/>
      <c r="F2" s="249"/>
      <c r="G2" s="249"/>
      <c r="H2" s="247"/>
      <c r="I2" s="247"/>
      <c r="J2" s="247"/>
      <c r="K2" s="247"/>
      <c r="L2" s="281" t="s">
        <v>25</v>
      </c>
      <c r="M2" s="281" t="s">
        <v>26</v>
      </c>
      <c r="N2" s="281" t="s">
        <v>27</v>
      </c>
      <c r="O2" s="281" t="s">
        <v>28</v>
      </c>
      <c r="P2" s="281" t="s">
        <v>29</v>
      </c>
      <c r="Q2" s="281" t="s">
        <v>25</v>
      </c>
      <c r="R2" s="281" t="s">
        <v>26</v>
      </c>
      <c r="S2" s="281" t="s">
        <v>27</v>
      </c>
      <c r="T2" s="281" t="s">
        <v>28</v>
      </c>
      <c r="U2" s="281" t="s">
        <v>29</v>
      </c>
      <c r="V2" s="281" t="s">
        <v>25</v>
      </c>
      <c r="W2" s="281" t="s">
        <v>26</v>
      </c>
      <c r="X2" s="281" t="s">
        <v>27</v>
      </c>
      <c r="Y2" s="281" t="s">
        <v>28</v>
      </c>
      <c r="Z2" s="281" t="s">
        <v>29</v>
      </c>
      <c r="AA2" s="281" t="s">
        <v>25</v>
      </c>
      <c r="AB2" s="281" t="s">
        <v>30</v>
      </c>
      <c r="AC2" s="281" t="s">
        <v>31</v>
      </c>
      <c r="AD2" s="281" t="s">
        <v>25</v>
      </c>
      <c r="AE2" s="281" t="s">
        <v>30</v>
      </c>
      <c r="AF2" s="281" t="s">
        <v>31</v>
      </c>
      <c r="AG2" s="281" t="s">
        <v>25</v>
      </c>
      <c r="AH2" s="281" t="s">
        <v>26</v>
      </c>
      <c r="AI2" s="281" t="s">
        <v>27</v>
      </c>
      <c r="AJ2" s="281" t="s">
        <v>28</v>
      </c>
      <c r="AK2" s="281" t="s">
        <v>29</v>
      </c>
      <c r="AL2" s="281" t="s">
        <v>25</v>
      </c>
      <c r="AM2" s="281" t="s">
        <v>26</v>
      </c>
      <c r="AN2" s="281" t="s">
        <v>27</v>
      </c>
      <c r="AO2" s="281" t="s">
        <v>28</v>
      </c>
      <c r="AP2" s="281" t="s">
        <v>29</v>
      </c>
      <c r="AQ2" s="281" t="s">
        <v>32</v>
      </c>
      <c r="AR2" s="281" t="s">
        <v>33</v>
      </c>
      <c r="AS2" s="292" t="s">
        <v>34</v>
      </c>
      <c r="AT2" s="292" t="s">
        <v>35</v>
      </c>
      <c r="AU2" s="292" t="s">
        <v>36</v>
      </c>
      <c r="AV2" s="292" t="s">
        <v>37</v>
      </c>
      <c r="AW2" s="292" t="s">
        <v>38</v>
      </c>
      <c r="AX2" s="246"/>
      <c r="AY2" s="246"/>
      <c r="AZ2" s="246"/>
      <c r="BA2" s="246"/>
      <c r="BB2" s="246"/>
      <c r="BC2" s="246"/>
      <c r="BD2" s="302"/>
    </row>
    <row r="3" s="238" customFormat="1" ht="18" customHeight="1" spans="1:60">
      <c r="A3" s="250">
        <v>1</v>
      </c>
      <c r="B3" s="251" t="s">
        <v>39</v>
      </c>
      <c r="C3" s="252" t="s">
        <v>40</v>
      </c>
      <c r="D3" s="253" t="s">
        <v>41</v>
      </c>
      <c r="E3" s="251" t="s">
        <v>42</v>
      </c>
      <c r="F3" s="254" t="s">
        <v>43</v>
      </c>
      <c r="G3" s="255" t="s">
        <v>44</v>
      </c>
      <c r="H3" s="253" t="s">
        <v>45</v>
      </c>
      <c r="I3" s="253" t="s">
        <v>45</v>
      </c>
      <c r="J3" s="253" t="s">
        <v>46</v>
      </c>
      <c r="K3" s="253" t="s">
        <v>46</v>
      </c>
      <c r="L3" s="250">
        <v>3300</v>
      </c>
      <c r="M3" s="250">
        <v>0.16</v>
      </c>
      <c r="N3" s="250">
        <f t="shared" ref="N3:N8" si="0">ROUND(L3*M3,2)</f>
        <v>528</v>
      </c>
      <c r="O3" s="250">
        <v>0.08</v>
      </c>
      <c r="P3" s="250">
        <f t="shared" ref="P3:P8" si="1">ROUND(L3*O3,2)</f>
        <v>264</v>
      </c>
      <c r="Q3" s="250">
        <v>3300</v>
      </c>
      <c r="R3" s="250">
        <v>0.08</v>
      </c>
      <c r="S3" s="250">
        <f t="shared" ref="S3:S8" si="2">ROUND(Q3*R3,2)</f>
        <v>264</v>
      </c>
      <c r="T3" s="250">
        <v>0.02</v>
      </c>
      <c r="U3" s="250">
        <f t="shared" ref="U3:U8" si="3">ROUND(Q3*T3,2)</f>
        <v>66</v>
      </c>
      <c r="V3" s="250">
        <v>3300</v>
      </c>
      <c r="W3" s="250">
        <v>0.007</v>
      </c>
      <c r="X3" s="250">
        <f t="shared" ref="X3:X8" si="4">ROUND(V3*W3,2)</f>
        <v>23.1</v>
      </c>
      <c r="Y3" s="250">
        <v>0.003</v>
      </c>
      <c r="Z3" s="250">
        <f t="shared" ref="Z3:Z8" si="5">ROUND(V3*Y3,2)</f>
        <v>9.9</v>
      </c>
      <c r="AA3" s="250"/>
      <c r="AB3" s="250"/>
      <c r="AC3" s="250"/>
      <c r="AD3" s="250">
        <v>3300</v>
      </c>
      <c r="AE3" s="250">
        <v>0.002</v>
      </c>
      <c r="AF3" s="250">
        <f t="shared" ref="AF3:AF15" si="6">ROUND(AD3*AE3,2)</f>
        <v>6.6</v>
      </c>
      <c r="AG3" s="250">
        <v>3000</v>
      </c>
      <c r="AH3" s="250">
        <v>0.1</v>
      </c>
      <c r="AI3" s="250">
        <f>ROUND(AG3*AH3,2)</f>
        <v>300</v>
      </c>
      <c r="AJ3" s="250">
        <v>0.06</v>
      </c>
      <c r="AK3" s="250">
        <f>ROUND(AG3*AJ3,2)</f>
        <v>180</v>
      </c>
      <c r="AL3" s="288"/>
      <c r="AM3" s="250"/>
      <c r="AN3" s="250"/>
      <c r="AO3" s="250"/>
      <c r="AP3" s="251" t="s">
        <v>47</v>
      </c>
      <c r="AQ3" s="293">
        <v>5</v>
      </c>
      <c r="AR3" s="250"/>
      <c r="AS3" s="294">
        <f t="shared" ref="AS3:AS15" si="7">N3+S3+X3+AC3+AF3+AN3+AQ3</f>
        <v>826.7</v>
      </c>
      <c r="AT3" s="294">
        <f t="shared" ref="AT3:AT15" si="8">P3+U3+Z3</f>
        <v>339.9</v>
      </c>
      <c r="AU3" s="294">
        <f t="shared" ref="AU3:AU15" si="9">AI3</f>
        <v>300</v>
      </c>
      <c r="AV3" s="294">
        <f t="shared" ref="AV3:AV15" si="10">AK3</f>
        <v>180</v>
      </c>
      <c r="AW3" s="294">
        <f t="shared" ref="AW3:AW15" si="11">AV3+AS3+AT3+AU3</f>
        <v>1646.6</v>
      </c>
      <c r="AX3" s="303">
        <f t="shared" ref="AX3:AX15" si="12">AS3+AT3</f>
        <v>1166.6</v>
      </c>
      <c r="AY3" s="303"/>
      <c r="AZ3" s="303">
        <f t="shared" ref="AZ3:AZ8" si="13">AU3+AV3</f>
        <v>480</v>
      </c>
      <c r="BA3" s="303"/>
      <c r="BB3" s="304">
        <v>80</v>
      </c>
      <c r="BC3" s="303">
        <f t="shared" ref="BC3:BC15" si="14">AX3+AZ3+BB3</f>
        <v>1726.6</v>
      </c>
      <c r="BD3" s="305"/>
      <c r="BE3" s="319"/>
      <c r="BF3" s="320"/>
      <c r="BG3" s="320"/>
      <c r="BH3" s="321" t="s">
        <v>47</v>
      </c>
    </row>
    <row r="4" s="238" customFormat="1" ht="18" customHeight="1" spans="1:60">
      <c r="A4" s="250"/>
      <c r="B4" s="251" t="s">
        <v>39</v>
      </c>
      <c r="C4" s="252" t="s">
        <v>40</v>
      </c>
      <c r="D4" s="253" t="s">
        <v>41</v>
      </c>
      <c r="E4" s="251" t="s">
        <v>42</v>
      </c>
      <c r="F4" s="254" t="s">
        <v>43</v>
      </c>
      <c r="G4" s="255" t="s">
        <v>44</v>
      </c>
      <c r="H4" s="253" t="s">
        <v>45</v>
      </c>
      <c r="I4" s="253" t="s">
        <v>45</v>
      </c>
      <c r="J4" s="253" t="s">
        <v>48</v>
      </c>
      <c r="K4" s="253" t="s">
        <v>48</v>
      </c>
      <c r="L4" s="250">
        <v>3300</v>
      </c>
      <c r="M4" s="250">
        <v>0.16</v>
      </c>
      <c r="N4" s="250">
        <f t="shared" si="0"/>
        <v>528</v>
      </c>
      <c r="O4" s="250">
        <v>0.08</v>
      </c>
      <c r="P4" s="250">
        <f t="shared" si="1"/>
        <v>264</v>
      </c>
      <c r="Q4" s="250">
        <v>3300</v>
      </c>
      <c r="R4" s="250">
        <v>0.08</v>
      </c>
      <c r="S4" s="250">
        <f t="shared" si="2"/>
        <v>264</v>
      </c>
      <c r="T4" s="250">
        <v>0.02</v>
      </c>
      <c r="U4" s="250">
        <f t="shared" si="3"/>
        <v>66</v>
      </c>
      <c r="V4" s="250">
        <v>3300</v>
      </c>
      <c r="W4" s="250">
        <v>0.007</v>
      </c>
      <c r="X4" s="250">
        <f t="shared" si="4"/>
        <v>23.1</v>
      </c>
      <c r="Y4" s="250">
        <v>0.003</v>
      </c>
      <c r="Z4" s="250">
        <f t="shared" si="5"/>
        <v>9.9</v>
      </c>
      <c r="AA4" s="250"/>
      <c r="AB4" s="250"/>
      <c r="AC4" s="250"/>
      <c r="AD4" s="250">
        <v>3300</v>
      </c>
      <c r="AE4" s="250">
        <v>0.002</v>
      </c>
      <c r="AF4" s="250">
        <f t="shared" si="6"/>
        <v>6.6</v>
      </c>
      <c r="AG4" s="250">
        <v>3000</v>
      </c>
      <c r="AH4" s="250">
        <v>0.1</v>
      </c>
      <c r="AI4" s="250">
        <f>ROUND(AG4*AH4,2)</f>
        <v>300</v>
      </c>
      <c r="AJ4" s="250">
        <v>0.06</v>
      </c>
      <c r="AK4" s="250">
        <f>ROUND(AG4*AJ4,2)</f>
        <v>180</v>
      </c>
      <c r="AL4" s="288"/>
      <c r="AM4" s="250"/>
      <c r="AN4" s="250"/>
      <c r="AO4" s="250"/>
      <c r="AP4" s="251" t="s">
        <v>47</v>
      </c>
      <c r="AQ4" s="293">
        <v>5</v>
      </c>
      <c r="AR4" s="250"/>
      <c r="AS4" s="294">
        <f t="shared" si="7"/>
        <v>826.7</v>
      </c>
      <c r="AT4" s="294">
        <f t="shared" si="8"/>
        <v>339.9</v>
      </c>
      <c r="AU4" s="294">
        <f t="shared" si="9"/>
        <v>300</v>
      </c>
      <c r="AV4" s="294">
        <f t="shared" si="10"/>
        <v>180</v>
      </c>
      <c r="AW4" s="294">
        <f t="shared" si="11"/>
        <v>1646.6</v>
      </c>
      <c r="AX4" s="303">
        <f t="shared" si="12"/>
        <v>1166.6</v>
      </c>
      <c r="AY4" s="303"/>
      <c r="AZ4" s="303">
        <f t="shared" si="13"/>
        <v>480</v>
      </c>
      <c r="BA4" s="303"/>
      <c r="BB4" s="304">
        <v>80</v>
      </c>
      <c r="BC4" s="303">
        <f t="shared" si="14"/>
        <v>1726.6</v>
      </c>
      <c r="BD4" s="305"/>
      <c r="BE4" s="319"/>
      <c r="BF4" s="320"/>
      <c r="BG4" s="320"/>
      <c r="BH4" s="321" t="s">
        <v>47</v>
      </c>
    </row>
    <row r="5" s="238" customFormat="1" ht="18" customHeight="1" spans="1:60">
      <c r="A5" s="250"/>
      <c r="B5" s="251" t="s">
        <v>39</v>
      </c>
      <c r="C5" s="252" t="s">
        <v>40</v>
      </c>
      <c r="D5" s="253" t="s">
        <v>41</v>
      </c>
      <c r="E5" s="251" t="s">
        <v>42</v>
      </c>
      <c r="F5" s="254" t="s">
        <v>43</v>
      </c>
      <c r="G5" s="255" t="s">
        <v>44</v>
      </c>
      <c r="H5" s="253" t="s">
        <v>45</v>
      </c>
      <c r="I5" s="253" t="s">
        <v>45</v>
      </c>
      <c r="J5" s="253" t="s">
        <v>49</v>
      </c>
      <c r="K5" s="253" t="s">
        <v>49</v>
      </c>
      <c r="L5" s="250">
        <v>3300</v>
      </c>
      <c r="M5" s="250">
        <v>0.16</v>
      </c>
      <c r="N5" s="250">
        <f t="shared" si="0"/>
        <v>528</v>
      </c>
      <c r="O5" s="250">
        <v>0.08</v>
      </c>
      <c r="P5" s="250">
        <f t="shared" si="1"/>
        <v>264</v>
      </c>
      <c r="Q5" s="250">
        <v>3300</v>
      </c>
      <c r="R5" s="250">
        <v>0.08</v>
      </c>
      <c r="S5" s="250">
        <f t="shared" si="2"/>
        <v>264</v>
      </c>
      <c r="T5" s="250">
        <v>0.02</v>
      </c>
      <c r="U5" s="250">
        <f t="shared" si="3"/>
        <v>66</v>
      </c>
      <c r="V5" s="250">
        <v>3300</v>
      </c>
      <c r="W5" s="250">
        <v>0.007</v>
      </c>
      <c r="X5" s="250">
        <f t="shared" si="4"/>
        <v>23.1</v>
      </c>
      <c r="Y5" s="250">
        <v>0.003</v>
      </c>
      <c r="Z5" s="250">
        <f t="shared" si="5"/>
        <v>9.9</v>
      </c>
      <c r="AA5" s="250"/>
      <c r="AB5" s="250"/>
      <c r="AC5" s="250"/>
      <c r="AD5" s="250">
        <v>3300</v>
      </c>
      <c r="AE5" s="250">
        <v>0.002</v>
      </c>
      <c r="AF5" s="250">
        <f t="shared" si="6"/>
        <v>6.6</v>
      </c>
      <c r="AG5" s="250">
        <v>3000</v>
      </c>
      <c r="AH5" s="250">
        <v>0.1</v>
      </c>
      <c r="AI5" s="250">
        <f>ROUND(AG5*AH5,2)</f>
        <v>300</v>
      </c>
      <c r="AJ5" s="250">
        <v>0.06</v>
      </c>
      <c r="AK5" s="250">
        <f>ROUND(AG5*AJ5,2)</f>
        <v>180</v>
      </c>
      <c r="AL5" s="288"/>
      <c r="AM5" s="250"/>
      <c r="AN5" s="250"/>
      <c r="AO5" s="250"/>
      <c r="AP5" s="251" t="s">
        <v>47</v>
      </c>
      <c r="AQ5" s="293">
        <v>5</v>
      </c>
      <c r="AR5" s="250"/>
      <c r="AS5" s="294">
        <f t="shared" si="7"/>
        <v>826.7</v>
      </c>
      <c r="AT5" s="294">
        <f t="shared" si="8"/>
        <v>339.9</v>
      </c>
      <c r="AU5" s="294">
        <f t="shared" si="9"/>
        <v>300</v>
      </c>
      <c r="AV5" s="294">
        <f t="shared" si="10"/>
        <v>180</v>
      </c>
      <c r="AW5" s="294">
        <f t="shared" si="11"/>
        <v>1646.6</v>
      </c>
      <c r="AX5" s="303">
        <f t="shared" si="12"/>
        <v>1166.6</v>
      </c>
      <c r="AY5" s="303"/>
      <c r="AZ5" s="303">
        <f t="shared" si="13"/>
        <v>480</v>
      </c>
      <c r="BA5" s="303"/>
      <c r="BB5" s="304">
        <v>80</v>
      </c>
      <c r="BC5" s="303">
        <f t="shared" si="14"/>
        <v>1726.6</v>
      </c>
      <c r="BD5" s="305"/>
      <c r="BE5" s="319"/>
      <c r="BF5" s="320"/>
      <c r="BG5" s="320"/>
      <c r="BH5" s="321" t="s">
        <v>47</v>
      </c>
    </row>
    <row r="6" s="238" customFormat="1" ht="18" customHeight="1" spans="1:60">
      <c r="A6" s="250">
        <v>2</v>
      </c>
      <c r="B6" s="251" t="s">
        <v>39</v>
      </c>
      <c r="C6" s="252" t="s">
        <v>50</v>
      </c>
      <c r="D6" s="253" t="s">
        <v>41</v>
      </c>
      <c r="E6" s="251" t="s">
        <v>51</v>
      </c>
      <c r="F6" s="254" t="s">
        <v>52</v>
      </c>
      <c r="G6" s="324" t="s">
        <v>53</v>
      </c>
      <c r="H6" s="253" t="s">
        <v>45</v>
      </c>
      <c r="I6" s="253" t="s">
        <v>54</v>
      </c>
      <c r="J6" s="253" t="s">
        <v>46</v>
      </c>
      <c r="K6" s="253" t="s">
        <v>54</v>
      </c>
      <c r="L6" s="250">
        <v>3803</v>
      </c>
      <c r="M6" s="250">
        <v>0.14</v>
      </c>
      <c r="N6" s="250">
        <f t="shared" si="0"/>
        <v>532.42</v>
      </c>
      <c r="O6" s="250">
        <v>0.08</v>
      </c>
      <c r="P6" s="250">
        <f t="shared" si="1"/>
        <v>304.24</v>
      </c>
      <c r="Q6" s="250">
        <v>6175</v>
      </c>
      <c r="R6" s="250">
        <v>0.055</v>
      </c>
      <c r="S6" s="250">
        <f t="shared" si="2"/>
        <v>339.63</v>
      </c>
      <c r="T6" s="250">
        <v>0.02</v>
      </c>
      <c r="U6" s="250">
        <f t="shared" si="3"/>
        <v>123.5</v>
      </c>
      <c r="V6" s="250">
        <v>3803</v>
      </c>
      <c r="W6" s="250">
        <v>0.0032</v>
      </c>
      <c r="X6" s="250">
        <f t="shared" si="4"/>
        <v>12.17</v>
      </c>
      <c r="Y6" s="250">
        <v>0.002</v>
      </c>
      <c r="Z6" s="250">
        <f t="shared" si="5"/>
        <v>7.61</v>
      </c>
      <c r="AA6" s="250">
        <v>6175</v>
      </c>
      <c r="AB6" s="250">
        <v>0.0085</v>
      </c>
      <c r="AC6" s="250">
        <f t="shared" ref="AC6:AC8" si="15">ROUND(AA6*AB6,2)</f>
        <v>52.49</v>
      </c>
      <c r="AD6" s="250">
        <v>3803</v>
      </c>
      <c r="AE6" s="250">
        <v>0.0016</v>
      </c>
      <c r="AF6" s="250">
        <f t="shared" si="6"/>
        <v>6.08</v>
      </c>
      <c r="AG6" s="250"/>
      <c r="AH6" s="250"/>
      <c r="AI6" s="250"/>
      <c r="AJ6" s="250"/>
      <c r="AK6" s="250"/>
      <c r="AL6" s="288"/>
      <c r="AM6" s="250"/>
      <c r="AN6" s="250"/>
      <c r="AO6" s="250"/>
      <c r="AP6" s="251"/>
      <c r="AQ6" s="293">
        <v>26.76</v>
      </c>
      <c r="AR6" s="250"/>
      <c r="AS6" s="294">
        <f t="shared" si="7"/>
        <v>969.55</v>
      </c>
      <c r="AT6" s="294">
        <f t="shared" si="8"/>
        <v>435.35</v>
      </c>
      <c r="AU6" s="294">
        <f t="shared" si="9"/>
        <v>0</v>
      </c>
      <c r="AV6" s="294">
        <f t="shared" si="10"/>
        <v>0</v>
      </c>
      <c r="AW6" s="294">
        <f t="shared" si="11"/>
        <v>1404.9</v>
      </c>
      <c r="AX6" s="303">
        <f t="shared" si="12"/>
        <v>1404.9</v>
      </c>
      <c r="AY6" s="303"/>
      <c r="AZ6" s="303">
        <f t="shared" si="13"/>
        <v>0</v>
      </c>
      <c r="BA6" s="303"/>
      <c r="BB6" s="304">
        <v>80</v>
      </c>
      <c r="BC6" s="303">
        <f t="shared" si="14"/>
        <v>1484.9</v>
      </c>
      <c r="BD6" s="305"/>
      <c r="BE6" s="322"/>
      <c r="BF6" s="322"/>
      <c r="BG6" s="322"/>
      <c r="BH6" s="322"/>
    </row>
    <row r="7" s="238" customFormat="1" ht="18" customHeight="1" spans="1:60">
      <c r="A7" s="250"/>
      <c r="B7" s="251" t="s">
        <v>39</v>
      </c>
      <c r="C7" s="252" t="s">
        <v>50</v>
      </c>
      <c r="D7" s="253" t="s">
        <v>41</v>
      </c>
      <c r="E7" s="251" t="s">
        <v>51</v>
      </c>
      <c r="F7" s="254" t="s">
        <v>52</v>
      </c>
      <c r="G7" s="324" t="s">
        <v>53</v>
      </c>
      <c r="H7" s="253" t="s">
        <v>45</v>
      </c>
      <c r="I7" s="253" t="s">
        <v>54</v>
      </c>
      <c r="J7" s="253" t="s">
        <v>48</v>
      </c>
      <c r="K7" s="253" t="s">
        <v>54</v>
      </c>
      <c r="L7" s="250">
        <v>3803</v>
      </c>
      <c r="M7" s="250">
        <v>0.14</v>
      </c>
      <c r="N7" s="250">
        <f t="shared" si="0"/>
        <v>532.42</v>
      </c>
      <c r="O7" s="250">
        <v>0.08</v>
      </c>
      <c r="P7" s="250">
        <f t="shared" si="1"/>
        <v>304.24</v>
      </c>
      <c r="Q7" s="250">
        <v>6175</v>
      </c>
      <c r="R7" s="250">
        <v>0.055</v>
      </c>
      <c r="S7" s="250">
        <f t="shared" si="2"/>
        <v>339.63</v>
      </c>
      <c r="T7" s="250">
        <v>0.02</v>
      </c>
      <c r="U7" s="250">
        <f t="shared" si="3"/>
        <v>123.5</v>
      </c>
      <c r="V7" s="250">
        <v>3803</v>
      </c>
      <c r="W7" s="250">
        <v>0.0032</v>
      </c>
      <c r="X7" s="250">
        <f t="shared" si="4"/>
        <v>12.17</v>
      </c>
      <c r="Y7" s="250">
        <v>0.002</v>
      </c>
      <c r="Z7" s="250">
        <f t="shared" si="5"/>
        <v>7.61</v>
      </c>
      <c r="AA7" s="250">
        <v>6175</v>
      </c>
      <c r="AB7" s="250">
        <v>0.0085</v>
      </c>
      <c r="AC7" s="250">
        <f t="shared" si="15"/>
        <v>52.49</v>
      </c>
      <c r="AD7" s="250">
        <v>3803</v>
      </c>
      <c r="AE7" s="250">
        <v>0.0016</v>
      </c>
      <c r="AF7" s="250">
        <f t="shared" si="6"/>
        <v>6.08</v>
      </c>
      <c r="AG7" s="250"/>
      <c r="AH7" s="250"/>
      <c r="AI7" s="250"/>
      <c r="AJ7" s="250"/>
      <c r="AK7" s="250"/>
      <c r="AL7" s="288"/>
      <c r="AM7" s="250"/>
      <c r="AN7" s="250"/>
      <c r="AO7" s="250"/>
      <c r="AP7" s="251"/>
      <c r="AQ7" s="293">
        <v>26.76</v>
      </c>
      <c r="AR7" s="250"/>
      <c r="AS7" s="294">
        <f t="shared" si="7"/>
        <v>969.55</v>
      </c>
      <c r="AT7" s="294">
        <f t="shared" si="8"/>
        <v>435.35</v>
      </c>
      <c r="AU7" s="294">
        <f t="shared" si="9"/>
        <v>0</v>
      </c>
      <c r="AV7" s="294">
        <f t="shared" si="10"/>
        <v>0</v>
      </c>
      <c r="AW7" s="294">
        <f t="shared" si="11"/>
        <v>1404.9</v>
      </c>
      <c r="AX7" s="303">
        <f t="shared" si="12"/>
        <v>1404.9</v>
      </c>
      <c r="AY7" s="303"/>
      <c r="AZ7" s="303">
        <f t="shared" si="13"/>
        <v>0</v>
      </c>
      <c r="BA7" s="303"/>
      <c r="BB7" s="304">
        <v>80</v>
      </c>
      <c r="BC7" s="303">
        <f t="shared" si="14"/>
        <v>1484.9</v>
      </c>
      <c r="BD7" s="305"/>
      <c r="BE7" s="322"/>
      <c r="BF7" s="322"/>
      <c r="BG7" s="322"/>
      <c r="BH7" s="322"/>
    </row>
    <row r="8" s="238" customFormat="1" ht="18" customHeight="1" spans="1:60">
      <c r="A8" s="250"/>
      <c r="B8" s="251" t="s">
        <v>39</v>
      </c>
      <c r="C8" s="252" t="s">
        <v>50</v>
      </c>
      <c r="D8" s="253" t="s">
        <v>41</v>
      </c>
      <c r="E8" s="251" t="s">
        <v>51</v>
      </c>
      <c r="F8" s="254" t="s">
        <v>52</v>
      </c>
      <c r="G8" s="324" t="s">
        <v>53</v>
      </c>
      <c r="H8" s="253" t="s">
        <v>45</v>
      </c>
      <c r="I8" s="253" t="s">
        <v>54</v>
      </c>
      <c r="J8" s="253" t="s">
        <v>49</v>
      </c>
      <c r="K8" s="253" t="s">
        <v>54</v>
      </c>
      <c r="L8" s="250">
        <v>3803</v>
      </c>
      <c r="M8" s="250">
        <v>0.14</v>
      </c>
      <c r="N8" s="250">
        <f t="shared" si="0"/>
        <v>532.42</v>
      </c>
      <c r="O8" s="250">
        <v>0.08</v>
      </c>
      <c r="P8" s="250">
        <f t="shared" si="1"/>
        <v>304.24</v>
      </c>
      <c r="Q8" s="250">
        <v>6175</v>
      </c>
      <c r="R8" s="250">
        <v>0.055</v>
      </c>
      <c r="S8" s="250">
        <f t="shared" si="2"/>
        <v>339.63</v>
      </c>
      <c r="T8" s="250">
        <v>0.02</v>
      </c>
      <c r="U8" s="250">
        <f t="shared" si="3"/>
        <v>123.5</v>
      </c>
      <c r="V8" s="250">
        <v>3803</v>
      </c>
      <c r="W8" s="250">
        <v>0.0032</v>
      </c>
      <c r="X8" s="250">
        <f t="shared" si="4"/>
        <v>12.17</v>
      </c>
      <c r="Y8" s="250">
        <v>0.002</v>
      </c>
      <c r="Z8" s="250">
        <f t="shared" si="5"/>
        <v>7.61</v>
      </c>
      <c r="AA8" s="250">
        <v>6175</v>
      </c>
      <c r="AB8" s="250">
        <v>0.0085</v>
      </c>
      <c r="AC8" s="250">
        <f t="shared" si="15"/>
        <v>52.49</v>
      </c>
      <c r="AD8" s="250">
        <v>3803</v>
      </c>
      <c r="AE8" s="250">
        <v>0.0016</v>
      </c>
      <c r="AF8" s="250">
        <f t="shared" si="6"/>
        <v>6.08</v>
      </c>
      <c r="AG8" s="250"/>
      <c r="AH8" s="250"/>
      <c r="AI8" s="250"/>
      <c r="AJ8" s="250"/>
      <c r="AK8" s="250"/>
      <c r="AL8" s="288"/>
      <c r="AM8" s="250"/>
      <c r="AN8" s="250"/>
      <c r="AO8" s="250"/>
      <c r="AP8" s="251"/>
      <c r="AQ8" s="293">
        <v>26.76</v>
      </c>
      <c r="AR8" s="250"/>
      <c r="AS8" s="294">
        <f t="shared" si="7"/>
        <v>969.55</v>
      </c>
      <c r="AT8" s="294">
        <f t="shared" si="8"/>
        <v>435.35</v>
      </c>
      <c r="AU8" s="294">
        <f t="shared" si="9"/>
        <v>0</v>
      </c>
      <c r="AV8" s="294">
        <f t="shared" si="10"/>
        <v>0</v>
      </c>
      <c r="AW8" s="294">
        <f t="shared" si="11"/>
        <v>1404.9</v>
      </c>
      <c r="AX8" s="303">
        <f t="shared" si="12"/>
        <v>1404.9</v>
      </c>
      <c r="AY8" s="303"/>
      <c r="AZ8" s="303">
        <f t="shared" si="13"/>
        <v>0</v>
      </c>
      <c r="BA8" s="303"/>
      <c r="BB8" s="304">
        <v>80</v>
      </c>
      <c r="BC8" s="303">
        <f t="shared" si="14"/>
        <v>1484.9</v>
      </c>
      <c r="BD8" s="305"/>
      <c r="BE8" s="322"/>
      <c r="BF8" s="322"/>
      <c r="BG8" s="322"/>
      <c r="BH8" s="322"/>
    </row>
    <row r="9" s="239" customFormat="1" ht="18" customHeight="1" spans="1:60">
      <c r="A9" s="256" t="s">
        <v>55</v>
      </c>
      <c r="B9" s="257" t="s">
        <v>39</v>
      </c>
      <c r="C9" s="258" t="s">
        <v>50</v>
      </c>
      <c r="D9" s="259" t="s">
        <v>41</v>
      </c>
      <c r="E9" s="257" t="s">
        <v>51</v>
      </c>
      <c r="F9" s="260" t="s">
        <v>52</v>
      </c>
      <c r="G9" s="325" t="s">
        <v>53</v>
      </c>
      <c r="H9" s="259" t="s">
        <v>45</v>
      </c>
      <c r="I9" s="259" t="s">
        <v>54</v>
      </c>
      <c r="J9" s="259" t="s">
        <v>56</v>
      </c>
      <c r="K9" s="259" t="s">
        <v>54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87">
        <f t="shared" ref="AD9:AD11" si="16">3803-3000</f>
        <v>803</v>
      </c>
      <c r="AE9" s="287">
        <v>0.0016</v>
      </c>
      <c r="AF9" s="287">
        <f t="shared" si="6"/>
        <v>1.28</v>
      </c>
      <c r="AG9" s="256"/>
      <c r="AH9" s="256"/>
      <c r="AI9" s="256"/>
      <c r="AJ9" s="256"/>
      <c r="AK9" s="256"/>
      <c r="AL9" s="289"/>
      <c r="AM9" s="256"/>
      <c r="AN9" s="256"/>
      <c r="AO9" s="256"/>
      <c r="AP9" s="257"/>
      <c r="AQ9" s="295"/>
      <c r="AR9" s="256"/>
      <c r="AS9" s="296">
        <f t="shared" si="7"/>
        <v>1.28</v>
      </c>
      <c r="AT9" s="296">
        <f t="shared" si="8"/>
        <v>0</v>
      </c>
      <c r="AU9" s="296">
        <f t="shared" si="9"/>
        <v>0</v>
      </c>
      <c r="AV9" s="296">
        <f t="shared" si="10"/>
        <v>0</v>
      </c>
      <c r="AW9" s="296">
        <f t="shared" si="11"/>
        <v>1.28</v>
      </c>
      <c r="AX9" s="306">
        <f t="shared" si="12"/>
        <v>1.28</v>
      </c>
      <c r="AY9" s="306"/>
      <c r="AZ9" s="306"/>
      <c r="BA9" s="306"/>
      <c r="BB9" s="307"/>
      <c r="BC9" s="306">
        <f t="shared" si="14"/>
        <v>1.28</v>
      </c>
      <c r="BD9" s="308" t="s">
        <v>57</v>
      </c>
      <c r="BE9" s="323"/>
      <c r="BF9" s="323"/>
      <c r="BG9" s="323"/>
      <c r="BH9" s="323"/>
    </row>
    <row r="10" s="239" customFormat="1" ht="18" customHeight="1" spans="1:60">
      <c r="A10" s="256" t="s">
        <v>55</v>
      </c>
      <c r="B10" s="257" t="s">
        <v>39</v>
      </c>
      <c r="C10" s="258" t="s">
        <v>50</v>
      </c>
      <c r="D10" s="259" t="s">
        <v>41</v>
      </c>
      <c r="E10" s="257" t="s">
        <v>51</v>
      </c>
      <c r="F10" s="260" t="s">
        <v>52</v>
      </c>
      <c r="G10" s="325" t="s">
        <v>53</v>
      </c>
      <c r="H10" s="259" t="s">
        <v>45</v>
      </c>
      <c r="I10" s="259" t="s">
        <v>54</v>
      </c>
      <c r="J10" s="259" t="s">
        <v>58</v>
      </c>
      <c r="K10" s="259" t="s">
        <v>54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7">
        <f t="shared" si="16"/>
        <v>803</v>
      </c>
      <c r="AE10" s="287">
        <v>0.0016</v>
      </c>
      <c r="AF10" s="287">
        <f t="shared" si="6"/>
        <v>1.28</v>
      </c>
      <c r="AG10" s="256"/>
      <c r="AH10" s="256"/>
      <c r="AI10" s="256"/>
      <c r="AJ10" s="256"/>
      <c r="AK10" s="256"/>
      <c r="AL10" s="289"/>
      <c r="AM10" s="256"/>
      <c r="AN10" s="256"/>
      <c r="AO10" s="256"/>
      <c r="AP10" s="257"/>
      <c r="AQ10" s="295"/>
      <c r="AR10" s="256"/>
      <c r="AS10" s="296">
        <f t="shared" si="7"/>
        <v>1.28</v>
      </c>
      <c r="AT10" s="296">
        <f t="shared" si="8"/>
        <v>0</v>
      </c>
      <c r="AU10" s="296">
        <f t="shared" si="9"/>
        <v>0</v>
      </c>
      <c r="AV10" s="296">
        <f t="shared" si="10"/>
        <v>0</v>
      </c>
      <c r="AW10" s="296">
        <f t="shared" si="11"/>
        <v>1.28</v>
      </c>
      <c r="AX10" s="306">
        <f t="shared" si="12"/>
        <v>1.28</v>
      </c>
      <c r="AY10" s="306"/>
      <c r="AZ10" s="306"/>
      <c r="BA10" s="306"/>
      <c r="BB10" s="307"/>
      <c r="BC10" s="306">
        <f t="shared" si="14"/>
        <v>1.28</v>
      </c>
      <c r="BD10" s="308" t="s">
        <v>57</v>
      </c>
      <c r="BE10" s="323"/>
      <c r="BF10" s="323"/>
      <c r="BG10" s="323"/>
      <c r="BH10" s="323"/>
    </row>
    <row r="11" s="239" customFormat="1" ht="18" customHeight="1" spans="1:60">
      <c r="A11" s="256" t="s">
        <v>55</v>
      </c>
      <c r="B11" s="257" t="s">
        <v>39</v>
      </c>
      <c r="C11" s="258" t="s">
        <v>50</v>
      </c>
      <c r="D11" s="259" t="s">
        <v>41</v>
      </c>
      <c r="E11" s="257" t="s">
        <v>51</v>
      </c>
      <c r="F11" s="260" t="s">
        <v>52</v>
      </c>
      <c r="G11" s="325" t="s">
        <v>53</v>
      </c>
      <c r="H11" s="259" t="s">
        <v>45</v>
      </c>
      <c r="I11" s="259" t="s">
        <v>54</v>
      </c>
      <c r="J11" s="259" t="s">
        <v>59</v>
      </c>
      <c r="K11" s="259" t="s">
        <v>54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87">
        <f t="shared" si="16"/>
        <v>803</v>
      </c>
      <c r="AE11" s="287">
        <v>0.0016</v>
      </c>
      <c r="AF11" s="287">
        <f t="shared" si="6"/>
        <v>1.28</v>
      </c>
      <c r="AG11" s="256"/>
      <c r="AH11" s="256"/>
      <c r="AI11" s="256"/>
      <c r="AJ11" s="256"/>
      <c r="AK11" s="256"/>
      <c r="AL11" s="289"/>
      <c r="AM11" s="256"/>
      <c r="AN11" s="256"/>
      <c r="AO11" s="256"/>
      <c r="AP11" s="257"/>
      <c r="AQ11" s="295"/>
      <c r="AR11" s="256"/>
      <c r="AS11" s="296">
        <f t="shared" si="7"/>
        <v>1.28</v>
      </c>
      <c r="AT11" s="296">
        <f t="shared" si="8"/>
        <v>0</v>
      </c>
      <c r="AU11" s="296">
        <f t="shared" si="9"/>
        <v>0</v>
      </c>
      <c r="AV11" s="296">
        <f t="shared" si="10"/>
        <v>0</v>
      </c>
      <c r="AW11" s="296">
        <f t="shared" si="11"/>
        <v>1.28</v>
      </c>
      <c r="AX11" s="306">
        <f t="shared" si="12"/>
        <v>1.28</v>
      </c>
      <c r="AY11" s="306"/>
      <c r="AZ11" s="306"/>
      <c r="BA11" s="306"/>
      <c r="BB11" s="307"/>
      <c r="BC11" s="306">
        <f t="shared" si="14"/>
        <v>1.28</v>
      </c>
      <c r="BD11" s="308" t="s">
        <v>57</v>
      </c>
      <c r="BE11" s="323"/>
      <c r="BF11" s="323"/>
      <c r="BG11" s="323"/>
      <c r="BH11" s="323"/>
    </row>
    <row r="12" s="238" customFormat="1" ht="18" customHeight="1" spans="1:60">
      <c r="A12" s="250">
        <v>3</v>
      </c>
      <c r="B12" s="251" t="s">
        <v>39</v>
      </c>
      <c r="C12" s="252" t="s">
        <v>60</v>
      </c>
      <c r="D12" s="253" t="s">
        <v>41</v>
      </c>
      <c r="E12" s="251" t="s">
        <v>51</v>
      </c>
      <c r="F12" s="254" t="s">
        <v>61</v>
      </c>
      <c r="G12" s="255" t="s">
        <v>62</v>
      </c>
      <c r="H12" s="253" t="s">
        <v>63</v>
      </c>
      <c r="I12" s="253" t="s">
        <v>63</v>
      </c>
      <c r="J12" s="253" t="s">
        <v>48</v>
      </c>
      <c r="K12" s="253" t="s">
        <v>48</v>
      </c>
      <c r="L12" s="250">
        <v>3053.05</v>
      </c>
      <c r="M12" s="250">
        <v>0.16</v>
      </c>
      <c r="N12" s="250">
        <f t="shared" ref="N12:N15" si="17">ROUND(L12*M12,2)</f>
        <v>488.49</v>
      </c>
      <c r="O12" s="250">
        <v>0.08</v>
      </c>
      <c r="P12" s="250">
        <f t="shared" ref="P12:P15" si="18">ROUND(L12*O12,2)</f>
        <v>244.24</v>
      </c>
      <c r="Q12" s="250">
        <v>3053.05</v>
      </c>
      <c r="R12" s="250">
        <v>0.06</v>
      </c>
      <c r="S12" s="250">
        <f t="shared" ref="S12:S15" si="19">ROUND(Q12*R12,2)</f>
        <v>183.18</v>
      </c>
      <c r="T12" s="250">
        <v>0.02</v>
      </c>
      <c r="U12" s="250">
        <f t="shared" ref="U12:U15" si="20">ROUND(Q12*T12,2)</f>
        <v>61.06</v>
      </c>
      <c r="V12" s="250">
        <v>3053.05</v>
      </c>
      <c r="W12" s="250">
        <v>0.007</v>
      </c>
      <c r="X12" s="250">
        <f t="shared" ref="X12:X15" si="21">ROUND(V12*W12,2)</f>
        <v>21.37</v>
      </c>
      <c r="Y12" s="250">
        <v>0.003</v>
      </c>
      <c r="Z12" s="250">
        <f t="shared" ref="Z12:Z15" si="22">ROUND(V12*Y12,2)</f>
        <v>9.16</v>
      </c>
      <c r="AA12" s="250">
        <v>3053.05</v>
      </c>
      <c r="AB12" s="250">
        <v>0.007</v>
      </c>
      <c r="AC12" s="250">
        <f t="shared" ref="AC12:AC15" si="23">ROUND(AA12*AB12,2)</f>
        <v>21.37</v>
      </c>
      <c r="AD12" s="250">
        <v>3053.05</v>
      </c>
      <c r="AE12" s="250">
        <v>0.002</v>
      </c>
      <c r="AF12" s="250">
        <f t="shared" si="6"/>
        <v>6.11</v>
      </c>
      <c r="AG12" s="250" t="s">
        <v>64</v>
      </c>
      <c r="AH12" s="250">
        <v>0.05</v>
      </c>
      <c r="AI12" s="250">
        <f t="shared" ref="AI12:AI15" si="24">ROUND(AG12*AH12,2)</f>
        <v>79</v>
      </c>
      <c r="AJ12" s="250">
        <v>0.05</v>
      </c>
      <c r="AK12" s="250">
        <f t="shared" ref="AK12:AK15" si="25">ROUND(AG12*AJ12,2)</f>
        <v>79</v>
      </c>
      <c r="AL12" s="288"/>
      <c r="AM12" s="250"/>
      <c r="AN12" s="250"/>
      <c r="AO12" s="250"/>
      <c r="AP12" s="251"/>
      <c r="AQ12" s="293"/>
      <c r="AR12" s="250">
        <v>96</v>
      </c>
      <c r="AS12" s="294">
        <f t="shared" si="7"/>
        <v>720.52</v>
      </c>
      <c r="AT12" s="294">
        <f t="shared" si="8"/>
        <v>314.46</v>
      </c>
      <c r="AU12" s="294">
        <f t="shared" si="9"/>
        <v>79</v>
      </c>
      <c r="AV12" s="294">
        <f t="shared" si="10"/>
        <v>79</v>
      </c>
      <c r="AW12" s="294">
        <f t="shared" si="11"/>
        <v>1192.98</v>
      </c>
      <c r="AX12" s="303">
        <f t="shared" si="12"/>
        <v>1034.98</v>
      </c>
      <c r="AY12" s="303"/>
      <c r="AZ12" s="303">
        <f t="shared" ref="AZ12:AZ15" si="26">AU12+AV12</f>
        <v>158</v>
      </c>
      <c r="BA12" s="303"/>
      <c r="BB12" s="304">
        <v>80</v>
      </c>
      <c r="BC12" s="303">
        <f t="shared" si="14"/>
        <v>1272.98</v>
      </c>
      <c r="BD12" s="305"/>
      <c r="BE12" s="322"/>
      <c r="BF12" s="322"/>
      <c r="BG12" s="322"/>
      <c r="BH12" s="322"/>
    </row>
    <row r="13" s="238" customFormat="1" ht="18" customHeight="1" spans="1:60">
      <c r="A13" s="250"/>
      <c r="B13" s="251" t="s">
        <v>39</v>
      </c>
      <c r="C13" s="252" t="s">
        <v>60</v>
      </c>
      <c r="D13" s="253" t="s">
        <v>41</v>
      </c>
      <c r="E13" s="251" t="s">
        <v>51</v>
      </c>
      <c r="F13" s="254" t="s">
        <v>61</v>
      </c>
      <c r="G13" s="255" t="s">
        <v>62</v>
      </c>
      <c r="H13" s="253" t="s">
        <v>63</v>
      </c>
      <c r="I13" s="253" t="s">
        <v>63</v>
      </c>
      <c r="J13" s="253" t="s">
        <v>49</v>
      </c>
      <c r="K13" s="253" t="s">
        <v>49</v>
      </c>
      <c r="L13" s="250">
        <v>3053.05</v>
      </c>
      <c r="M13" s="250">
        <v>0.16</v>
      </c>
      <c r="N13" s="250">
        <f t="shared" si="17"/>
        <v>488.49</v>
      </c>
      <c r="O13" s="250">
        <v>0.08</v>
      </c>
      <c r="P13" s="250">
        <f t="shared" si="18"/>
        <v>244.24</v>
      </c>
      <c r="Q13" s="250">
        <v>3053.05</v>
      </c>
      <c r="R13" s="250">
        <v>0.06</v>
      </c>
      <c r="S13" s="250">
        <f t="shared" si="19"/>
        <v>183.18</v>
      </c>
      <c r="T13" s="250">
        <v>0.02</v>
      </c>
      <c r="U13" s="250">
        <f t="shared" si="20"/>
        <v>61.06</v>
      </c>
      <c r="V13" s="250">
        <v>3053.05</v>
      </c>
      <c r="W13" s="250">
        <v>0.007</v>
      </c>
      <c r="X13" s="250">
        <f t="shared" si="21"/>
        <v>21.37</v>
      </c>
      <c r="Y13" s="250">
        <v>0.003</v>
      </c>
      <c r="Z13" s="250">
        <f t="shared" si="22"/>
        <v>9.16</v>
      </c>
      <c r="AA13" s="250">
        <v>3053.05</v>
      </c>
      <c r="AB13" s="250">
        <v>0.007</v>
      </c>
      <c r="AC13" s="250">
        <f t="shared" si="23"/>
        <v>21.37</v>
      </c>
      <c r="AD13" s="250">
        <v>3053.05</v>
      </c>
      <c r="AE13" s="250">
        <v>0.002</v>
      </c>
      <c r="AF13" s="250">
        <f t="shared" si="6"/>
        <v>6.11</v>
      </c>
      <c r="AG13" s="250" t="s">
        <v>64</v>
      </c>
      <c r="AH13" s="250">
        <v>0.05</v>
      </c>
      <c r="AI13" s="250">
        <f t="shared" si="24"/>
        <v>79</v>
      </c>
      <c r="AJ13" s="250">
        <v>0.05</v>
      </c>
      <c r="AK13" s="250">
        <f t="shared" si="25"/>
        <v>79</v>
      </c>
      <c r="AL13" s="288"/>
      <c r="AM13" s="250"/>
      <c r="AN13" s="250"/>
      <c r="AO13" s="250"/>
      <c r="AP13" s="251"/>
      <c r="AQ13" s="293"/>
      <c r="AR13" s="293"/>
      <c r="AS13" s="294">
        <f t="shared" si="7"/>
        <v>720.52</v>
      </c>
      <c r="AT13" s="294">
        <f t="shared" si="8"/>
        <v>314.46</v>
      </c>
      <c r="AU13" s="294">
        <f t="shared" si="9"/>
        <v>79</v>
      </c>
      <c r="AV13" s="294">
        <f t="shared" si="10"/>
        <v>79</v>
      </c>
      <c r="AW13" s="294">
        <f t="shared" si="11"/>
        <v>1192.98</v>
      </c>
      <c r="AX13" s="303">
        <f t="shared" si="12"/>
        <v>1034.98</v>
      </c>
      <c r="AY13" s="303"/>
      <c r="AZ13" s="303">
        <f t="shared" si="26"/>
        <v>158</v>
      </c>
      <c r="BA13" s="303"/>
      <c r="BB13" s="304">
        <v>80</v>
      </c>
      <c r="BC13" s="303">
        <f t="shared" si="14"/>
        <v>1272.98</v>
      </c>
      <c r="BD13" s="305"/>
      <c r="BE13" s="322"/>
      <c r="BF13" s="322"/>
      <c r="BG13" s="322"/>
      <c r="BH13" s="322"/>
    </row>
    <row r="14" s="238" customFormat="1" ht="18" customHeight="1" spans="1:60">
      <c r="A14" s="250"/>
      <c r="B14" s="251" t="s">
        <v>39</v>
      </c>
      <c r="C14" s="252" t="s">
        <v>60</v>
      </c>
      <c r="D14" s="253" t="s">
        <v>41</v>
      </c>
      <c r="E14" s="251" t="s">
        <v>51</v>
      </c>
      <c r="F14" s="254" t="s">
        <v>61</v>
      </c>
      <c r="G14" s="255" t="s">
        <v>62</v>
      </c>
      <c r="H14" s="253" t="s">
        <v>63</v>
      </c>
      <c r="I14" s="253" t="s">
        <v>63</v>
      </c>
      <c r="J14" s="253" t="s">
        <v>65</v>
      </c>
      <c r="K14" s="253" t="s">
        <v>65</v>
      </c>
      <c r="L14" s="250">
        <v>3053.05</v>
      </c>
      <c r="M14" s="250">
        <v>0.16</v>
      </c>
      <c r="N14" s="250">
        <f t="shared" si="17"/>
        <v>488.49</v>
      </c>
      <c r="O14" s="250">
        <v>0.08</v>
      </c>
      <c r="P14" s="250">
        <f t="shared" si="18"/>
        <v>244.24</v>
      </c>
      <c r="Q14" s="250">
        <v>3053.05</v>
      </c>
      <c r="R14" s="250">
        <v>0.06</v>
      </c>
      <c r="S14" s="250">
        <f t="shared" si="19"/>
        <v>183.18</v>
      </c>
      <c r="T14" s="250">
        <v>0.02</v>
      </c>
      <c r="U14" s="250">
        <f t="shared" si="20"/>
        <v>61.06</v>
      </c>
      <c r="V14" s="250">
        <v>3053.05</v>
      </c>
      <c r="W14" s="250">
        <v>0.007</v>
      </c>
      <c r="X14" s="250">
        <f t="shared" si="21"/>
        <v>21.37</v>
      </c>
      <c r="Y14" s="250">
        <v>0.003</v>
      </c>
      <c r="Z14" s="250">
        <f t="shared" si="22"/>
        <v>9.16</v>
      </c>
      <c r="AA14" s="250">
        <v>3053.05</v>
      </c>
      <c r="AB14" s="250">
        <v>0.007</v>
      </c>
      <c r="AC14" s="250">
        <f t="shared" si="23"/>
        <v>21.37</v>
      </c>
      <c r="AD14" s="250">
        <v>3053.05</v>
      </c>
      <c r="AE14" s="250">
        <v>0.002</v>
      </c>
      <c r="AF14" s="250">
        <f t="shared" si="6"/>
        <v>6.11</v>
      </c>
      <c r="AG14" s="250" t="s">
        <v>64</v>
      </c>
      <c r="AH14" s="250">
        <v>0.05</v>
      </c>
      <c r="AI14" s="250">
        <f t="shared" si="24"/>
        <v>79</v>
      </c>
      <c r="AJ14" s="250">
        <v>0.05</v>
      </c>
      <c r="AK14" s="250">
        <f t="shared" si="25"/>
        <v>79</v>
      </c>
      <c r="AL14" s="288"/>
      <c r="AM14" s="250"/>
      <c r="AN14" s="250"/>
      <c r="AO14" s="250"/>
      <c r="AP14" s="251"/>
      <c r="AQ14" s="293"/>
      <c r="AR14" s="293"/>
      <c r="AS14" s="294">
        <f t="shared" si="7"/>
        <v>720.52</v>
      </c>
      <c r="AT14" s="294">
        <f t="shared" si="8"/>
        <v>314.46</v>
      </c>
      <c r="AU14" s="294">
        <f t="shared" si="9"/>
        <v>79</v>
      </c>
      <c r="AV14" s="294">
        <f t="shared" si="10"/>
        <v>79</v>
      </c>
      <c r="AW14" s="294">
        <f t="shared" si="11"/>
        <v>1192.98</v>
      </c>
      <c r="AX14" s="303">
        <f t="shared" si="12"/>
        <v>1034.98</v>
      </c>
      <c r="AY14" s="303"/>
      <c r="AZ14" s="303">
        <f t="shared" si="26"/>
        <v>158</v>
      </c>
      <c r="BA14" s="303"/>
      <c r="BB14" s="304">
        <v>80</v>
      </c>
      <c r="BC14" s="303">
        <f t="shared" si="14"/>
        <v>1272.98</v>
      </c>
      <c r="BD14" s="305"/>
      <c r="BE14" s="322"/>
      <c r="BF14" s="322"/>
      <c r="BG14" s="322"/>
      <c r="BH14" s="322"/>
    </row>
    <row r="15" s="239" customFormat="1" ht="18" customHeight="1" spans="1:60">
      <c r="A15" s="256" t="s">
        <v>55</v>
      </c>
      <c r="B15" s="257" t="s">
        <v>39</v>
      </c>
      <c r="C15" s="258" t="s">
        <v>60</v>
      </c>
      <c r="D15" s="259" t="s">
        <v>41</v>
      </c>
      <c r="E15" s="257" t="s">
        <v>51</v>
      </c>
      <c r="F15" s="260" t="s">
        <v>61</v>
      </c>
      <c r="G15" s="261" t="s">
        <v>62</v>
      </c>
      <c r="H15" s="259" t="s">
        <v>63</v>
      </c>
      <c r="I15" s="259" t="s">
        <v>63</v>
      </c>
      <c r="J15" s="259" t="s">
        <v>63</v>
      </c>
      <c r="K15" s="259" t="s">
        <v>63</v>
      </c>
      <c r="L15" s="256">
        <v>3053.05</v>
      </c>
      <c r="M15" s="256">
        <v>0.16</v>
      </c>
      <c r="N15" s="256">
        <f t="shared" si="17"/>
        <v>488.49</v>
      </c>
      <c r="O15" s="256">
        <v>0.08</v>
      </c>
      <c r="P15" s="256">
        <f t="shared" si="18"/>
        <v>244.24</v>
      </c>
      <c r="Q15" s="256">
        <v>3053.05</v>
      </c>
      <c r="R15" s="256">
        <v>0.06</v>
      </c>
      <c r="S15" s="256">
        <f t="shared" si="19"/>
        <v>183.18</v>
      </c>
      <c r="T15" s="256">
        <v>0.02</v>
      </c>
      <c r="U15" s="256">
        <f t="shared" si="20"/>
        <v>61.06</v>
      </c>
      <c r="V15" s="256">
        <v>3053.05</v>
      </c>
      <c r="W15" s="256">
        <v>0.007</v>
      </c>
      <c r="X15" s="256">
        <f t="shared" si="21"/>
        <v>21.37</v>
      </c>
      <c r="Y15" s="256">
        <v>0.003</v>
      </c>
      <c r="Z15" s="256">
        <f t="shared" si="22"/>
        <v>9.16</v>
      </c>
      <c r="AA15" s="256">
        <v>3053.05</v>
      </c>
      <c r="AB15" s="256">
        <v>0.007</v>
      </c>
      <c r="AC15" s="256">
        <f t="shared" si="23"/>
        <v>21.37</v>
      </c>
      <c r="AD15" s="256">
        <v>3053.05</v>
      </c>
      <c r="AE15" s="256">
        <v>0.002</v>
      </c>
      <c r="AF15" s="256">
        <f t="shared" si="6"/>
        <v>6.11</v>
      </c>
      <c r="AG15" s="256" t="s">
        <v>64</v>
      </c>
      <c r="AH15" s="256">
        <v>0.05</v>
      </c>
      <c r="AI15" s="256">
        <f t="shared" si="24"/>
        <v>79</v>
      </c>
      <c r="AJ15" s="256">
        <v>0.05</v>
      </c>
      <c r="AK15" s="256">
        <f t="shared" si="25"/>
        <v>79</v>
      </c>
      <c r="AL15" s="289"/>
      <c r="AM15" s="256"/>
      <c r="AN15" s="256"/>
      <c r="AO15" s="256"/>
      <c r="AP15" s="257"/>
      <c r="AQ15" s="295"/>
      <c r="AR15" s="295"/>
      <c r="AS15" s="296">
        <f t="shared" si="7"/>
        <v>720.52</v>
      </c>
      <c r="AT15" s="296">
        <f t="shared" si="8"/>
        <v>314.46</v>
      </c>
      <c r="AU15" s="296">
        <f t="shared" si="9"/>
        <v>79</v>
      </c>
      <c r="AV15" s="296">
        <f t="shared" si="10"/>
        <v>79</v>
      </c>
      <c r="AW15" s="296">
        <f t="shared" si="11"/>
        <v>1192.98</v>
      </c>
      <c r="AX15" s="306">
        <f t="shared" si="12"/>
        <v>1034.98</v>
      </c>
      <c r="AY15" s="306"/>
      <c r="AZ15" s="306">
        <f t="shared" si="26"/>
        <v>158</v>
      </c>
      <c r="BA15" s="306"/>
      <c r="BB15" s="307">
        <v>80</v>
      </c>
      <c r="BC15" s="306">
        <f t="shared" si="14"/>
        <v>1272.98</v>
      </c>
      <c r="BD15" s="308"/>
      <c r="BE15" s="323"/>
      <c r="BF15" s="323"/>
      <c r="BG15" s="323"/>
      <c r="BH15" s="323"/>
    </row>
    <row r="16" s="240" customFormat="1" ht="18" customHeight="1" spans="1:60">
      <c r="A16" s="262"/>
      <c r="B16" s="263"/>
      <c r="C16" s="264"/>
      <c r="D16" s="265"/>
      <c r="E16" s="266"/>
      <c r="F16" s="267"/>
      <c r="G16" s="268"/>
      <c r="H16" s="269"/>
      <c r="I16" s="265"/>
      <c r="J16" s="269"/>
      <c r="K16" s="269"/>
      <c r="L16" s="282"/>
      <c r="M16" s="282"/>
      <c r="N16" s="283"/>
      <c r="O16" s="282"/>
      <c r="P16" s="282"/>
      <c r="Q16" s="282"/>
      <c r="R16" s="282"/>
      <c r="S16" s="282"/>
      <c r="T16" s="282"/>
      <c r="U16" s="282"/>
      <c r="V16" s="285"/>
      <c r="W16" s="285"/>
      <c r="X16" s="286"/>
      <c r="Y16" s="285"/>
      <c r="Z16" s="282"/>
      <c r="AA16" s="282"/>
      <c r="AB16" s="282"/>
      <c r="AC16" s="282"/>
      <c r="AD16" s="282"/>
      <c r="AE16" s="282"/>
      <c r="AF16" s="283"/>
      <c r="AG16" s="282"/>
      <c r="AH16" s="282"/>
      <c r="AI16" s="282"/>
      <c r="AJ16" s="282"/>
      <c r="AK16" s="282"/>
      <c r="AL16" s="290"/>
      <c r="AM16" s="282"/>
      <c r="AN16" s="282"/>
      <c r="AO16" s="282"/>
      <c r="AP16" s="297"/>
      <c r="AQ16" s="298"/>
      <c r="AR16" s="282"/>
      <c r="AS16" s="299"/>
      <c r="AT16" s="299"/>
      <c r="AU16" s="299"/>
      <c r="AV16" s="299"/>
      <c r="AW16" s="299"/>
      <c r="AX16" s="309"/>
      <c r="AY16" s="310"/>
      <c r="AZ16" s="309"/>
      <c r="BA16" s="310"/>
      <c r="BB16" s="311"/>
      <c r="BC16" s="309"/>
      <c r="BD16" s="312"/>
      <c r="BE16" s="243"/>
      <c r="BF16" s="243"/>
      <c r="BG16" s="243"/>
      <c r="BH16" s="243"/>
    </row>
    <row r="17" ht="14.25" spans="1:56">
      <c r="A17" s="270" t="s">
        <v>66</v>
      </c>
      <c r="B17" s="271"/>
      <c r="C17" s="272"/>
      <c r="D17" s="272"/>
      <c r="E17" s="273"/>
      <c r="F17" s="272"/>
      <c r="G17" s="272"/>
      <c r="H17" s="272"/>
      <c r="I17" s="272"/>
      <c r="J17" s="272"/>
      <c r="K17" s="272"/>
      <c r="L17" s="273">
        <f t="shared" ref="L17:BC17" si="27">SUM(L3:L15)</f>
        <v>33521.2</v>
      </c>
      <c r="M17" s="273">
        <f t="shared" si="27"/>
        <v>1.54</v>
      </c>
      <c r="N17" s="273">
        <f t="shared" si="27"/>
        <v>5135.22</v>
      </c>
      <c r="O17" s="273">
        <f t="shared" si="27"/>
        <v>0.8</v>
      </c>
      <c r="P17" s="273">
        <f t="shared" si="27"/>
        <v>2681.68</v>
      </c>
      <c r="Q17" s="273">
        <f t="shared" si="27"/>
        <v>40637.2</v>
      </c>
      <c r="R17" s="273">
        <f t="shared" si="27"/>
        <v>0.645</v>
      </c>
      <c r="S17" s="273">
        <f t="shared" si="27"/>
        <v>2543.61</v>
      </c>
      <c r="T17" s="273">
        <f t="shared" si="27"/>
        <v>0.2</v>
      </c>
      <c r="U17" s="273">
        <f t="shared" si="27"/>
        <v>812.74</v>
      </c>
      <c r="V17" s="273">
        <f t="shared" si="27"/>
        <v>33521.2</v>
      </c>
      <c r="W17" s="273">
        <f t="shared" si="27"/>
        <v>0.0586</v>
      </c>
      <c r="X17" s="273">
        <f t="shared" si="27"/>
        <v>191.29</v>
      </c>
      <c r="Y17" s="273">
        <f t="shared" si="27"/>
        <v>0.027</v>
      </c>
      <c r="Z17" s="273">
        <f t="shared" si="27"/>
        <v>89.17</v>
      </c>
      <c r="AA17" s="273">
        <f t="shared" si="27"/>
        <v>30737.2</v>
      </c>
      <c r="AB17" s="273">
        <f t="shared" si="27"/>
        <v>0.0535</v>
      </c>
      <c r="AC17" s="273">
        <f t="shared" si="27"/>
        <v>242.95</v>
      </c>
      <c r="AD17" s="273">
        <f t="shared" si="27"/>
        <v>35930.2</v>
      </c>
      <c r="AE17" s="273">
        <f t="shared" si="27"/>
        <v>0.0236</v>
      </c>
      <c r="AF17" s="273">
        <f t="shared" si="27"/>
        <v>66.32</v>
      </c>
      <c r="AG17" s="273">
        <f t="shared" si="27"/>
        <v>9000</v>
      </c>
      <c r="AH17" s="273">
        <f t="shared" si="27"/>
        <v>0.5</v>
      </c>
      <c r="AI17" s="273">
        <f t="shared" si="27"/>
        <v>1216</v>
      </c>
      <c r="AJ17" s="273">
        <f t="shared" si="27"/>
        <v>0.38</v>
      </c>
      <c r="AK17" s="273">
        <f t="shared" si="27"/>
        <v>856</v>
      </c>
      <c r="AL17" s="273">
        <f t="shared" si="27"/>
        <v>0</v>
      </c>
      <c r="AM17" s="273">
        <f t="shared" si="27"/>
        <v>0</v>
      </c>
      <c r="AN17" s="273">
        <f t="shared" si="27"/>
        <v>0</v>
      </c>
      <c r="AO17" s="273">
        <f t="shared" si="27"/>
        <v>0</v>
      </c>
      <c r="AP17" s="273">
        <f t="shared" si="27"/>
        <v>0</v>
      </c>
      <c r="AQ17" s="273">
        <f t="shared" si="27"/>
        <v>95.28</v>
      </c>
      <c r="AR17" s="273">
        <f t="shared" si="27"/>
        <v>96</v>
      </c>
      <c r="AS17" s="273">
        <f t="shared" si="27"/>
        <v>8274.67</v>
      </c>
      <c r="AT17" s="273">
        <f t="shared" si="27"/>
        <v>3583.59</v>
      </c>
      <c r="AU17" s="273">
        <f t="shared" si="27"/>
        <v>1216</v>
      </c>
      <c r="AV17" s="273">
        <f t="shared" si="27"/>
        <v>856</v>
      </c>
      <c r="AW17" s="273">
        <f t="shared" si="27"/>
        <v>13930.26</v>
      </c>
      <c r="AX17" s="273">
        <f t="shared" si="27"/>
        <v>11858.26</v>
      </c>
      <c r="AY17" s="273">
        <f t="shared" si="27"/>
        <v>0</v>
      </c>
      <c r="AZ17" s="273">
        <f t="shared" si="27"/>
        <v>2072</v>
      </c>
      <c r="BA17" s="273">
        <f t="shared" si="27"/>
        <v>0</v>
      </c>
      <c r="BB17" s="273">
        <f t="shared" si="27"/>
        <v>800</v>
      </c>
      <c r="BC17" s="273">
        <f t="shared" si="27"/>
        <v>14730.26</v>
      </c>
      <c r="BD17" s="313"/>
    </row>
    <row r="18" ht="15" spans="1:56">
      <c r="A18" s="274" t="s">
        <v>23</v>
      </c>
      <c r="B18" s="275"/>
      <c r="C18" s="276"/>
      <c r="D18" s="276"/>
      <c r="E18" s="277"/>
      <c r="F18" s="277"/>
      <c r="G18" s="277"/>
      <c r="H18" s="277"/>
      <c r="I18" s="277"/>
      <c r="J18" s="277"/>
      <c r="K18" s="277"/>
      <c r="L18" s="284">
        <f t="shared" ref="L18:AX18" si="28">SUM(L17:L17)</f>
        <v>33521.2</v>
      </c>
      <c r="M18" s="284">
        <f t="shared" si="28"/>
        <v>1.54</v>
      </c>
      <c r="N18" s="284">
        <f t="shared" si="28"/>
        <v>5135.22</v>
      </c>
      <c r="O18" s="284">
        <f t="shared" si="28"/>
        <v>0.8</v>
      </c>
      <c r="P18" s="284">
        <f t="shared" si="28"/>
        <v>2681.68</v>
      </c>
      <c r="Q18" s="284">
        <f t="shared" si="28"/>
        <v>40637.2</v>
      </c>
      <c r="R18" s="284">
        <f t="shared" si="28"/>
        <v>0.645</v>
      </c>
      <c r="S18" s="284">
        <f t="shared" si="28"/>
        <v>2543.61</v>
      </c>
      <c r="T18" s="284">
        <f t="shared" si="28"/>
        <v>0.2</v>
      </c>
      <c r="U18" s="284">
        <f t="shared" si="28"/>
        <v>812.74</v>
      </c>
      <c r="V18" s="284">
        <f t="shared" si="28"/>
        <v>33521.2</v>
      </c>
      <c r="W18" s="284">
        <f t="shared" si="28"/>
        <v>0.0586</v>
      </c>
      <c r="X18" s="284">
        <f t="shared" si="28"/>
        <v>191.29</v>
      </c>
      <c r="Y18" s="284">
        <f t="shared" si="28"/>
        <v>0.027</v>
      </c>
      <c r="Z18" s="284">
        <f t="shared" si="28"/>
        <v>89.17</v>
      </c>
      <c r="AA18" s="284">
        <f t="shared" si="28"/>
        <v>30737.2</v>
      </c>
      <c r="AB18" s="284">
        <f t="shared" si="28"/>
        <v>0.0535</v>
      </c>
      <c r="AC18" s="284">
        <f t="shared" si="28"/>
        <v>242.95</v>
      </c>
      <c r="AD18" s="284">
        <f t="shared" si="28"/>
        <v>35930.2</v>
      </c>
      <c r="AE18" s="284">
        <f t="shared" si="28"/>
        <v>0.0236</v>
      </c>
      <c r="AF18" s="284">
        <f t="shared" si="28"/>
        <v>66.32</v>
      </c>
      <c r="AG18" s="284">
        <f t="shared" si="28"/>
        <v>9000</v>
      </c>
      <c r="AH18" s="284">
        <f t="shared" si="28"/>
        <v>0.5</v>
      </c>
      <c r="AI18" s="284">
        <f t="shared" si="28"/>
        <v>1216</v>
      </c>
      <c r="AJ18" s="284">
        <f t="shared" si="28"/>
        <v>0.38</v>
      </c>
      <c r="AK18" s="284">
        <f t="shared" si="28"/>
        <v>856</v>
      </c>
      <c r="AL18" s="284">
        <f t="shared" si="28"/>
        <v>0</v>
      </c>
      <c r="AM18" s="284">
        <f t="shared" si="28"/>
        <v>0</v>
      </c>
      <c r="AN18" s="284">
        <f t="shared" si="28"/>
        <v>0</v>
      </c>
      <c r="AO18" s="284">
        <f t="shared" si="28"/>
        <v>0</v>
      </c>
      <c r="AP18" s="284">
        <f t="shared" si="28"/>
        <v>0</v>
      </c>
      <c r="AQ18" s="284">
        <f t="shared" si="28"/>
        <v>95.28</v>
      </c>
      <c r="AR18" s="284">
        <f t="shared" si="28"/>
        <v>96</v>
      </c>
      <c r="AS18" s="300">
        <f t="shared" si="28"/>
        <v>8274.67</v>
      </c>
      <c r="AT18" s="300">
        <f t="shared" si="28"/>
        <v>3583.59</v>
      </c>
      <c r="AU18" s="300">
        <f t="shared" si="28"/>
        <v>1216</v>
      </c>
      <c r="AV18" s="300">
        <f t="shared" si="28"/>
        <v>856</v>
      </c>
      <c r="AW18" s="300">
        <f t="shared" si="28"/>
        <v>13930.26</v>
      </c>
      <c r="AX18" s="314">
        <f t="shared" si="28"/>
        <v>11858.26</v>
      </c>
      <c r="AY18" s="314"/>
      <c r="AZ18" s="314">
        <f t="shared" ref="AZ18:BC18" si="29">SUM(AZ17:AZ17)</f>
        <v>2072</v>
      </c>
      <c r="BA18" s="314"/>
      <c r="BB18" s="284">
        <f t="shared" si="29"/>
        <v>800</v>
      </c>
      <c r="BC18" s="284">
        <f t="shared" si="29"/>
        <v>14730.26</v>
      </c>
      <c r="BD18" s="315"/>
    </row>
    <row r="19" s="241" customFormat="1" spans="1:56">
      <c r="A19" s="278"/>
      <c r="B19" s="278"/>
      <c r="C19" s="278"/>
      <c r="D19" s="278"/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301"/>
      <c r="AT19" s="301"/>
      <c r="AU19" s="301"/>
      <c r="AV19" s="301"/>
      <c r="AW19" s="301"/>
      <c r="AX19" s="278"/>
      <c r="AY19" s="278"/>
      <c r="AZ19" s="278"/>
      <c r="BA19" s="278"/>
      <c r="BB19" s="278"/>
      <c r="BC19" s="278"/>
      <c r="BD19" s="316"/>
    </row>
    <row r="20" s="242" customFormat="1" spans="1:56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4"/>
      <c r="AU20" s="244"/>
      <c r="AV20" s="244"/>
      <c r="AW20" s="244"/>
      <c r="AX20" s="243"/>
      <c r="AY20" s="243"/>
      <c r="AZ20" s="243"/>
      <c r="BA20" s="243"/>
      <c r="BB20" s="243"/>
      <c r="BC20" s="243"/>
      <c r="BD20" s="245"/>
    </row>
    <row r="22" spans="50:55">
      <c r="AX22" s="317"/>
      <c r="AY22" s="317"/>
      <c r="BC22" s="3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6" activePane="bottomRight" state="frozen"/>
      <selection/>
      <selection pane="topRight"/>
      <selection pane="bottomLeft"/>
      <selection pane="bottomRight" activeCell="AL19" sqref="AL19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127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175.86</v>
      </c>
      <c r="O4" s="71">
        <v>11.98</v>
      </c>
      <c r="P4" s="71">
        <v>177.4</v>
      </c>
      <c r="Q4" s="70">
        <f>ROUND(SUM(M4:P4),2)</f>
        <v>684.7</v>
      </c>
      <c r="R4" s="70">
        <v>0</v>
      </c>
      <c r="S4" s="92">
        <f>L4</f>
        <v>8000</v>
      </c>
      <c r="T4" s="93">
        <v>5000</v>
      </c>
      <c r="U4" s="93">
        <f>Q4</f>
        <v>684.7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2315.3</v>
      </c>
      <c r="AE4" s="99">
        <f>ROUND(MAX((AD4)*{0.03;0.1;0.2;0.25;0.3;0.35;0.45}-{0;2520;16920;31920;52920;85920;181920},0),2)</f>
        <v>69.46</v>
      </c>
      <c r="AF4" s="100">
        <v>0</v>
      </c>
      <c r="AG4" s="100">
        <f>IF((AE4-AF4)&lt;0,0,AE4-AF4)</f>
        <v>69.46</v>
      </c>
      <c r="AH4" s="109">
        <f>ROUND(IF((L4-Q4-AG4)&lt;0,0,(L4-Q4-AG4)),2)</f>
        <v>7245.84</v>
      </c>
      <c r="AI4" s="108"/>
      <c r="AJ4" s="109">
        <f>AH4+AI4</f>
        <v>7245.84</v>
      </c>
      <c r="AK4" s="109"/>
      <c r="AL4" s="109">
        <f>AJ4+AG4+AK4</f>
        <v>7315.3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127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70">
        <f t="shared" ref="Q5:Q19" si="0">ROUND(SUM(M5:P5),2)</f>
        <v>655.8</v>
      </c>
      <c r="R5" s="70">
        <v>0</v>
      </c>
      <c r="S5" s="92">
        <f t="shared" ref="S5:S21" si="1">L5</f>
        <v>5700</v>
      </c>
      <c r="T5" s="93">
        <v>5000</v>
      </c>
      <c r="U5" s="93">
        <f t="shared" ref="U5:U21" si="2">Q5</f>
        <v>655.8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44.2</v>
      </c>
      <c r="AE5" s="99">
        <f>ROUND(MAX((AD5)*{0.03;0.1;0.2;0.25;0.3;0.35;0.45}-{0;2520;16920;31920;52920;85920;181920},0),2)</f>
        <v>1.33</v>
      </c>
      <c r="AF5" s="100">
        <v>0</v>
      </c>
      <c r="AG5" s="100">
        <f t="shared" ref="AG5:AG21" si="6">IF((AE5-AF5)&lt;0,0,AE5-AF5)</f>
        <v>1.33</v>
      </c>
      <c r="AH5" s="109">
        <f t="shared" ref="AH5:AH21" si="7">ROUND(IF((L5-Q5-AG5)&lt;0,0,(L5-Q5-AG5)),2)</f>
        <v>5042.87</v>
      </c>
      <c r="AI5" s="108"/>
      <c r="AJ5" s="109">
        <f t="shared" ref="AJ5:AJ21" si="8">AH5+AI5</f>
        <v>5042.87</v>
      </c>
      <c r="AK5" s="109"/>
      <c r="AL5" s="109">
        <f t="shared" ref="AL5:AL21" si="9">AJ5+AG5+AK5</f>
        <v>5044.2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127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70">
        <f t="shared" si="0"/>
        <v>948.55</v>
      </c>
      <c r="R6" s="70">
        <v>0</v>
      </c>
      <c r="S6" s="92">
        <f t="shared" si="1"/>
        <v>30060</v>
      </c>
      <c r="T6" s="93">
        <v>5000</v>
      </c>
      <c r="U6" s="93">
        <f t="shared" si="2"/>
        <v>948.55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24111.45</v>
      </c>
      <c r="AE6" s="99">
        <f>ROUND(MAX((AD6)*{0.03;0.1;0.2;0.25;0.3;0.35;0.45}-{0;2520;16920;31920;52920;85920;181920},0),2)</f>
        <v>723.34</v>
      </c>
      <c r="AF6" s="100">
        <v>0</v>
      </c>
      <c r="AG6" s="100">
        <f t="shared" si="6"/>
        <v>723.34</v>
      </c>
      <c r="AH6" s="109">
        <f t="shared" si="7"/>
        <v>28388.11</v>
      </c>
      <c r="AI6" s="108"/>
      <c r="AJ6" s="109">
        <f t="shared" si="8"/>
        <v>28388.11</v>
      </c>
      <c r="AK6" s="109"/>
      <c r="AL6" s="109">
        <f t="shared" si="9"/>
        <v>29111.45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127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70">
        <f t="shared" si="0"/>
        <v>527.71</v>
      </c>
      <c r="R7" s="70">
        <v>0</v>
      </c>
      <c r="S7" s="92">
        <f t="shared" si="1"/>
        <v>8000</v>
      </c>
      <c r="T7" s="93">
        <v>5000</v>
      </c>
      <c r="U7" s="93">
        <f t="shared" si="2"/>
        <v>527.71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2472.29</v>
      </c>
      <c r="AE7" s="99">
        <f>ROUND(MAX((AD7)*{0.03;0.1;0.2;0.25;0.3;0.35;0.45}-{0;2520;16920;31920;52920;85920;181920},0),2)</f>
        <v>74.17</v>
      </c>
      <c r="AF7" s="100">
        <v>0</v>
      </c>
      <c r="AG7" s="100">
        <f t="shared" si="6"/>
        <v>74.17</v>
      </c>
      <c r="AH7" s="109">
        <f t="shared" si="7"/>
        <v>7398.12</v>
      </c>
      <c r="AI7" s="108"/>
      <c r="AJ7" s="109">
        <f t="shared" si="8"/>
        <v>7398.12</v>
      </c>
      <c r="AK7" s="109"/>
      <c r="AL7" s="109">
        <f t="shared" si="9"/>
        <v>7472.29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127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 t="shared" si="1"/>
        <v>10500</v>
      </c>
      <c r="T8" s="93">
        <v>5000</v>
      </c>
      <c r="U8" s="93">
        <f t="shared" si="2"/>
        <v>772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4728</v>
      </c>
      <c r="AE8" s="99">
        <f>ROUND(MAX((AD8)*{0.03;0.1;0.2;0.25;0.3;0.35;0.45}-{0;2520;16920;31920;52920;85920;181920},0),2)</f>
        <v>141.84</v>
      </c>
      <c r="AF8" s="100">
        <v>0</v>
      </c>
      <c r="AG8" s="100">
        <f t="shared" si="6"/>
        <v>141.84</v>
      </c>
      <c r="AH8" s="109">
        <f t="shared" si="7"/>
        <v>9586.16</v>
      </c>
      <c r="AI8" s="108"/>
      <c r="AJ8" s="109">
        <f t="shared" si="8"/>
        <v>9586.16</v>
      </c>
      <c r="AK8" s="109"/>
      <c r="AL8" s="109">
        <f t="shared" si="9"/>
        <v>9728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127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70">
        <f t="shared" si="0"/>
        <v>503.31</v>
      </c>
      <c r="R9" s="70">
        <v>0</v>
      </c>
      <c r="S9" s="92">
        <f t="shared" si="1"/>
        <v>6500</v>
      </c>
      <c r="T9" s="93">
        <v>5000</v>
      </c>
      <c r="U9" s="93">
        <f t="shared" si="2"/>
        <v>503.31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996.69</v>
      </c>
      <c r="AE9" s="99">
        <f>ROUND(MAX((AD9)*{0.03;0.1;0.2;0.25;0.3;0.35;0.45}-{0;2520;16920;31920;52920;85920;181920},0),2)</f>
        <v>29.9</v>
      </c>
      <c r="AF9" s="100">
        <v>0</v>
      </c>
      <c r="AG9" s="100">
        <f t="shared" si="6"/>
        <v>29.9</v>
      </c>
      <c r="AH9" s="109">
        <f t="shared" si="7"/>
        <v>5966.79</v>
      </c>
      <c r="AI9" s="108"/>
      <c r="AJ9" s="109">
        <f t="shared" si="8"/>
        <v>5966.79</v>
      </c>
      <c r="AK9" s="109"/>
      <c r="AL9" s="109">
        <f t="shared" si="9"/>
        <v>5996.69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127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70">
        <f t="shared" si="0"/>
        <v>542.39</v>
      </c>
      <c r="R10" s="70">
        <v>0</v>
      </c>
      <c r="S10" s="92">
        <f t="shared" si="1"/>
        <v>5500</v>
      </c>
      <c r="T10" s="93">
        <v>5000</v>
      </c>
      <c r="U10" s="93">
        <f t="shared" si="2"/>
        <v>542.39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-42.39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4957.61</v>
      </c>
      <c r="AI10" s="108"/>
      <c r="AJ10" s="109">
        <f t="shared" si="8"/>
        <v>4957.61</v>
      </c>
      <c r="AK10" s="109"/>
      <c r="AL10" s="109">
        <f t="shared" si="9"/>
        <v>4957.61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127" t="s">
        <v>148</v>
      </c>
      <c r="G11" s="39" t="s">
        <v>165</v>
      </c>
      <c r="H11" s="40"/>
      <c r="I11" s="40"/>
      <c r="J11" s="69"/>
      <c r="K11" s="40"/>
      <c r="L11" s="70">
        <v>4525.84</v>
      </c>
      <c r="M11" s="71">
        <v>380.08</v>
      </c>
      <c r="N11" s="71">
        <v>117.02</v>
      </c>
      <c r="O11" s="71">
        <v>23.76</v>
      </c>
      <c r="P11" s="71">
        <v>109</v>
      </c>
      <c r="Q11" s="70">
        <f t="shared" si="0"/>
        <v>629.86</v>
      </c>
      <c r="R11" s="70">
        <v>0</v>
      </c>
      <c r="S11" s="92">
        <f t="shared" si="1"/>
        <v>4525.84</v>
      </c>
      <c r="T11" s="93">
        <v>5000</v>
      </c>
      <c r="U11" s="93">
        <f t="shared" si="2"/>
        <v>629.86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-1104.02</v>
      </c>
      <c r="AE11" s="99">
        <f>ROUND(MAX((AD11)*{0.03;0.1;0.2;0.25;0.3;0.35;0.45}-{0;2520;16920;31920;52920;85920;181920},0),2)</f>
        <v>0</v>
      </c>
      <c r="AF11" s="100">
        <v>0</v>
      </c>
      <c r="AG11" s="100">
        <f t="shared" si="6"/>
        <v>0</v>
      </c>
      <c r="AH11" s="109">
        <f t="shared" si="7"/>
        <v>3895.98</v>
      </c>
      <c r="AI11" s="108"/>
      <c r="AJ11" s="109">
        <f t="shared" si="8"/>
        <v>3895.98</v>
      </c>
      <c r="AK11" s="109"/>
      <c r="AL11" s="109">
        <f t="shared" si="9"/>
        <v>3895.98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127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70">
        <f t="shared" si="0"/>
        <v>559</v>
      </c>
      <c r="R12" s="70">
        <v>0</v>
      </c>
      <c r="S12" s="92">
        <f t="shared" si="1"/>
        <v>8500</v>
      </c>
      <c r="T12" s="93">
        <v>5000</v>
      </c>
      <c r="U12" s="93">
        <f t="shared" si="2"/>
        <v>559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2941</v>
      </c>
      <c r="AE12" s="99">
        <f>ROUND(MAX((AD12)*{0.03;0.1;0.2;0.25;0.3;0.35;0.45}-{0;2520;16920;31920;52920;85920;181920},0),2)</f>
        <v>88.23</v>
      </c>
      <c r="AF12" s="100">
        <v>0</v>
      </c>
      <c r="AG12" s="100">
        <f t="shared" si="6"/>
        <v>88.23</v>
      </c>
      <c r="AH12" s="109">
        <f t="shared" si="7"/>
        <v>7852.77</v>
      </c>
      <c r="AI12" s="108"/>
      <c r="AJ12" s="109">
        <f t="shared" si="8"/>
        <v>7852.77</v>
      </c>
      <c r="AK12" s="109"/>
      <c r="AL12" s="109">
        <f t="shared" si="9"/>
        <v>7941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127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70">
        <f t="shared" si="0"/>
        <v>772</v>
      </c>
      <c r="R13" s="70">
        <v>0</v>
      </c>
      <c r="S13" s="92">
        <f t="shared" si="1"/>
        <v>7000</v>
      </c>
      <c r="T13" s="93">
        <v>5000</v>
      </c>
      <c r="U13" s="93">
        <f t="shared" si="2"/>
        <v>772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1228</v>
      </c>
      <c r="AE13" s="99">
        <f>ROUND(MAX((AD13)*{0.03;0.1;0.2;0.25;0.3;0.35;0.45}-{0;2520;16920;31920;52920;85920;181920},0),2)</f>
        <v>36.84</v>
      </c>
      <c r="AF13" s="100">
        <v>0</v>
      </c>
      <c r="AG13" s="100">
        <f t="shared" si="6"/>
        <v>36.84</v>
      </c>
      <c r="AH13" s="109">
        <f t="shared" si="7"/>
        <v>6191.16</v>
      </c>
      <c r="AI13" s="108"/>
      <c r="AJ13" s="109">
        <f t="shared" si="8"/>
        <v>6191.16</v>
      </c>
      <c r="AK13" s="109"/>
      <c r="AL13" s="109">
        <f t="shared" si="9"/>
        <v>6228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127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70">
        <f t="shared" si="0"/>
        <v>772</v>
      </c>
      <c r="R14" s="70">
        <v>0</v>
      </c>
      <c r="S14" s="92">
        <f t="shared" si="1"/>
        <v>7000</v>
      </c>
      <c r="T14" s="93">
        <v>5000</v>
      </c>
      <c r="U14" s="93">
        <f t="shared" si="2"/>
        <v>772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1228</v>
      </c>
      <c r="AE14" s="99">
        <f>ROUND(MAX((AD14)*{0.03;0.1;0.2;0.25;0.3;0.35;0.45}-{0;2520;16920;31920;52920;85920;181920},0),2)</f>
        <v>36.84</v>
      </c>
      <c r="AF14" s="100">
        <v>0</v>
      </c>
      <c r="AG14" s="100">
        <f t="shared" si="6"/>
        <v>36.84</v>
      </c>
      <c r="AH14" s="109">
        <f t="shared" si="7"/>
        <v>6191.16</v>
      </c>
      <c r="AI14" s="108"/>
      <c r="AJ14" s="109">
        <f t="shared" si="8"/>
        <v>6191.16</v>
      </c>
      <c r="AK14" s="109"/>
      <c r="AL14" s="109">
        <f t="shared" si="9"/>
        <v>6228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127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70">
        <f t="shared" si="0"/>
        <v>559</v>
      </c>
      <c r="R15" s="70">
        <v>0</v>
      </c>
      <c r="S15" s="92">
        <f t="shared" si="1"/>
        <v>7000</v>
      </c>
      <c r="T15" s="93">
        <v>5000</v>
      </c>
      <c r="U15" s="93">
        <f t="shared" si="2"/>
        <v>559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1441</v>
      </c>
      <c r="AE15" s="99">
        <f>ROUND(MAX((AD15)*{0.03;0.1;0.2;0.25;0.3;0.35;0.45}-{0;2520;16920;31920;52920;85920;181920},0),2)</f>
        <v>43.23</v>
      </c>
      <c r="AF15" s="100">
        <v>0</v>
      </c>
      <c r="AG15" s="100">
        <f t="shared" si="6"/>
        <v>43.23</v>
      </c>
      <c r="AH15" s="109">
        <f t="shared" si="7"/>
        <v>6397.77</v>
      </c>
      <c r="AI15" s="108"/>
      <c r="AJ15" s="109">
        <f t="shared" si="8"/>
        <v>6397.77</v>
      </c>
      <c r="AK15" s="109"/>
      <c r="AL15" s="109">
        <f t="shared" si="9"/>
        <v>6441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127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89.09</v>
      </c>
      <c r="O16" s="71">
        <v>20.1</v>
      </c>
      <c r="P16" s="71">
        <v>97</v>
      </c>
      <c r="Q16" s="70">
        <f t="shared" si="0"/>
        <v>527.71</v>
      </c>
      <c r="R16" s="70">
        <v>0</v>
      </c>
      <c r="S16" s="92">
        <f t="shared" si="1"/>
        <v>6060</v>
      </c>
      <c r="T16" s="93">
        <v>5000</v>
      </c>
      <c r="U16" s="93">
        <f t="shared" si="2"/>
        <v>527.71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532.29</v>
      </c>
      <c r="AE16" s="99">
        <f>ROUND(MAX((AD16)*{0.03;0.1;0.2;0.25;0.3;0.35;0.45}-{0;2520;16920;31920;52920;85920;181920},0),2)</f>
        <v>15.97</v>
      </c>
      <c r="AF16" s="100">
        <v>0</v>
      </c>
      <c r="AG16" s="100">
        <f t="shared" si="6"/>
        <v>15.97</v>
      </c>
      <c r="AH16" s="109">
        <f t="shared" si="7"/>
        <v>5516.32</v>
      </c>
      <c r="AI16" s="108"/>
      <c r="AJ16" s="109">
        <f t="shared" si="8"/>
        <v>5516.32</v>
      </c>
      <c r="AK16" s="109"/>
      <c r="AL16" s="109">
        <f t="shared" si="9"/>
        <v>5532.29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211</v>
      </c>
      <c r="D17" s="37" t="s">
        <v>143</v>
      </c>
      <c r="E17" s="326" t="s">
        <v>212</v>
      </c>
      <c r="F17" s="127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-301.6</v>
      </c>
      <c r="N17" s="71">
        <v>-90.4</v>
      </c>
      <c r="O17" s="71">
        <v>-11.31</v>
      </c>
      <c r="P17" s="71">
        <v>-175</v>
      </c>
      <c r="Q17" s="70">
        <f t="shared" si="0"/>
        <v>-578.31</v>
      </c>
      <c r="R17" s="70">
        <v>0</v>
      </c>
      <c r="S17" s="92">
        <f t="shared" si="1"/>
        <v>6560</v>
      </c>
      <c r="T17" s="93">
        <v>5000</v>
      </c>
      <c r="U17" s="93">
        <f t="shared" si="2"/>
        <v>-578.31</v>
      </c>
      <c r="V17" s="70"/>
      <c r="W17" s="70"/>
      <c r="X17" s="70"/>
      <c r="Y17" s="70"/>
      <c r="Z17" s="70"/>
      <c r="AA17" s="70"/>
      <c r="AB17" s="92">
        <f t="shared" si="3"/>
        <v>0</v>
      </c>
      <c r="AC17" s="92">
        <f t="shared" si="4"/>
        <v>0</v>
      </c>
      <c r="AD17" s="98">
        <f t="shared" si="5"/>
        <v>2138.31</v>
      </c>
      <c r="AE17" s="99">
        <f>ROUND(MAX((AD17)*{0.03;0.1;0.2;0.25;0.3;0.35;0.45}-{0;2520;16920;31920;52920;85920;181920},0),2)</f>
        <v>64.15</v>
      </c>
      <c r="AF17" s="100">
        <v>0</v>
      </c>
      <c r="AG17" s="100">
        <f t="shared" si="6"/>
        <v>64.15</v>
      </c>
      <c r="AH17" s="109">
        <f t="shared" si="7"/>
        <v>7074.16</v>
      </c>
      <c r="AI17" s="108"/>
      <c r="AJ17" s="109">
        <f t="shared" si="8"/>
        <v>7074.16</v>
      </c>
      <c r="AK17" s="109"/>
      <c r="AL17" s="109">
        <f t="shared" si="9"/>
        <v>7138.31</v>
      </c>
      <c r="AM17" s="109"/>
      <c r="AN17" s="109"/>
      <c r="AO17" s="109"/>
      <c r="AP17" s="109"/>
      <c r="AQ17" s="109"/>
      <c r="AR17" s="117" t="str">
        <f t="shared" si="10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127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70">
        <f t="shared" si="0"/>
        <v>525</v>
      </c>
      <c r="R18" s="70">
        <v>0</v>
      </c>
      <c r="S18" s="92">
        <f t="shared" si="1"/>
        <v>6000</v>
      </c>
      <c r="T18" s="93">
        <v>5000</v>
      </c>
      <c r="U18" s="93">
        <f t="shared" si="2"/>
        <v>525</v>
      </c>
      <c r="V18" s="70"/>
      <c r="W18" s="70"/>
      <c r="X18" s="70"/>
      <c r="Y18" s="70"/>
      <c r="Z18" s="70"/>
      <c r="AA18" s="70"/>
      <c r="AB18" s="92">
        <f t="shared" si="3"/>
        <v>0</v>
      </c>
      <c r="AC18" s="92">
        <f t="shared" si="4"/>
        <v>0</v>
      </c>
      <c r="AD18" s="98">
        <f t="shared" si="5"/>
        <v>475</v>
      </c>
      <c r="AE18" s="99">
        <f>ROUND(MAX((AD18)*{0.03;0.1;0.2;0.25;0.3;0.35;0.45}-{0;2520;16920;31920;52920;85920;181920},0),2)</f>
        <v>14.25</v>
      </c>
      <c r="AF18" s="100">
        <v>0</v>
      </c>
      <c r="AG18" s="100">
        <f t="shared" si="6"/>
        <v>14.25</v>
      </c>
      <c r="AH18" s="109">
        <f t="shared" si="7"/>
        <v>5460.75</v>
      </c>
      <c r="AI18" s="108"/>
      <c r="AJ18" s="109">
        <f t="shared" si="8"/>
        <v>5460.75</v>
      </c>
      <c r="AK18" s="109"/>
      <c r="AL18" s="109">
        <f t="shared" si="9"/>
        <v>5475</v>
      </c>
      <c r="AM18" s="109"/>
      <c r="AN18" s="109"/>
      <c r="AO18" s="109"/>
      <c r="AP18" s="109"/>
      <c r="AQ18" s="109"/>
      <c r="AR18" s="117" t="str">
        <f t="shared" si="10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126905.84</v>
      </c>
      <c r="M19" s="74">
        <f t="shared" si="13"/>
        <v>4608.66</v>
      </c>
      <c r="N19" s="74">
        <f t="shared" si="13"/>
        <v>1398.38</v>
      </c>
      <c r="O19" s="74">
        <f t="shared" si="13"/>
        <v>258.28</v>
      </c>
      <c r="P19" s="74">
        <f t="shared" si="13"/>
        <v>2135.4</v>
      </c>
      <c r="Q19" s="74">
        <f t="shared" si="13"/>
        <v>8400.72</v>
      </c>
      <c r="R19" s="74">
        <f t="shared" si="13"/>
        <v>0</v>
      </c>
      <c r="S19" s="74">
        <f t="shared" si="13"/>
        <v>126905.84</v>
      </c>
      <c r="T19" s="74">
        <f t="shared" si="13"/>
        <v>75000</v>
      </c>
      <c r="U19" s="74">
        <f t="shared" si="13"/>
        <v>8400.72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43505.12</v>
      </c>
      <c r="AE19" s="74">
        <f t="shared" si="13"/>
        <v>1339.55</v>
      </c>
      <c r="AF19" s="74">
        <f t="shared" si="13"/>
        <v>0</v>
      </c>
      <c r="AG19" s="74">
        <f t="shared" si="13"/>
        <v>1339.55</v>
      </c>
      <c r="AH19" s="74">
        <f t="shared" si="13"/>
        <v>117165.57</v>
      </c>
      <c r="AI19" s="126">
        <f t="shared" si="13"/>
        <v>0</v>
      </c>
      <c r="AJ19" s="74">
        <f t="shared" si="13"/>
        <v>117165.57</v>
      </c>
      <c r="AK19" s="74">
        <f t="shared" si="13"/>
        <v>0</v>
      </c>
      <c r="AL19" s="74">
        <f t="shared" si="13"/>
        <v>118505.12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117165.57</v>
      </c>
      <c r="C24" s="48">
        <f>AG19</f>
        <v>1339.55</v>
      </c>
      <c r="D24" s="48">
        <f>AK19</f>
        <v>0</v>
      </c>
      <c r="E24" s="48">
        <f>B24+C24+D24</f>
        <v>118505.12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9" si="0">ROUND(SUM(M4:P4),2)</f>
        <v>588.3</v>
      </c>
      <c r="R4" s="70">
        <v>0</v>
      </c>
      <c r="S4" s="90">
        <f>L4+IFERROR(VLOOKUP($E:$E,'（居民）工资表-11月'!$E:$S,15,0),0)</f>
        <v>96000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7243.32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-43.32</v>
      </c>
      <c r="AE4" s="96">
        <f>ROUND(MAX((AD4)*{0.03;0.1;0.2;0.25;0.3;0.35;0.45}-{0;2520;16920;31920;52920;85920;181920},0),2)</f>
        <v>0</v>
      </c>
      <c r="AF4" s="97">
        <f>IFERROR(VLOOKUP(E:E,'（居民）工资表-11月'!E:AF,28,0)+VLOOKUP(E:E,'（居民）工资表-11月'!E:AG,29,0),0)</f>
        <v>790.35</v>
      </c>
      <c r="AG4" s="97">
        <f t="shared" ref="AG4:AG19" si="3">IF((AE4-AF4)&lt;0,0,AE4-AF4)</f>
        <v>0</v>
      </c>
      <c r="AH4" s="107">
        <f t="shared" ref="AH4:AH19" si="4">ROUND(IF((L4-Q4-AG4)&lt;0,0,(L4-Q4-AG4)),2)</f>
        <v>7411.7</v>
      </c>
      <c r="AI4" s="108"/>
      <c r="AJ4" s="107">
        <f t="shared" ref="AJ4:AJ19" si="5">AH4+AI4</f>
        <v>7411.7</v>
      </c>
      <c r="AK4" s="109"/>
      <c r="AL4" s="107">
        <f t="shared" ref="AL4:AL19" si="6">AJ4+AG4+AK4</f>
        <v>7411.7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IF(SUMPRODUCT(N(E$1:E$20=E4))&gt;1,"重复","不")</f>
        <v>不</v>
      </c>
      <c r="AT4" s="116" t="str">
        <f>IF(SUMPRODUCT(N(AO$1:AO$20=AO4))&gt;1,"重复","不")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L5+IFERROR(VLOOKUP($E:$E,'（居民）工资表-11月'!$E:$S,15,0),0)</f>
        <v>70000</v>
      </c>
      <c r="T5" s="91">
        <f>5000+IFERROR(VLOOKUP($E:$E,'（居民）工资表-11月'!$E:$T,16,0),0)</f>
        <v>60000</v>
      </c>
      <c r="U5" s="91">
        <f>Q5+IFERROR(VLOOKUP($E:$E,'（居民）工资表-11月'!$E:$U,17,0),0)</f>
        <v>7927.56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2072.44</v>
      </c>
      <c r="AE5" s="96">
        <f>ROUND(MAX((AD5)*{0.03;0.1;0.2;0.25;0.3;0.35;0.45}-{0;2520;16920;31920;52920;85920;181920},0),2)</f>
        <v>62.17</v>
      </c>
      <c r="AF5" s="97">
        <f>IFERROR(VLOOKUP(E:E,'（居民）工资表-11月'!E:AF,28,0)+VLOOKUP(E:E,'（居民）工资表-11月'!E:AG,29,0),0)</f>
        <v>60.85</v>
      </c>
      <c r="AG5" s="97">
        <f t="shared" si="3"/>
        <v>1.32</v>
      </c>
      <c r="AH5" s="107">
        <f t="shared" si="4"/>
        <v>5042.88</v>
      </c>
      <c r="AI5" s="108"/>
      <c r="AJ5" s="107">
        <f t="shared" si="5"/>
        <v>5042.88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IF(SUMPRODUCT(N(E$1:E$20=E5))&gt;1,"重复","不")</f>
        <v>不</v>
      </c>
      <c r="AT5" s="116" t="str">
        <f>IF(SUMPRODUCT(N(AO$1:AO$20=AO5))&gt;1,"重复","不")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L6+IFERROR(VLOOKUP($E:$E,'（居民）工资表-11月'!$E:$S,15,0),0)</f>
        <v>362720</v>
      </c>
      <c r="T6" s="91">
        <f>5000+IFERROR(VLOOKUP($E:$E,'（居民）工资表-11月'!$E:$T,16,0),0)</f>
        <v>60000</v>
      </c>
      <c r="U6" s="91">
        <f>Q6+IFERROR(VLOOKUP($E:$E,'（居民）工资表-11月'!$E:$U,17,0),0)</f>
        <v>11426.91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291293.09</v>
      </c>
      <c r="AE6" s="96">
        <f>ROUND(MAX((AD6)*{0.03;0.1;0.2;0.25;0.3;0.35;0.45}-{0;2520;16920;31920;52920;85920;181920},0),2)</f>
        <v>41338.62</v>
      </c>
      <c r="AF6" s="97">
        <f>IFERROR(VLOOKUP(E:E,'（居民）工资表-11月'!E:AF,28,0)+VLOOKUP(E:E,'（居民）工资表-11月'!E:AG,29,0),0)</f>
        <v>36516.33</v>
      </c>
      <c r="AG6" s="97">
        <f t="shared" si="3"/>
        <v>4822.29</v>
      </c>
      <c r="AH6" s="107">
        <f t="shared" si="4"/>
        <v>24289.16</v>
      </c>
      <c r="AI6" s="108"/>
      <c r="AJ6" s="107">
        <f t="shared" si="5"/>
        <v>24289.16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IF(SUMPRODUCT(N(E$1:E$20=E6))&gt;1,"重复","不")</f>
        <v>不</v>
      </c>
      <c r="AT6" s="116" t="str">
        <f>IF(SUMPRODUCT(N(AO$1:AO$20=AO6))&gt;1,"重复","不")</f>
        <v>重复</v>
      </c>
      <c r="AU6" s="12" t="s">
        <v>50</v>
      </c>
      <c r="AV6" s="12" t="s">
        <v>51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9520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L7+IFERROR(VLOOKUP($E:$E,'（居民）工资表-11月'!$E:$S,15,0),0)</f>
        <v>107020</v>
      </c>
      <c r="T7" s="91">
        <f>5000+IFERROR(VLOOKUP($E:$E,'（居民）工资表-11月'!$E:$T,16,0),0)</f>
        <v>60000</v>
      </c>
      <c r="U7" s="91">
        <f>Q7+IFERROR(VLOOKUP($E:$E,'（居民）工资表-11月'!$E:$U,17,0),0)</f>
        <v>6529.58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40490.42</v>
      </c>
      <c r="AE7" s="96">
        <f>ROUND(MAX((AD7)*{0.03;0.1;0.2;0.25;0.3;0.35;0.45}-{0;2520;16920;31920;52920;85920;181920},0),2)</f>
        <v>1529.04</v>
      </c>
      <c r="AF7" s="97">
        <f>IFERROR(VLOOKUP(E:E,'（居民）工资表-11月'!E:AF,28,0)+VLOOKUP(E:E,'（居民）工资表-11月'!E:AG,29,0),0)</f>
        <v>1129.81</v>
      </c>
      <c r="AG7" s="97">
        <f t="shared" si="3"/>
        <v>399.23</v>
      </c>
      <c r="AH7" s="107">
        <f t="shared" si="4"/>
        <v>8593.06</v>
      </c>
      <c r="AI7" s="108"/>
      <c r="AJ7" s="107">
        <f t="shared" si="5"/>
        <v>8593.06</v>
      </c>
      <c r="AK7" s="109"/>
      <c r="AL7" s="107">
        <f t="shared" si="6"/>
        <v>8992.29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IF(SUMPRODUCT(N(E$1:E$20=E7))&gt;1,"重复","不")</f>
        <v>不</v>
      </c>
      <c r="AT7" s="116" t="str">
        <f>IF(SUMPRODUCT(N(AO$1:AO$20=AO7))&gt;1,"重复","不")</f>
        <v>重复</v>
      </c>
      <c r="AU7" s="12" t="s">
        <v>152</v>
      </c>
      <c r="AV7" s="12" t="s">
        <v>153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L8+IFERROR(VLOOKUP($E:$E,'（居民）工资表-11月'!$E:$S,15,0),0)</f>
        <v>129600</v>
      </c>
      <c r="T8" s="91">
        <f>5000+IFERROR(VLOOKUP($E:$E,'（居民）工资表-11月'!$E:$T,16,0),0)</f>
        <v>60000</v>
      </c>
      <c r="U8" s="91">
        <f>Q8+IFERROR(VLOOKUP($E:$E,'（居民）工资表-11月'!$E:$U,17,0),0)</f>
        <v>9632.35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59967.65</v>
      </c>
      <c r="AE8" s="96">
        <f>ROUND(MAX((AD8)*{0.03;0.1;0.2;0.25;0.3;0.35;0.45}-{0;2520;16920;31920;52920;85920;181920},0),2)</f>
        <v>3476.77</v>
      </c>
      <c r="AF8" s="97">
        <f>IFERROR(VLOOKUP(E:E,'（居民）工资表-11月'!E:AF,28,0)+VLOOKUP(E:E,'（居民）工资表-11月'!E:AG,29,0),0)</f>
        <v>3003.97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IF(SUMPRODUCT(N(E$1:E$20=E8))&gt;1,"重复","不")</f>
        <v>不</v>
      </c>
      <c r="AT8" s="116" t="str">
        <f>IF(SUMPRODUCT(N(AO$1:AO$20=AO8))&gt;1,"重复","不")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89">
        <f t="shared" si="0"/>
        <v>503.31</v>
      </c>
      <c r="R9" s="70">
        <v>0</v>
      </c>
      <c r="S9" s="90">
        <f>L9+IFERROR(VLOOKUP($E:$E,'（居民）工资表-11月'!$E:$S,15,0),0)</f>
        <v>78000</v>
      </c>
      <c r="T9" s="91">
        <f>5000+IFERROR(VLOOKUP($E:$E,'（居民）工资表-11月'!$E:$T,16,0),0)</f>
        <v>60000</v>
      </c>
      <c r="U9" s="91">
        <f>Q9+IFERROR(VLOOKUP($E:$E,'（居民）工资表-11月'!$E:$U,17,0),0)</f>
        <v>6136.73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11863.27</v>
      </c>
      <c r="AE9" s="96">
        <f>ROUND(MAX((AD9)*{0.03;0.1;0.2;0.25;0.3;0.35;0.45}-{0;2520;16920;31920;52920;85920;181920},0),2)</f>
        <v>355.9</v>
      </c>
      <c r="AF9" s="97">
        <f>IFERROR(VLOOKUP(E:E,'（居民）工资表-11月'!E:AF,28,0)+VLOOKUP(E:E,'（居民）工资表-11月'!E:AG,29,0),0)</f>
        <v>326</v>
      </c>
      <c r="AG9" s="97">
        <f t="shared" si="3"/>
        <v>29.9</v>
      </c>
      <c r="AH9" s="107">
        <f t="shared" si="4"/>
        <v>5966.79</v>
      </c>
      <c r="AI9" s="108"/>
      <c r="AJ9" s="107">
        <f t="shared" si="5"/>
        <v>5966.79</v>
      </c>
      <c r="AK9" s="109"/>
      <c r="AL9" s="107">
        <f t="shared" si="6"/>
        <v>5996.69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IF(SUMPRODUCT(N(E$1:E$20=E9))&gt;1,"重复","不")</f>
        <v>不</v>
      </c>
      <c r="AT9" s="116" t="str">
        <f>IF(SUMPRODUCT(N(AO$1:AO$20=AO9))&gt;1,"重复","不")</f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L10+IFERROR(VLOOKUP($E:$E,'（居民）工资表-11月'!$E:$S,15,0),0)</f>
        <v>16500</v>
      </c>
      <c r="T10" s="91">
        <f>5000+IFERROR(VLOOKUP($E:$E,'（居民）工资表-11月'!$E:$T,16,0),0)</f>
        <v>15000</v>
      </c>
      <c r="U10" s="91">
        <f>Q10+IFERROR(VLOOKUP($E:$E,'（居民）工资表-11月'!$E:$U,17,0),0)</f>
        <v>1627.17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-127.17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IF(SUMPRODUCT(N(E$1:E$20=E10))&gt;1,"重复","不")</f>
        <v>不</v>
      </c>
      <c r="AT10" s="116" t="str">
        <f>IF(SUMPRODUCT(N(AO$1:AO$20=AO10))&gt;1,"重复","不")</f>
        <v>重复</v>
      </c>
      <c r="AU10" s="12" t="s">
        <v>162</v>
      </c>
      <c r="AV10" s="12" t="s">
        <v>51</v>
      </c>
    </row>
    <row r="11" s="12" customFormat="1" ht="18" customHeight="1" spans="1:48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4162.8</v>
      </c>
      <c r="M11" s="71">
        <v>492.4</v>
      </c>
      <c r="N11" s="71">
        <v>144.1</v>
      </c>
      <c r="O11" s="71">
        <v>30.78</v>
      </c>
      <c r="P11" s="71">
        <v>109</v>
      </c>
      <c r="Q11" s="89">
        <f t="shared" si="0"/>
        <v>776.28</v>
      </c>
      <c r="R11" s="70">
        <v>0</v>
      </c>
      <c r="S11" s="90">
        <f>L11+IFERROR(VLOOKUP($E:$E,'（居民）工资表-11月'!$E:$S,15,0),0)</f>
        <v>53930.22</v>
      </c>
      <c r="T11" s="91">
        <f>5000+IFERROR(VLOOKUP($E:$E,'（居民）工资表-11月'!$E:$T,16,0),0)</f>
        <v>60000</v>
      </c>
      <c r="U11" s="91">
        <f>Q11+IFERROR(VLOOKUP($E:$E,'（居民）工资表-11月'!$E:$U,17,0),0)</f>
        <v>7707.04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-13776.82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3"/>
        <v>0</v>
      </c>
      <c r="AH11" s="107">
        <f t="shared" si="4"/>
        <v>3386.52</v>
      </c>
      <c r="AI11" s="108"/>
      <c r="AJ11" s="107">
        <f t="shared" si="5"/>
        <v>3386.52</v>
      </c>
      <c r="AK11" s="109"/>
      <c r="AL11" s="107">
        <f t="shared" si="6"/>
        <v>3386.52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IF(SUMPRODUCT(N(E$1:E$20=E11))&gt;1,"重复","不")</f>
        <v>不</v>
      </c>
      <c r="AT11" s="116" t="str">
        <f>IF(SUMPRODUCT(N(AO$1:AO$20=AO11))&gt;1,"重复","不")</f>
        <v>重复</v>
      </c>
      <c r="AU11" s="12" t="s">
        <v>166</v>
      </c>
      <c r="AV11" s="12" t="s">
        <v>167</v>
      </c>
    </row>
    <row r="12" s="12" customFormat="1" ht="18" customHeight="1" spans="1:48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89">
        <f t="shared" si="0"/>
        <v>559</v>
      </c>
      <c r="R12" s="70">
        <v>0</v>
      </c>
      <c r="S12" s="90">
        <f>L12+IFERROR(VLOOKUP($E:$E,'（居民）工资表-11月'!$E:$S,15,0),0)</f>
        <v>106500</v>
      </c>
      <c r="T12" s="91">
        <f>5000+IFERROR(VLOOKUP($E:$E,'（居民）工资表-11月'!$E:$T,16,0),0)</f>
        <v>60000</v>
      </c>
      <c r="U12" s="91">
        <f>Q12+IFERROR(VLOOKUP($E:$E,'（居民）工资表-11月'!$E:$U,17,0),0)</f>
        <v>6908.5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39591.5</v>
      </c>
      <c r="AE12" s="96">
        <f>ROUND(MAX((AD12)*{0.03;0.1;0.2;0.25;0.3;0.35;0.45}-{0;2520;16920;31920;52920;85920;181920},0),2)</f>
        <v>1439.15</v>
      </c>
      <c r="AF12" s="97">
        <f>IFERROR(VLOOKUP(E:E,'（居民）工资表-11月'!E:AF,28,0)+VLOOKUP(E:E,'（居民）工资表-11月'!E:AG,29,0),0)</f>
        <v>1145.05</v>
      </c>
      <c r="AG12" s="97">
        <f t="shared" si="3"/>
        <v>294.1</v>
      </c>
      <c r="AH12" s="107">
        <f t="shared" si="4"/>
        <v>7646.9</v>
      </c>
      <c r="AI12" s="108"/>
      <c r="AJ12" s="107">
        <f t="shared" si="5"/>
        <v>7646.9</v>
      </c>
      <c r="AK12" s="109"/>
      <c r="AL12" s="107">
        <f t="shared" si="6"/>
        <v>7941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IF(SUMPRODUCT(N(E$1:E$20=E12))&gt;1,"重复","不")</f>
        <v>不</v>
      </c>
      <c r="AT12" s="116" t="str">
        <f>IF(SUMPRODUCT(N(AO$1:AO$20=AO12))&gt;1,"重复","不")</f>
        <v>重复</v>
      </c>
      <c r="AU12" s="12" t="s">
        <v>170</v>
      </c>
      <c r="AV12" s="12" t="s">
        <v>171</v>
      </c>
    </row>
    <row r="13" s="12" customFormat="1" ht="18" customHeight="1" spans="1:48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L13+IFERROR(VLOOKUP($E:$E,'（居民）工资表-11月'!$E:$S,15,0),0)</f>
        <v>88200</v>
      </c>
      <c r="T13" s="91">
        <f>5000+IFERROR(VLOOKUP($E:$E,'（居民）工资表-11月'!$E:$T,16,0),0)</f>
        <v>60000</v>
      </c>
      <c r="U13" s="91">
        <f>Q13+IFERROR(VLOOKUP($E:$E,'（居民）工资表-11月'!$E:$U,17,0),0)</f>
        <v>9632.35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18567.65</v>
      </c>
      <c r="AE13" s="96">
        <f>ROUND(MAX((AD13)*{0.03;0.1;0.2;0.25;0.3;0.35;0.45}-{0;2520;16920;31920;52920;85920;181920},0),2)</f>
        <v>557.03</v>
      </c>
      <c r="AF13" s="97">
        <f>IFERROR(VLOOKUP(E:E,'（居民）工资表-11月'!E:AF,28,0)+VLOOKUP(E:E,'（居民）工资表-11月'!E:AG,29,0),0)</f>
        <v>520.19</v>
      </c>
      <c r="AG13" s="97">
        <f t="shared" si="3"/>
        <v>36.8399999999999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IF(SUMPRODUCT(N(E$1:E$20=E13))&gt;1,"重复","不")</f>
        <v>不</v>
      </c>
      <c r="AT13" s="116" t="str">
        <f>IF(SUMPRODUCT(N(AO$1:AO$20=AO13))&gt;1,"重复","不")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89">
        <f t="shared" si="0"/>
        <v>772</v>
      </c>
      <c r="R14" s="70">
        <v>0</v>
      </c>
      <c r="S14" s="90">
        <f>L14+IFERROR(VLOOKUP($E:$E,'（居民）工资表-11月'!$E:$S,15,0),0)</f>
        <v>91408.7</v>
      </c>
      <c r="T14" s="91">
        <f>5000+IFERROR(VLOOKUP($E:$E,'（居民）工资表-11月'!$E:$T,16,0),0)</f>
        <v>60000</v>
      </c>
      <c r="U14" s="91">
        <f>Q14+IFERROR(VLOOKUP($E:$E,'（居民）工资表-11月'!$E:$U,17,0),0)</f>
        <v>9632.35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21776.35</v>
      </c>
      <c r="AE14" s="96">
        <f>ROUND(MAX((AD14)*{0.03;0.1;0.2;0.25;0.3;0.35;0.45}-{0;2520;16920;31920;52920;85920;181920},0),2)</f>
        <v>653.29</v>
      </c>
      <c r="AF14" s="97">
        <f>IFERROR(VLOOKUP(E:E,'（居民）工资表-11月'!E:AF,28,0)+VLOOKUP(E:E,'（居民）工资表-11月'!E:AG,29,0),0)</f>
        <v>616.45</v>
      </c>
      <c r="AG14" s="97">
        <f t="shared" si="3"/>
        <v>36.8399999999999</v>
      </c>
      <c r="AH14" s="107">
        <f t="shared" si="4"/>
        <v>6191.16</v>
      </c>
      <c r="AI14" s="108"/>
      <c r="AJ14" s="107">
        <f t="shared" si="5"/>
        <v>6191.16</v>
      </c>
      <c r="AK14" s="109"/>
      <c r="AL14" s="107">
        <f t="shared" si="6"/>
        <v>6228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IF(SUMPRODUCT(N(E$1:E$20=E14))&gt;1,"重复","不")</f>
        <v>不</v>
      </c>
      <c r="AT14" s="116" t="str">
        <f>IF(SUMPRODUCT(N(AO$1:AO$20=AO14))&gt;1,"重复","不")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89">
        <f t="shared" si="0"/>
        <v>559</v>
      </c>
      <c r="R15" s="70">
        <v>0</v>
      </c>
      <c r="S15" s="90">
        <f>L15+IFERROR(VLOOKUP($E:$E,'（居民）工资表-11月'!$E:$S,15,0),0)</f>
        <v>21900</v>
      </c>
      <c r="T15" s="91">
        <f>5000+IFERROR(VLOOKUP($E:$E,'（居民）工资表-11月'!$E:$T,16,0),0)</f>
        <v>15000</v>
      </c>
      <c r="U15" s="91">
        <f>Q15+IFERROR(VLOOKUP($E:$E,'（居民）工资表-11月'!$E:$U,17,0),0)</f>
        <v>1877.5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5022.5</v>
      </c>
      <c r="AE15" s="96">
        <f>ROUND(MAX((AD15)*{0.03;0.1;0.2;0.25;0.3;0.35;0.45}-{0;2520;16920;31920;52920;85920;181920},0),2)</f>
        <v>150.68</v>
      </c>
      <c r="AF15" s="97">
        <f>IFERROR(VLOOKUP(E:E,'（居民）工资表-11月'!E:AF,28,0)+VLOOKUP(E:E,'（居民）工资表-11月'!E:AG,29,0),0)</f>
        <v>107.45</v>
      </c>
      <c r="AG15" s="97">
        <f t="shared" si="3"/>
        <v>43.23</v>
      </c>
      <c r="AH15" s="107">
        <f t="shared" si="4"/>
        <v>6397.77</v>
      </c>
      <c r="AI15" s="108"/>
      <c r="AJ15" s="107">
        <f t="shared" si="5"/>
        <v>6397.77</v>
      </c>
      <c r="AK15" s="109"/>
      <c r="AL15" s="107">
        <f t="shared" si="6"/>
        <v>6441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IF(SUMPRODUCT(N(E$1:E$20=E15))&gt;1,"重复","不")</f>
        <v>不</v>
      </c>
      <c r="AT15" s="116" t="str">
        <f>IF(SUMPRODUCT(N(AO$1:AO$20=AO15))&gt;1,"重复","不")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12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6380</v>
      </c>
      <c r="M16" s="71">
        <v>321.52</v>
      </c>
      <c r="N16" s="71">
        <v>89.09</v>
      </c>
      <c r="O16" s="71">
        <v>20.1</v>
      </c>
      <c r="P16" s="71">
        <v>97</v>
      </c>
      <c r="Q16" s="89">
        <f t="shared" si="0"/>
        <v>527.71</v>
      </c>
      <c r="R16" s="70">
        <v>0</v>
      </c>
      <c r="S16" s="90">
        <f>L16+IFERROR(VLOOKUP($E:$E,'（居民）工资表-11月'!$E:$S,15,0),0)</f>
        <v>19300</v>
      </c>
      <c r="T16" s="91">
        <f>5000+IFERROR(VLOOKUP($E:$E,'（居民）工资表-11月'!$E:$T,16,0),0)</f>
        <v>15000</v>
      </c>
      <c r="U16" s="91">
        <f>Q16+IFERROR(VLOOKUP($E:$E,'（居民）工资表-11月'!$E:$U,17,0),0)</f>
        <v>1780.19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2519.81</v>
      </c>
      <c r="AE16" s="96">
        <f>ROUND(MAX((AD16)*{0.03;0.1;0.2;0.25;0.3;0.35;0.45}-{0;2520;16920;31920;52920;85920;181920},0),2)</f>
        <v>75.59</v>
      </c>
      <c r="AF16" s="97">
        <f>IFERROR(VLOOKUP(E:E,'（居民）工资表-11月'!E:AF,28,0)+VLOOKUP(E:E,'（居民）工资表-11月'!E:AG,29,0),0)</f>
        <v>50.03</v>
      </c>
      <c r="AG16" s="97">
        <f t="shared" si="3"/>
        <v>25.56</v>
      </c>
      <c r="AH16" s="107">
        <f t="shared" si="4"/>
        <v>5826.73</v>
      </c>
      <c r="AI16" s="108"/>
      <c r="AJ16" s="107">
        <f t="shared" si="5"/>
        <v>5826.73</v>
      </c>
      <c r="AK16" s="109"/>
      <c r="AL16" s="107">
        <f t="shared" si="6"/>
        <v>5852.29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IF(SUMPRODUCT(N(E$1:E$20=E16))&gt;1,"重复","不")</f>
        <v>不</v>
      </c>
      <c r="AT16" s="116" t="str">
        <f>IF(SUMPRODUCT(N(AO$1:AO$20=AO16))&gt;1,"重复","不")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12</v>
      </c>
      <c r="B17" s="37" t="s">
        <v>142</v>
      </c>
      <c r="C17" s="37" t="s">
        <v>211</v>
      </c>
      <c r="D17" s="37" t="s">
        <v>143</v>
      </c>
      <c r="E17" s="326" t="s">
        <v>212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301.6</v>
      </c>
      <c r="N17" s="71">
        <v>90.4</v>
      </c>
      <c r="O17" s="71">
        <v>11.31</v>
      </c>
      <c r="P17" s="71">
        <v>175</v>
      </c>
      <c r="Q17" s="89">
        <f t="shared" si="0"/>
        <v>578.31</v>
      </c>
      <c r="R17" s="70">
        <v>0</v>
      </c>
      <c r="S17" s="90">
        <f>L17+IFERROR(VLOOKUP($E:$E,'（居民）工资表-11月'!$E:$S,15,0),0)</f>
        <v>21180</v>
      </c>
      <c r="T17" s="91">
        <f>5000+IFERROR(VLOOKUP($E:$E,'（居民）工资表-11月'!$E:$T,16,0),0)</f>
        <v>15000</v>
      </c>
      <c r="U17" s="91">
        <f>Q17+IFERROR(VLOOKUP($E:$E,'（居民）工资表-11月'!$E:$U,17,0),0)</f>
        <v>1597.04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R17+IFERROR(VLOOKUP($E:$E,'（居民）工资表-11月'!$E:$AC,25,0),0)</f>
        <v>0</v>
      </c>
      <c r="AD17" s="95">
        <f t="shared" si="2"/>
        <v>4582.96</v>
      </c>
      <c r="AE17" s="96">
        <f>ROUND(MAX((AD17)*{0.03;0.1;0.2;0.25;0.3;0.35;0.45}-{0;2520;16920;31920;52920;85920;181920},0),2)</f>
        <v>137.49</v>
      </c>
      <c r="AF17" s="97">
        <f>IFERROR(VLOOKUP(E:E,'（居民）工资表-11月'!E:AF,28,0)+VLOOKUP(E:E,'（居民）工资表-11月'!E:AG,29,0),0)</f>
        <v>108.04</v>
      </c>
      <c r="AG17" s="97">
        <f t="shared" si="3"/>
        <v>29.45</v>
      </c>
      <c r="AH17" s="107">
        <f t="shared" si="4"/>
        <v>5952.24</v>
      </c>
      <c r="AI17" s="108"/>
      <c r="AJ17" s="107">
        <f t="shared" si="5"/>
        <v>5952.24</v>
      </c>
      <c r="AK17" s="109"/>
      <c r="AL17" s="107">
        <f t="shared" si="6"/>
        <v>5981.69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IF(SUMPRODUCT(N(E$1:E$20=E17))&gt;1,"重复","不")</f>
        <v>不</v>
      </c>
      <c r="AT17" s="116" t="str">
        <f>IF(SUMPRODUCT(N(AO$1:AO$20=AO17))&gt;1,"重复","不")</f>
        <v>重复</v>
      </c>
      <c r="AU17" s="12" t="s">
        <v>157</v>
      </c>
      <c r="AV17" s="12" t="s">
        <v>51</v>
      </c>
    </row>
    <row r="18" s="12" customFormat="1" ht="18" customHeight="1" spans="1:48">
      <c r="A18" s="36">
        <v>12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0"/>
        <v>525</v>
      </c>
      <c r="R18" s="70">
        <v>0</v>
      </c>
      <c r="S18" s="90">
        <f>L18+IFERROR(VLOOKUP($E:$E,'（居民）工资表-11月'!$E:$S,15,0),0)</f>
        <v>72800</v>
      </c>
      <c r="T18" s="91">
        <f>5000+IFERROR(VLOOKUP($E:$E,'（居民）工资表-11月'!$E:$T,16,0),0)</f>
        <v>60000</v>
      </c>
      <c r="U18" s="91">
        <f>Q18+IFERROR(VLOOKUP($E:$E,'（居民）工资表-11月'!$E:$U,17,0),0)</f>
        <v>6417.81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R18+IFERROR(VLOOKUP($E:$E,'（居民）工资表-11月'!$E:$AC,25,0),0)</f>
        <v>0</v>
      </c>
      <c r="AD18" s="95">
        <f t="shared" si="2"/>
        <v>6382.19</v>
      </c>
      <c r="AE18" s="96">
        <f>ROUND(MAX((AD18)*{0.03;0.1;0.2;0.25;0.3;0.35;0.45}-{0;2520;16920;31920;52920;85920;181920},0),2)</f>
        <v>191.47</v>
      </c>
      <c r="AF18" s="97">
        <f>IFERROR(VLOOKUP(E:E,'（居民）工资表-11月'!E:AF,28,0)+VLOOKUP(E:E,'（居民）工资表-11月'!E:AG,29,0),0)</f>
        <v>177.22</v>
      </c>
      <c r="AG18" s="97">
        <f t="shared" si="3"/>
        <v>14.25</v>
      </c>
      <c r="AH18" s="107">
        <f t="shared" si="4"/>
        <v>5460.75</v>
      </c>
      <c r="AI18" s="108"/>
      <c r="AJ18" s="107">
        <f t="shared" si="5"/>
        <v>5460.75</v>
      </c>
      <c r="AK18" s="109"/>
      <c r="AL18" s="107">
        <f t="shared" si="6"/>
        <v>5475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IF(SUMPRODUCT(N(E$1:E$20=E18))&gt;1,"重复","不")</f>
        <v>不</v>
      </c>
      <c r="AT18" s="116" t="str">
        <f>IF(SUMPRODUCT(N(AO$1:AO$20=AO18))&gt;1,"重复","不")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12</v>
      </c>
      <c r="B19" s="37" t="s">
        <v>142</v>
      </c>
      <c r="C19" s="37" t="s">
        <v>213</v>
      </c>
      <c r="D19" s="37" t="s">
        <v>143</v>
      </c>
      <c r="E19" s="326" t="s">
        <v>214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7250</v>
      </c>
      <c r="M19" s="71">
        <v>0</v>
      </c>
      <c r="N19" s="71">
        <v>0</v>
      </c>
      <c r="O19" s="71">
        <v>0</v>
      </c>
      <c r="P19" s="71">
        <v>0</v>
      </c>
      <c r="Q19" s="89">
        <f t="shared" si="0"/>
        <v>0</v>
      </c>
      <c r="R19" s="70">
        <v>0</v>
      </c>
      <c r="S19" s="90">
        <f>L19+IFERROR(VLOOKUP($E:$E,'（居民）工资表-11月'!$E:$S,15,0),0)</f>
        <v>17414.43</v>
      </c>
      <c r="T19" s="91">
        <f>5000+IFERROR(VLOOKUP($E:$E,'（居民）工资表-11月'!$E:$T,16,0),0)</f>
        <v>15000</v>
      </c>
      <c r="U19" s="91">
        <f>Q19+IFERROR(VLOOKUP($E:$E,'（居民）工资表-11月'!$E:$U,17,0),0)</f>
        <v>1124.68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R19+IFERROR(VLOOKUP($E:$E,'（居民）工资表-11月'!$E:$AC,25,0),0)</f>
        <v>0</v>
      </c>
      <c r="AD19" s="95">
        <f t="shared" si="2"/>
        <v>1289.75</v>
      </c>
      <c r="AE19" s="96">
        <f>ROUND(MAX((AD19)*{0.03;0.1;0.2;0.25;0.3;0.35;0.45}-{0;2520;16920;31920;52920;85920;181920},0),2)</f>
        <v>38.69</v>
      </c>
      <c r="AF19" s="97">
        <f>IFERROR(VLOOKUP(E:E,'（居民）工资表-11月'!E:AF,28,0)+VLOOKUP(E:E,'（居民）工资表-11月'!E:AG,29,0),0)</f>
        <v>0</v>
      </c>
      <c r="AG19" s="97">
        <f t="shared" si="3"/>
        <v>38.69</v>
      </c>
      <c r="AH19" s="107">
        <f t="shared" si="4"/>
        <v>7211.31</v>
      </c>
      <c r="AI19" s="108"/>
      <c r="AJ19" s="107">
        <f t="shared" si="5"/>
        <v>7211.31</v>
      </c>
      <c r="AK19" s="109"/>
      <c r="AL19" s="107">
        <f t="shared" si="6"/>
        <v>7250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>IF(SUMPRODUCT(N(E$1:E$20=E19))&gt;1,"重复","不")</f>
        <v>不</v>
      </c>
      <c r="AT19" s="116" t="str">
        <f>IF(SUMPRODUCT(N(AO$1:AO$20=AO19))&gt;1,"重复","不")</f>
        <v>重复</v>
      </c>
      <c r="AU19" s="12" t="s">
        <v>157</v>
      </c>
      <c r="AV19" s="12" t="s">
        <v>51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8">SUM(L4:L20)</f>
        <v>135632.8</v>
      </c>
      <c r="M21" s="74">
        <f t="shared" si="8"/>
        <v>5324.18</v>
      </c>
      <c r="N21" s="74">
        <f t="shared" si="8"/>
        <v>1510.26</v>
      </c>
      <c r="O21" s="74">
        <f t="shared" si="8"/>
        <v>287.92</v>
      </c>
      <c r="P21" s="74">
        <f t="shared" si="8"/>
        <v>2485</v>
      </c>
      <c r="Q21" s="74">
        <f t="shared" si="8"/>
        <v>9607.36</v>
      </c>
      <c r="R21" s="74">
        <f t="shared" si="8"/>
        <v>0</v>
      </c>
      <c r="S21" s="74">
        <f t="shared" si="8"/>
        <v>1352473.35</v>
      </c>
      <c r="T21" s="74">
        <f t="shared" si="8"/>
        <v>735000</v>
      </c>
      <c r="U21" s="74">
        <f t="shared" si="8"/>
        <v>97201.08</v>
      </c>
      <c r="V21" s="74">
        <f t="shared" si="8"/>
        <v>12000</v>
      </c>
      <c r="W21" s="74">
        <f t="shared" si="8"/>
        <v>0</v>
      </c>
      <c r="X21" s="74">
        <f t="shared" si="8"/>
        <v>12000</v>
      </c>
      <c r="Y21" s="74">
        <f t="shared" si="8"/>
        <v>0</v>
      </c>
      <c r="Z21" s="74">
        <f t="shared" si="8"/>
        <v>4800</v>
      </c>
      <c r="AA21" s="74">
        <f t="shared" si="8"/>
        <v>0</v>
      </c>
      <c r="AB21" s="74">
        <f t="shared" si="8"/>
        <v>28800</v>
      </c>
      <c r="AC21" s="74">
        <f t="shared" si="8"/>
        <v>0</v>
      </c>
      <c r="AD21" s="74">
        <f t="shared" si="8"/>
        <v>491472.27</v>
      </c>
      <c r="AE21" s="74">
        <f t="shared" si="8"/>
        <v>50005.89</v>
      </c>
      <c r="AF21" s="74">
        <f t="shared" si="8"/>
        <v>44551.74</v>
      </c>
      <c r="AG21" s="74">
        <f t="shared" si="8"/>
        <v>6244.5</v>
      </c>
      <c r="AH21" s="74">
        <f t="shared" si="8"/>
        <v>119780.94</v>
      </c>
      <c r="AI21" s="126">
        <f t="shared" si="8"/>
        <v>0</v>
      </c>
      <c r="AJ21" s="74">
        <f t="shared" si="8"/>
        <v>119780.94</v>
      </c>
      <c r="AK21" s="74">
        <f t="shared" si="8"/>
        <v>0</v>
      </c>
      <c r="AL21" s="74">
        <f t="shared" si="8"/>
        <v>126025.44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119780.94</v>
      </c>
      <c r="C26" s="48">
        <f>AG21</f>
        <v>6244.5</v>
      </c>
      <c r="D26" s="48">
        <f>AK21</f>
        <v>0</v>
      </c>
      <c r="E26" s="48">
        <f>B26+C26+D26</f>
        <v>126025.44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xmlns:etc="http://www.wps.cn/officeDocument/2017/etCustomData" ref="A3:AT21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U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>
        <f>U4/2</f>
        <v>636.7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216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17" si="0">ROUND(SUM(M4:P4),2)</f>
        <v>588.7</v>
      </c>
      <c r="R4" s="70">
        <v>0</v>
      </c>
      <c r="S4" s="90">
        <f>L4+IFERROR(VLOOKUP($E:$E,'（居民）工资表-1月'!$E:$S,15,0),0)</f>
        <v>16000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1273.4</v>
      </c>
      <c r="V4" s="70">
        <v>2000</v>
      </c>
      <c r="W4" s="70"/>
      <c r="X4" s="70">
        <v>2000</v>
      </c>
      <c r="Y4" s="70"/>
      <c r="Z4" s="70">
        <v>800</v>
      </c>
      <c r="AA4" s="125"/>
      <c r="AB4" s="90">
        <f>ROUND(SUM(V4:AA4),2)</f>
        <v>4800</v>
      </c>
      <c r="AC4" s="90">
        <f>R4+IFERROR(VLOOKUP($E:$E,'（居民）工资表-1月'!$E:$AC,25,0),0)</f>
        <v>0</v>
      </c>
      <c r="AD4" s="95">
        <f t="shared" ref="AD4:AD17" si="1">ROUND(S4-T4-U4-AB4-AC4,2)</f>
        <v>-73.4</v>
      </c>
      <c r="AE4" s="96">
        <f>ROUND(MAX((AD4)*{0.03;0.1;0.2;0.25;0.3;0.35;0.45}-{0;2520;16920;31920;52920;85920;181920},0),2)</f>
        <v>0</v>
      </c>
      <c r="AF4" s="97">
        <f>IFERROR(VLOOKUP(E:E,'（居民）工资表-1月'!E:AF,28,0)+VLOOKUP(E:E,'（居民）工资表-1月'!E:AG,29,0),0)</f>
        <v>69.46</v>
      </c>
      <c r="AG4" s="97">
        <f t="shared" ref="AG4:AG17" si="2">IF((AE4-AF4)&lt;0,0,AE4-AF4)</f>
        <v>0</v>
      </c>
      <c r="AH4" s="107">
        <f t="shared" ref="AH4:AH17" si="3">ROUND(IF((L4-Q4-AG4)&lt;0,0,(L4-Q4-AG4)),2)</f>
        <v>7411.3</v>
      </c>
      <c r="AI4" s="108"/>
      <c r="AJ4" s="107">
        <f t="shared" ref="AJ4:AJ17" si="4">AH4+AI4</f>
        <v>7411.3</v>
      </c>
      <c r="AK4" s="109"/>
      <c r="AL4" s="107">
        <f t="shared" ref="AL4:AL17" si="5">AJ4+AG4+AK4</f>
        <v>7411.3</v>
      </c>
      <c r="AM4" s="109"/>
      <c r="AN4" s="109"/>
      <c r="AO4" s="109"/>
      <c r="AP4" s="109"/>
      <c r="AQ4" s="109"/>
      <c r="AR4" s="116" t="str">
        <f t="shared" ref="AR4:AR17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IF(SUMPRODUCT(N(E$1:E$8=E4))&gt;1,"重复","不")</f>
        <v>不</v>
      </c>
      <c r="AT4" s="116" t="str">
        <f t="shared" ref="AT4:AT12" si="8">IF(SUMPRODUCT(N(AO$1:AO$8=AO4))&gt;1,"重复","不")</f>
        <v>重复</v>
      </c>
      <c r="AU4" s="12" t="s">
        <v>217</v>
      </c>
    </row>
    <row r="5" s="12" customFormat="1" ht="18" customHeight="1" spans="1:47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126.36</v>
      </c>
      <c r="O5" s="71">
        <v>4.6</v>
      </c>
      <c r="P5" s="71">
        <v>115</v>
      </c>
      <c r="Q5" s="89">
        <f t="shared" si="0"/>
        <v>668.68</v>
      </c>
      <c r="R5" s="70">
        <v>0</v>
      </c>
      <c r="S5" s="90">
        <f>L5+IFERROR(VLOOKUP($E:$E,'（居民）工资表-1月'!$E:$S,15,0),0)</f>
        <v>11400</v>
      </c>
      <c r="T5" s="91">
        <f>5000+IFERROR(VLOOKUP($E:$E,'（居民）工资表-1月'!$E:$T,16,0),0)</f>
        <v>10000</v>
      </c>
      <c r="U5" s="91">
        <f>Q5+IFERROR(VLOOKUP($E:$E,'（居民）工资表-1月'!$E:$U,17,0),0)</f>
        <v>1324.48</v>
      </c>
      <c r="V5" s="125"/>
      <c r="W5" s="125"/>
      <c r="X5" s="125"/>
      <c r="Y5" s="125"/>
      <c r="Z5" s="125"/>
      <c r="AA5" s="125"/>
      <c r="AB5" s="90">
        <f t="shared" ref="AB5:AB17" si="9">ROUND(SUM(V5:AA5),2)</f>
        <v>0</v>
      </c>
      <c r="AC5" s="90">
        <f>R5+IFERROR(VLOOKUP($E:$E,'（居民）工资表-1月'!$E:$AC,25,0),0)</f>
        <v>0</v>
      </c>
      <c r="AD5" s="95">
        <f t="shared" si="1"/>
        <v>75.52</v>
      </c>
      <c r="AE5" s="96">
        <f>ROUND(MAX((AD5)*{0.03;0.1;0.2;0.25;0.3;0.35;0.45}-{0;2520;16920;31920;52920;85920;181920},0),2)</f>
        <v>2.27</v>
      </c>
      <c r="AF5" s="97">
        <f>IFERROR(VLOOKUP(E:E,'（居民）工资表-1月'!E:AF,28,0)+VLOOKUP(E:E,'（居民）工资表-1月'!E:AG,29,0),0)</f>
        <v>1.33</v>
      </c>
      <c r="AG5" s="97">
        <f t="shared" si="2"/>
        <v>0.94</v>
      </c>
      <c r="AH5" s="107">
        <f t="shared" si="3"/>
        <v>5030.38</v>
      </c>
      <c r="AI5" s="108"/>
      <c r="AJ5" s="107">
        <f t="shared" si="4"/>
        <v>5030.38</v>
      </c>
      <c r="AK5" s="109"/>
      <c r="AL5" s="107">
        <f t="shared" si="5"/>
        <v>5031.32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2" t="s">
        <v>218</v>
      </c>
    </row>
    <row r="6" s="12" customFormat="1" ht="18" customHeight="1" spans="1:47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L6+IFERROR(VLOOKUP($E:$E,'（居民）工资表-1月'!$E:$S,15,0),0)</f>
        <v>60120</v>
      </c>
      <c r="T6" s="91">
        <f>5000+IFERROR(VLOOKUP($E:$E,'（居民）工资表-1月'!$E:$T,16,0),0)</f>
        <v>10000</v>
      </c>
      <c r="U6" s="91">
        <f>Q6+IFERROR(VLOOKUP($E:$E,'（居民）工资表-1月'!$E:$U,17,0),0)</f>
        <v>1897.1</v>
      </c>
      <c r="V6" s="125"/>
      <c r="W6" s="125"/>
      <c r="X6" s="125"/>
      <c r="Y6" s="125"/>
      <c r="Z6" s="125"/>
      <c r="AA6" s="125"/>
      <c r="AB6" s="90">
        <f t="shared" si="9"/>
        <v>0</v>
      </c>
      <c r="AC6" s="90">
        <f>R6+IFERROR(VLOOKUP($E:$E,'（居民）工资表-1月'!$E:$AC,25,0),0)</f>
        <v>0</v>
      </c>
      <c r="AD6" s="95">
        <f t="shared" si="1"/>
        <v>48222.9</v>
      </c>
      <c r="AE6" s="96">
        <f>ROUND(MAX((AD6)*{0.03;0.1;0.2;0.25;0.3;0.35;0.45}-{0;2520;16920;31920;52920;85920;181920},0),2)</f>
        <v>2302.29</v>
      </c>
      <c r="AF6" s="97">
        <f>IFERROR(VLOOKUP(E:E,'（居民）工资表-1月'!E:AF,28,0)+VLOOKUP(E:E,'（居民）工资表-1月'!E:AG,29,0),0)</f>
        <v>723.34</v>
      </c>
      <c r="AG6" s="97">
        <f t="shared" si="2"/>
        <v>1578.95</v>
      </c>
      <c r="AH6" s="107">
        <f t="shared" si="3"/>
        <v>27532.5</v>
      </c>
      <c r="AI6" s="108"/>
      <c r="AJ6" s="107">
        <f t="shared" si="4"/>
        <v>27532.5</v>
      </c>
      <c r="AK6" s="109"/>
      <c r="AL6" s="107">
        <f t="shared" si="5"/>
        <v>29111.45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2" t="s">
        <v>219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L7+IFERROR(VLOOKUP($E:$E,'（居民）工资表-1月'!$E:$S,15,0),0)</f>
        <v>16000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1055.42</v>
      </c>
      <c r="V7" s="125"/>
      <c r="W7" s="125"/>
      <c r="X7" s="125"/>
      <c r="Y7" s="125"/>
      <c r="Z7" s="125"/>
      <c r="AA7" s="125"/>
      <c r="AB7" s="90">
        <f t="shared" si="9"/>
        <v>0</v>
      </c>
      <c r="AC7" s="90">
        <f>R7+IFERROR(VLOOKUP($E:$E,'（居民）工资表-1月'!$E:$AC,25,0),0)</f>
        <v>0</v>
      </c>
      <c r="AD7" s="95">
        <f t="shared" si="1"/>
        <v>4944.58</v>
      </c>
      <c r="AE7" s="96">
        <f>ROUND(MAX((AD7)*{0.03;0.1;0.2;0.25;0.3;0.35;0.45}-{0;2520;16920;31920;52920;85920;181920},0),2)</f>
        <v>148.34</v>
      </c>
      <c r="AF7" s="97">
        <f>IFERROR(VLOOKUP(E:E,'（居民）工资表-1月'!E:AF,28,0)+VLOOKUP(E:E,'（居民）工资表-1月'!E:AG,29,0),0)</f>
        <v>74.17</v>
      </c>
      <c r="AG7" s="97">
        <f t="shared" si="2"/>
        <v>74.17</v>
      </c>
      <c r="AH7" s="107">
        <f t="shared" si="3"/>
        <v>7398.12</v>
      </c>
      <c r="AI7" s="108"/>
      <c r="AJ7" s="107">
        <f t="shared" si="4"/>
        <v>7398.12</v>
      </c>
      <c r="AK7" s="109"/>
      <c r="AL7" s="107">
        <f t="shared" si="5"/>
        <v>7472.29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2" t="s">
        <v>220</v>
      </c>
    </row>
    <row r="8" s="12" customFormat="1" ht="18" customHeight="1" spans="1:47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L8+IFERROR(VLOOKUP($E:$E,'（居民）工资表-1月'!$E:$S,15,0),0)</f>
        <v>21000</v>
      </c>
      <c r="T8" s="91">
        <f>5000+IFERROR(VLOOKUP($E:$E,'（居民）工资表-1月'!$E:$T,16,0),0)</f>
        <v>10000</v>
      </c>
      <c r="U8" s="91">
        <f>Q8+IFERROR(VLOOKUP($E:$E,'（居民）工资表-1月'!$E:$U,17,0),0)</f>
        <v>1544</v>
      </c>
      <c r="V8" s="125"/>
      <c r="W8" s="125"/>
      <c r="X8" s="125"/>
      <c r="Y8" s="125"/>
      <c r="Z8" s="125"/>
      <c r="AA8" s="125"/>
      <c r="AB8" s="90">
        <f t="shared" si="9"/>
        <v>0</v>
      </c>
      <c r="AC8" s="90">
        <f>R8+IFERROR(VLOOKUP($E:$E,'（居民）工资表-1月'!$E:$AC,25,0),0)</f>
        <v>0</v>
      </c>
      <c r="AD8" s="95">
        <f t="shared" si="1"/>
        <v>9456</v>
      </c>
      <c r="AE8" s="96">
        <f>ROUND(MAX((AD8)*{0.03;0.1;0.2;0.25;0.3;0.35;0.45}-{0;2520;16920;31920;52920;85920;181920},0),2)</f>
        <v>283.68</v>
      </c>
      <c r="AF8" s="97">
        <f>IFERROR(VLOOKUP(E:E,'（居民）工资表-1月'!E:AF,28,0)+VLOOKUP(E:E,'（居民）工资表-1月'!E:AG,29,0),0)</f>
        <v>141.84</v>
      </c>
      <c r="AG8" s="97">
        <f t="shared" si="2"/>
        <v>141.84</v>
      </c>
      <c r="AH8" s="107">
        <f t="shared" si="3"/>
        <v>9586.16</v>
      </c>
      <c r="AI8" s="108"/>
      <c r="AJ8" s="107">
        <f t="shared" si="4"/>
        <v>9586.16</v>
      </c>
      <c r="AK8" s="109"/>
      <c r="AL8" s="107">
        <f t="shared" si="5"/>
        <v>9728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2" t="s">
        <v>221</v>
      </c>
    </row>
    <row r="9" s="12" customFormat="1" ht="18" customHeight="1" spans="1:47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369.52</v>
      </c>
      <c r="N9" s="71">
        <v>90.4</v>
      </c>
      <c r="O9" s="71">
        <v>13.86</v>
      </c>
      <c r="P9" s="71">
        <v>100</v>
      </c>
      <c r="Q9" s="89">
        <f t="shared" si="0"/>
        <v>573.78</v>
      </c>
      <c r="R9" s="70">
        <v>0</v>
      </c>
      <c r="S9" s="90">
        <f>L9+IFERROR(VLOOKUP($E:$E,'（居民）工资表-1月'!$E:$S,15,0),0)</f>
        <v>13000</v>
      </c>
      <c r="T9" s="91">
        <f>5000+IFERROR(VLOOKUP($E:$E,'（居民）工资表-1月'!$E:$T,16,0),0)</f>
        <v>10000</v>
      </c>
      <c r="U9" s="91">
        <f>Q9+IFERROR(VLOOKUP($E:$E,'（居民）工资表-1月'!$E:$U,17,0),0)</f>
        <v>1077.09</v>
      </c>
      <c r="V9" s="125"/>
      <c r="W9" s="125"/>
      <c r="X9" s="125"/>
      <c r="Y9" s="125"/>
      <c r="Z9" s="125"/>
      <c r="AA9" s="125"/>
      <c r="AB9" s="90">
        <f t="shared" si="9"/>
        <v>0</v>
      </c>
      <c r="AC9" s="90">
        <f>R9+IFERROR(VLOOKUP($E:$E,'（居民）工资表-1月'!$E:$AC,25,0),0)</f>
        <v>0</v>
      </c>
      <c r="AD9" s="95">
        <f t="shared" si="1"/>
        <v>1922.91</v>
      </c>
      <c r="AE9" s="96">
        <f>ROUND(MAX((AD9)*{0.03;0.1;0.2;0.25;0.3;0.35;0.45}-{0;2520;16920;31920;52920;85920;181920},0),2)</f>
        <v>57.69</v>
      </c>
      <c r="AF9" s="97">
        <f>IFERROR(VLOOKUP(E:E,'（居民）工资表-1月'!E:AF,28,0)+VLOOKUP(E:E,'（居民）工资表-1月'!E:AG,29,0),0)</f>
        <v>29.9</v>
      </c>
      <c r="AG9" s="97">
        <f t="shared" si="2"/>
        <v>27.79</v>
      </c>
      <c r="AH9" s="107">
        <f t="shared" si="3"/>
        <v>5898.43</v>
      </c>
      <c r="AI9" s="108"/>
      <c r="AJ9" s="107">
        <f t="shared" si="4"/>
        <v>5898.43</v>
      </c>
      <c r="AK9" s="109"/>
      <c r="AL9" s="107">
        <f t="shared" si="5"/>
        <v>5926.22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2" t="s">
        <v>222</v>
      </c>
    </row>
    <row r="10" s="12" customFormat="1" ht="18" customHeight="1" spans="1:47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L10+IFERROR(VLOOKUP($E:$E,'（居民）工资表-1月'!$E:$S,15,0),0)</f>
        <v>9051.68</v>
      </c>
      <c r="T10" s="91">
        <f>5000+IFERROR(VLOOKUP($E:$E,'（居民）工资表-1月'!$E:$T,16,0),0)</f>
        <v>10000</v>
      </c>
      <c r="U10" s="91">
        <f>Q10+IFERROR(VLOOKUP($E:$E,'（居民）工资表-1月'!$E:$U,17,0),0)</f>
        <v>1259.72</v>
      </c>
      <c r="V10" s="125"/>
      <c r="W10" s="125"/>
      <c r="X10" s="125"/>
      <c r="Y10" s="125"/>
      <c r="Z10" s="125"/>
      <c r="AA10" s="125"/>
      <c r="AB10" s="90">
        <f t="shared" si="9"/>
        <v>0</v>
      </c>
      <c r="AC10" s="90">
        <f>R10+IFERROR(VLOOKUP($E:$E,'（居民）工资表-1月'!$E:$AC,25,0),0)</f>
        <v>0</v>
      </c>
      <c r="AD10" s="95">
        <f t="shared" si="1"/>
        <v>-2208.04</v>
      </c>
      <c r="AE10" s="96">
        <f>ROUND(MAX((AD10)*{0.03;0.1;0.2;0.25;0.3;0.35;0.45}-{0;2520;16920;31920;52920;85920;181920},0),2)</f>
        <v>0</v>
      </c>
      <c r="AF10" s="97">
        <f>IFERROR(VLOOKUP(E:E,'（居民）工资表-1月'!E:AF,28,0)+VLOOKUP(E:E,'（居民）工资表-1月'!E:AG,29,0),0)</f>
        <v>0</v>
      </c>
      <c r="AG10" s="97">
        <f t="shared" si="2"/>
        <v>0</v>
      </c>
      <c r="AH10" s="107">
        <f t="shared" si="3"/>
        <v>3895.98</v>
      </c>
      <c r="AI10" s="108"/>
      <c r="AJ10" s="107">
        <f t="shared" si="4"/>
        <v>3895.98</v>
      </c>
      <c r="AK10" s="109"/>
      <c r="AL10" s="107">
        <f t="shared" si="5"/>
        <v>3895.98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2" t="s">
        <v>223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L11+IFERROR(VLOOKUP($E:$E,'（居民）工资表-1月'!$E:$S,15,0),0)</f>
        <v>17000</v>
      </c>
      <c r="T11" s="91">
        <f>5000+IFERROR(VLOOKUP($E:$E,'（居民）工资表-1月'!$E:$T,16,0),0)</f>
        <v>10000</v>
      </c>
      <c r="U11" s="91">
        <f>Q11+IFERROR(VLOOKUP($E:$E,'（居民）工资表-1月'!$E:$U,17,0),0)</f>
        <v>1118</v>
      </c>
      <c r="V11" s="125"/>
      <c r="W11" s="125"/>
      <c r="X11" s="125"/>
      <c r="Y11" s="125"/>
      <c r="Z11" s="125"/>
      <c r="AA11" s="125"/>
      <c r="AB11" s="90">
        <f t="shared" si="9"/>
        <v>0</v>
      </c>
      <c r="AC11" s="90">
        <f>R11+IFERROR(VLOOKUP($E:$E,'（居民）工资表-1月'!$E:$AC,25,0),0)</f>
        <v>0</v>
      </c>
      <c r="AD11" s="95">
        <f t="shared" si="1"/>
        <v>5882</v>
      </c>
      <c r="AE11" s="96">
        <f>ROUND(MAX((AD11)*{0.03;0.1;0.2;0.25;0.3;0.35;0.45}-{0;2520;16920;31920;52920;85920;181920},0),2)</f>
        <v>176.46</v>
      </c>
      <c r="AF11" s="97">
        <f>IFERROR(VLOOKUP(E:E,'（居民）工资表-1月'!E:AF,28,0)+VLOOKUP(E:E,'（居民）工资表-1月'!E:AG,29,0),0)</f>
        <v>88.23</v>
      </c>
      <c r="AG11" s="97">
        <f t="shared" si="2"/>
        <v>88.23</v>
      </c>
      <c r="AH11" s="107">
        <f t="shared" si="3"/>
        <v>7852.77</v>
      </c>
      <c r="AI11" s="108"/>
      <c r="AJ11" s="107">
        <f t="shared" si="4"/>
        <v>7852.77</v>
      </c>
      <c r="AK11" s="109"/>
      <c r="AL11" s="107">
        <f t="shared" si="5"/>
        <v>7941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2" t="s">
        <v>224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L12+IFERROR(VLOOKUP($E:$E,'（居民）工资表-1月'!$E:$S,15,0),0)</f>
        <v>14000</v>
      </c>
      <c r="T12" s="91">
        <f>5000+IFERROR(VLOOKUP($E:$E,'（居民）工资表-1月'!$E:$T,16,0),0)</f>
        <v>10000</v>
      </c>
      <c r="U12" s="91">
        <f>Q12+IFERROR(VLOOKUP($E:$E,'（居民）工资表-1月'!$E:$U,17,0),0)</f>
        <v>1544</v>
      </c>
      <c r="V12" s="125"/>
      <c r="W12" s="125"/>
      <c r="X12" s="125"/>
      <c r="Y12" s="125"/>
      <c r="Z12" s="125"/>
      <c r="AA12" s="125"/>
      <c r="AB12" s="90">
        <f t="shared" si="9"/>
        <v>0</v>
      </c>
      <c r="AC12" s="90">
        <f>R12+IFERROR(VLOOKUP($E:$E,'（居民）工资表-1月'!$E:$AC,25,0),0)</f>
        <v>0</v>
      </c>
      <c r="AD12" s="95">
        <f t="shared" si="1"/>
        <v>2456</v>
      </c>
      <c r="AE12" s="96">
        <f>ROUND(MAX((AD12)*{0.03;0.1;0.2;0.25;0.3;0.35;0.45}-{0;2520;16920;31920;52920;85920;181920},0),2)</f>
        <v>73.68</v>
      </c>
      <c r="AF12" s="97">
        <f>IFERROR(VLOOKUP(E:E,'（居民）工资表-1月'!E:AF,28,0)+VLOOKUP(E:E,'（居民）工资表-1月'!E:AG,29,0),0)</f>
        <v>36.84</v>
      </c>
      <c r="AG12" s="97">
        <f t="shared" si="2"/>
        <v>36.84</v>
      </c>
      <c r="AH12" s="107">
        <f t="shared" si="3"/>
        <v>6191.16</v>
      </c>
      <c r="AI12" s="108"/>
      <c r="AJ12" s="107">
        <f t="shared" si="4"/>
        <v>6191.16</v>
      </c>
      <c r="AK12" s="109"/>
      <c r="AL12" s="107">
        <f t="shared" si="5"/>
        <v>6228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 t="shared" si="7"/>
        <v>不</v>
      </c>
      <c r="AT12" s="116" t="str">
        <f t="shared" si="8"/>
        <v>重复</v>
      </c>
      <c r="AU12" s="12" t="s">
        <v>221</v>
      </c>
    </row>
    <row r="13" s="12" customFormat="1" ht="18" customHeight="1" spans="1:47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7608.7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L13+IFERROR(VLOOKUP($E:$E,'（居民）工资表-1月'!$E:$S,15,0),0)</f>
        <v>14608.7</v>
      </c>
      <c r="T13" s="91">
        <f>5000+IFERROR(VLOOKUP($E:$E,'（居民）工资表-1月'!$E:$T,16,0),0)</f>
        <v>10000</v>
      </c>
      <c r="U13" s="91">
        <f>Q13+IFERROR(VLOOKUP($E:$E,'（居民）工资表-1月'!$E:$U,17,0),0)</f>
        <v>1544</v>
      </c>
      <c r="V13" s="125"/>
      <c r="W13" s="125"/>
      <c r="X13" s="125"/>
      <c r="Y13" s="125"/>
      <c r="Z13" s="125"/>
      <c r="AA13" s="125"/>
      <c r="AB13" s="90">
        <f t="shared" si="9"/>
        <v>0</v>
      </c>
      <c r="AC13" s="90">
        <f>R13+IFERROR(VLOOKUP($E:$E,'（居民）工资表-1月'!$E:$AC,25,0),0)</f>
        <v>0</v>
      </c>
      <c r="AD13" s="95">
        <f t="shared" si="1"/>
        <v>3064.7</v>
      </c>
      <c r="AE13" s="96">
        <f>ROUND(MAX((AD13)*{0.03;0.1;0.2;0.25;0.3;0.35;0.45}-{0;2520;16920;31920;52920;85920;181920},0),2)</f>
        <v>91.94</v>
      </c>
      <c r="AF13" s="97">
        <f>IFERROR(VLOOKUP(E:E,'（居民）工资表-1月'!E:AF,28,0)+VLOOKUP(E:E,'（居民）工资表-1月'!E:AG,29,0),0)</f>
        <v>36.84</v>
      </c>
      <c r="AG13" s="97">
        <f t="shared" si="2"/>
        <v>55.1</v>
      </c>
      <c r="AH13" s="107">
        <f t="shared" si="3"/>
        <v>6781.6</v>
      </c>
      <c r="AI13" s="108"/>
      <c r="AJ13" s="107">
        <f t="shared" si="4"/>
        <v>6781.6</v>
      </c>
      <c r="AK13" s="109"/>
      <c r="AL13" s="107">
        <f t="shared" si="5"/>
        <v>6836.7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IF(SUMPRODUCT(N(E$1:E$8=E13))&gt;1,"重复","不")</f>
        <v>不</v>
      </c>
      <c r="AT13" s="116" t="str">
        <f>IF(SUMPRODUCT(N(AO$1:AO$8=AO13))&gt;1,"重复","不")</f>
        <v>重复</v>
      </c>
      <c r="AU13" s="12" t="s">
        <v>221</v>
      </c>
    </row>
    <row r="14" s="12" customFormat="1" ht="18" customHeight="1" spans="1:47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L14+IFERROR(VLOOKUP($E:$E,'（居民）工资表-1月'!$E:$S,15,0),0)</f>
        <v>14000</v>
      </c>
      <c r="T14" s="91">
        <f>5000+IFERROR(VLOOKUP($E:$E,'（居民）工资表-1月'!$E:$T,16,0),0)</f>
        <v>10000</v>
      </c>
      <c r="U14" s="91">
        <f>Q14+IFERROR(VLOOKUP($E:$E,'（居民）工资表-1月'!$E:$U,17,0),0)</f>
        <v>1118</v>
      </c>
      <c r="V14" s="125"/>
      <c r="W14" s="125"/>
      <c r="X14" s="125"/>
      <c r="Y14" s="125"/>
      <c r="Z14" s="125"/>
      <c r="AA14" s="125"/>
      <c r="AB14" s="90">
        <f t="shared" si="9"/>
        <v>0</v>
      </c>
      <c r="AC14" s="90">
        <f>R14+IFERROR(VLOOKUP($E:$E,'（居民）工资表-1月'!$E:$AC,25,0),0)</f>
        <v>0</v>
      </c>
      <c r="AD14" s="95">
        <f t="shared" si="1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IFERROR(VLOOKUP(E:E,'（居民）工资表-1月'!E:AF,28,0)+VLOOKUP(E:E,'（居民）工资表-1月'!E:AG,29,0),0)</f>
        <v>43.23</v>
      </c>
      <c r="AG14" s="97">
        <f t="shared" si="2"/>
        <v>43.23</v>
      </c>
      <c r="AH14" s="107">
        <f t="shared" si="3"/>
        <v>6397.77</v>
      </c>
      <c r="AI14" s="108"/>
      <c r="AJ14" s="107">
        <f t="shared" si="4"/>
        <v>6397.77</v>
      </c>
      <c r="AK14" s="109"/>
      <c r="AL14" s="107">
        <f t="shared" si="5"/>
        <v>6441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  <c r="AU14" s="12" t="s">
        <v>224</v>
      </c>
    </row>
    <row r="15" s="12" customFormat="1" ht="18" customHeight="1" spans="1:47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6581.74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L15+IFERROR(VLOOKUP($E:$E,'（居民）工资表-1月'!$E:$S,15,0),0)</f>
        <v>12641.74</v>
      </c>
      <c r="T15" s="91">
        <f>5000+IFERROR(VLOOKUP($E:$E,'（居民）工资表-1月'!$E:$T,16,0),0)</f>
        <v>10000</v>
      </c>
      <c r="U15" s="91">
        <f>Q15+IFERROR(VLOOKUP($E:$E,'（居民）工资表-1月'!$E:$U,17,0),0)</f>
        <v>1055.42</v>
      </c>
      <c r="V15" s="125"/>
      <c r="W15" s="125"/>
      <c r="X15" s="125"/>
      <c r="Y15" s="125"/>
      <c r="Z15" s="125"/>
      <c r="AA15" s="125"/>
      <c r="AB15" s="90">
        <f t="shared" si="9"/>
        <v>0</v>
      </c>
      <c r="AC15" s="90">
        <f>R15+IFERROR(VLOOKUP($E:$E,'（居民）工资表-1月'!$E:$AC,25,0),0)</f>
        <v>0</v>
      </c>
      <c r="AD15" s="95">
        <f t="shared" si="1"/>
        <v>1586.32</v>
      </c>
      <c r="AE15" s="96">
        <f>ROUND(MAX((AD15)*{0.03;0.1;0.2;0.25;0.3;0.35;0.45}-{0;2520;16920;31920;52920;85920;181920},0),2)</f>
        <v>47.59</v>
      </c>
      <c r="AF15" s="97">
        <f>IFERROR(VLOOKUP(E:E,'（居民）工资表-1月'!E:AF,28,0)+VLOOKUP(E:E,'（居民）工资表-1月'!E:AG,29,0),0)</f>
        <v>15.97</v>
      </c>
      <c r="AG15" s="97">
        <f t="shared" si="2"/>
        <v>31.62</v>
      </c>
      <c r="AH15" s="107">
        <f t="shared" si="3"/>
        <v>6022.41</v>
      </c>
      <c r="AI15" s="108"/>
      <c r="AJ15" s="107">
        <f t="shared" si="4"/>
        <v>6022.41</v>
      </c>
      <c r="AK15" s="109"/>
      <c r="AL15" s="107">
        <f t="shared" si="5"/>
        <v>6054.03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  <c r="AU15" s="12" t="s">
        <v>220</v>
      </c>
    </row>
    <row r="16" s="12" customFormat="1" ht="18" customHeight="1" spans="1:47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L16+IFERROR(VLOOKUP($E:$E,'（居民）工资表-1月'!$E:$S,15,0),0)</f>
        <v>12000</v>
      </c>
      <c r="T16" s="91">
        <f>5000+IFERROR(VLOOKUP($E:$E,'（居民）工资表-1月'!$E:$T,16,0),0)</f>
        <v>10000</v>
      </c>
      <c r="U16" s="91">
        <f>Q16+IFERROR(VLOOKUP($E:$E,'（居民）工资表-1月'!$E:$U,17,0),0)</f>
        <v>1050</v>
      </c>
      <c r="V16" s="125"/>
      <c r="W16" s="125"/>
      <c r="X16" s="125"/>
      <c r="Y16" s="125"/>
      <c r="Z16" s="125"/>
      <c r="AA16" s="125"/>
      <c r="AB16" s="90">
        <f t="shared" si="9"/>
        <v>0</v>
      </c>
      <c r="AC16" s="90">
        <f>R16+IFERROR(VLOOKUP($E:$E,'（居民）工资表-1月'!$E:$AC,25,0),0)</f>
        <v>0</v>
      </c>
      <c r="AD16" s="95">
        <f t="shared" si="1"/>
        <v>950</v>
      </c>
      <c r="AE16" s="96">
        <f>ROUND(MAX((AD16)*{0.03;0.1;0.2;0.25;0.3;0.35;0.45}-{0;2520;16920;31920;52920;85920;181920},0),2)</f>
        <v>28.5</v>
      </c>
      <c r="AF16" s="97">
        <f>IFERROR(VLOOKUP(E:E,'（居民）工资表-1月'!E:AF,28,0)+VLOOKUP(E:E,'（居民）工资表-1月'!E:AG,29,0),0)</f>
        <v>14.25</v>
      </c>
      <c r="AG16" s="97">
        <f t="shared" si="2"/>
        <v>14.25</v>
      </c>
      <c r="AH16" s="107">
        <f t="shared" si="3"/>
        <v>5460.75</v>
      </c>
      <c r="AI16" s="108"/>
      <c r="AJ16" s="107">
        <f t="shared" si="4"/>
        <v>5460.75</v>
      </c>
      <c r="AK16" s="109"/>
      <c r="AL16" s="107">
        <f t="shared" si="5"/>
        <v>5475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IF(SUMPRODUCT(N(E$1:E$8=E16))&gt;1,"重复","不")</f>
        <v>不</v>
      </c>
      <c r="AT16" s="116" t="str">
        <f>IF(SUMPRODUCT(N(AO$1:AO$8=AO16))&gt;1,"重复","不")</f>
        <v>重复</v>
      </c>
      <c r="AU16" s="12" t="s">
        <v>225</v>
      </c>
    </row>
    <row r="17" s="12" customFormat="1" ht="18" customHeight="1" spans="1:47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7652.17</v>
      </c>
      <c r="M17" s="71">
        <v>964.56</v>
      </c>
      <c r="N17" s="71">
        <v>267.27</v>
      </c>
      <c r="O17" s="71">
        <v>60.3</v>
      </c>
      <c r="P17" s="71">
        <v>291</v>
      </c>
      <c r="Q17" s="89">
        <f t="shared" si="0"/>
        <v>1583.13</v>
      </c>
      <c r="R17" s="70">
        <v>0</v>
      </c>
      <c r="S17" s="90">
        <f>L17+IFERROR(VLOOKUP($E:$E,'（居民）工资表-1月'!$E:$S,15,0),0)</f>
        <v>7652.17</v>
      </c>
      <c r="T17" s="91">
        <f>5000+IFERROR(VLOOKUP($E:$E,'（居民）工资表-1月'!$E:$T,16,0),0)</f>
        <v>5000</v>
      </c>
      <c r="U17" s="91">
        <f>Q17+IFERROR(VLOOKUP($E:$E,'（居民）工资表-1月'!$E:$U,17,0),0)</f>
        <v>1583.13</v>
      </c>
      <c r="V17" s="125"/>
      <c r="W17" s="125"/>
      <c r="X17" s="125"/>
      <c r="Y17" s="125"/>
      <c r="Z17" s="125"/>
      <c r="AA17" s="125"/>
      <c r="AB17" s="90">
        <f t="shared" si="9"/>
        <v>0</v>
      </c>
      <c r="AC17" s="90">
        <f>R17+IFERROR(VLOOKUP($E:$E,'（居民）工资表-1月'!$E:$AC,25,0),0)</f>
        <v>0</v>
      </c>
      <c r="AD17" s="95">
        <f t="shared" si="1"/>
        <v>1069.04</v>
      </c>
      <c r="AE17" s="96">
        <f>ROUND(MAX((AD17)*{0.03;0.1;0.2;0.25;0.3;0.35;0.45}-{0;2520;16920;31920;52920;85920;181920},0),2)</f>
        <v>32.07</v>
      </c>
      <c r="AF17" s="97">
        <f>IFERROR(VLOOKUP(E:E,'（居民）工资表-1月'!E:AF,28,0)+VLOOKUP(E:E,'（居民）工资表-1月'!E:AG,29,0),0)</f>
        <v>0</v>
      </c>
      <c r="AG17" s="97">
        <f t="shared" si="2"/>
        <v>32.07</v>
      </c>
      <c r="AH17" s="107">
        <f t="shared" si="3"/>
        <v>6036.97</v>
      </c>
      <c r="AI17" s="108"/>
      <c r="AJ17" s="107">
        <f t="shared" si="4"/>
        <v>6036.97</v>
      </c>
      <c r="AK17" s="109"/>
      <c r="AL17" s="107">
        <f t="shared" si="5"/>
        <v>6069.04</v>
      </c>
      <c r="AM17" s="109"/>
      <c r="AN17" s="109"/>
      <c r="AO17" s="109"/>
      <c r="AP17" s="109"/>
      <c r="AQ17" s="109"/>
      <c r="AR17" s="116" t="str">
        <f t="shared" si="6"/>
        <v>正确</v>
      </c>
      <c r="AS17" s="116" t="str">
        <f>IF(SUMPRODUCT(N(E$1:E$8=E17))&gt;1,"重复","不")</f>
        <v>不</v>
      </c>
      <c r="AT17" s="116" t="str">
        <f>IF(SUMPRODUCT(N(AO$1:AO$8=AO17))&gt;1,"重复","不")</f>
        <v>重复</v>
      </c>
      <c r="AU17" s="12" t="s">
        <v>220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/>
      <c r="R18" s="70"/>
      <c r="S18" s="90"/>
      <c r="T18" s="91"/>
      <c r="U18" s="91"/>
      <c r="V18" s="125"/>
      <c r="W18" s="125"/>
      <c r="X18" s="125"/>
      <c r="Y18" s="125"/>
      <c r="Z18" s="125"/>
      <c r="AA18" s="125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123628.45</v>
      </c>
      <c r="M19" s="74">
        <f t="shared" ref="M19:AL19" si="10">SUM(M4:M18)</f>
        <v>5613.3</v>
      </c>
      <c r="N19" s="74">
        <f t="shared" si="10"/>
        <v>1585.57</v>
      </c>
      <c r="O19" s="74">
        <f t="shared" si="10"/>
        <v>311.85</v>
      </c>
      <c r="P19" s="74">
        <f t="shared" si="10"/>
        <v>2496.4</v>
      </c>
      <c r="Q19" s="74">
        <f t="shared" si="10"/>
        <v>10007.12</v>
      </c>
      <c r="R19" s="74">
        <f t="shared" si="10"/>
        <v>0</v>
      </c>
      <c r="S19" s="74">
        <f t="shared" si="10"/>
        <v>238474.29</v>
      </c>
      <c r="T19" s="74">
        <f t="shared" si="10"/>
        <v>135000</v>
      </c>
      <c r="U19" s="74">
        <f t="shared" si="10"/>
        <v>18443.76</v>
      </c>
      <c r="V19" s="74">
        <f t="shared" si="10"/>
        <v>2000</v>
      </c>
      <c r="W19" s="74">
        <f t="shared" si="10"/>
        <v>0</v>
      </c>
      <c r="X19" s="74">
        <f t="shared" si="10"/>
        <v>2000</v>
      </c>
      <c r="Y19" s="74">
        <f t="shared" si="10"/>
        <v>0</v>
      </c>
      <c r="Z19" s="74">
        <f t="shared" si="10"/>
        <v>800</v>
      </c>
      <c r="AA19" s="74">
        <f t="shared" si="10"/>
        <v>0</v>
      </c>
      <c r="AB19" s="74">
        <f t="shared" si="10"/>
        <v>4800</v>
      </c>
      <c r="AC19" s="74">
        <f t="shared" si="10"/>
        <v>0</v>
      </c>
      <c r="AD19" s="74">
        <f t="shared" si="10"/>
        <v>80230.53</v>
      </c>
      <c r="AE19" s="74">
        <f t="shared" si="10"/>
        <v>3330.97</v>
      </c>
      <c r="AF19" s="74">
        <f t="shared" si="10"/>
        <v>1275.4</v>
      </c>
      <c r="AG19" s="74">
        <f t="shared" si="10"/>
        <v>2125.03</v>
      </c>
      <c r="AH19" s="74">
        <f t="shared" si="10"/>
        <v>111496.3</v>
      </c>
      <c r="AI19" s="74">
        <f t="shared" si="10"/>
        <v>0</v>
      </c>
      <c r="AJ19" s="74">
        <f t="shared" si="10"/>
        <v>111496.3</v>
      </c>
      <c r="AK19" s="74">
        <f t="shared" si="10"/>
        <v>0</v>
      </c>
      <c r="AL19" s="74">
        <f t="shared" si="10"/>
        <v>113621.33</v>
      </c>
      <c r="AM19" s="110"/>
      <c r="AN19" s="110"/>
      <c r="AO19" s="110"/>
      <c r="AP19" s="110"/>
      <c r="AQ19" s="110"/>
      <c r="AR19" s="45"/>
      <c r="AS19" s="45"/>
      <c r="AT19" s="118"/>
    </row>
    <row r="20" spans="38:38">
      <c r="AL20" s="15">
        <v>31841.4778</v>
      </c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216</v>
      </c>
      <c r="E23" s="47" t="s">
        <v>23</v>
      </c>
      <c r="AD23" s="10"/>
    </row>
    <row r="24" ht="18.75" customHeight="1" spans="2:5">
      <c r="B24" s="48">
        <f>AJ19</f>
        <v>111496.3</v>
      </c>
      <c r="C24" s="48">
        <f>AG19</f>
        <v>2125.03</v>
      </c>
      <c r="D24" s="48">
        <f>AK19</f>
        <v>0</v>
      </c>
      <c r="E24" s="48">
        <f>B24+C24+D24</f>
        <v>113621.33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24000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1862.1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-62.1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69.46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17100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1986.72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113.28</v>
      </c>
      <c r="AE5" s="96">
        <f>ROUND(MAX((AD5)*{0.03;0.1;0.2;0.25;0.3;0.35;0.45}-{0;2520;16920;31920;52920;85920;181920},0),2)</f>
        <v>3.4</v>
      </c>
      <c r="AF5" s="97">
        <f>IFERROR(VLOOKUP(E:E,'（居民）工资表-2月'!E:AF,28,0)+VLOOKUP(E:E,'（居民）工资表-2月'!E:AG,29,0),0)</f>
        <v>2.27</v>
      </c>
      <c r="AG5" s="97">
        <f>IF((AE5-AF5)&lt;0,0,AE5-AF5)</f>
        <v>1.13</v>
      </c>
      <c r="AH5" s="107">
        <f>ROUND(IF((L5-Q5-AG5)&lt;0,0,(L5-Q5-AG5)),2)</f>
        <v>5036.63</v>
      </c>
      <c r="AI5" s="108"/>
      <c r="AJ5" s="107">
        <f>AH5+AI5</f>
        <v>5036.63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90180</v>
      </c>
      <c r="T6" s="91">
        <f>5000+IFERROR(VLOOKUP($E:$E,'（居民）工资表-2月'!$E:$T,16,0),0)</f>
        <v>15000</v>
      </c>
      <c r="U6" s="91">
        <f>Q6+IFERROR(VLOOKUP($E:$E,'（居民）工资表-2月'!$E:$U,17,0),0)</f>
        <v>2845.65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72334.35</v>
      </c>
      <c r="AE6" s="96">
        <f>ROUND(MAX((AD6)*{0.03;0.1;0.2;0.25;0.3;0.35;0.45}-{0;2520;16920;31920;52920;85920;181920},0),2)</f>
        <v>4713.44</v>
      </c>
      <c r="AF6" s="97">
        <f>IFERROR(VLOOKUP(E:E,'（居民）工资表-2月'!E:AF,28,0)+VLOOKUP(E:E,'（居民）工资表-2月'!E:AG,29,0),0)</f>
        <v>2302.29</v>
      </c>
      <c r="AG6" s="97">
        <f t="shared" ref="AG6:AG17" si="3">IF((AE6-AF6)&lt;0,0,AE6-AF6)</f>
        <v>2411.15</v>
      </c>
      <c r="AH6" s="107">
        <f t="shared" ref="AH6:AH17" si="4">ROUND(IF((L6-Q6-AG6)&lt;0,0,(L6-Q6-AG6)),2)</f>
        <v>26700.3</v>
      </c>
      <c r="AI6" s="108"/>
      <c r="AJ6" s="107">
        <f t="shared" ref="AJ6:AJ17" si="5">AH6+AI6</f>
        <v>26700.3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24000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1583.13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7416.87</v>
      </c>
      <c r="AE7" s="96">
        <f>ROUND(MAX((AD7)*{0.03;0.1;0.2;0.25;0.3;0.35;0.45}-{0;2520;16920;31920;52920;85920;181920},0),2)</f>
        <v>222.51</v>
      </c>
      <c r="AF7" s="97">
        <f>IFERROR(VLOOKUP(E:E,'（居民）工资表-2月'!E:AF,28,0)+VLOOKUP(E:E,'（居民）工资表-2月'!E:AG,29,0),0)</f>
        <v>148.34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31500</v>
      </c>
      <c r="T8" s="91">
        <f>5000+IFERROR(VLOOKUP($E:$E,'（居民）工资表-2月'!$E:$T,16,0),0)</f>
        <v>15000</v>
      </c>
      <c r="U8" s="91">
        <f>Q8+IFERROR(VLOOKUP($E:$E,'（居民）工资表-2月'!$E:$U,17,0),0)</f>
        <v>2316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14184</v>
      </c>
      <c r="AE8" s="96">
        <f>ROUND(MAX((AD8)*{0.03;0.1;0.2;0.25;0.3;0.35;0.45}-{0;2520;16920;31920;52920;85920;181920},0),2)</f>
        <v>425.52</v>
      </c>
      <c r="AF8" s="97">
        <f>IFERROR(VLOOKUP(E:E,'（居民）工资表-2月'!E:AF,28,0)+VLOOKUP(E:E,'（居民）工资表-2月'!E:AG,29,0),0)</f>
        <v>283.68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19500</v>
      </c>
      <c r="T9" s="91">
        <f>5000+IFERROR(VLOOKUP($E:$E,'（居民）工资表-2月'!$E:$T,16,0),0)</f>
        <v>15000</v>
      </c>
      <c r="U9" s="91">
        <f>Q9+IFERROR(VLOOKUP($E:$E,'（居民）工资表-2月'!$E:$U,17,0),0)</f>
        <v>1603.89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2896.11</v>
      </c>
      <c r="AE9" s="96">
        <f>ROUND(MAX((AD9)*{0.03;0.1;0.2;0.25;0.3;0.35;0.45}-{0;2520;16920;31920;52920;85920;181920},0),2)</f>
        <v>86.88</v>
      </c>
      <c r="AF9" s="97">
        <f>IFERROR(VLOOKUP(E:E,'（居民）工资表-2月'!E:AF,28,0)+VLOOKUP(E:E,'（居民）工资表-2月'!E:AG,29,0),0)</f>
        <v>57.69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13577.52</v>
      </c>
      <c r="T10" s="91">
        <f>5000+IFERROR(VLOOKUP($E:$E,'（居民）工资表-2月'!$E:$T,16,0),0)</f>
        <v>15000</v>
      </c>
      <c r="U10" s="91">
        <f>Q10+IFERROR(VLOOKUP($E:$E,'（居民）工资表-2月'!$E:$U,17,0),0)</f>
        <v>1889.58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-3312.06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25500</v>
      </c>
      <c r="T11" s="91">
        <f>5000+IFERROR(VLOOKUP($E:$E,'（居民）工资表-2月'!$E:$T,16,0),0)</f>
        <v>15000</v>
      </c>
      <c r="U11" s="91">
        <f>Q11+IFERROR(VLOOKUP($E:$E,'（居民）工资表-2月'!$E:$U,17,0),0)</f>
        <v>1677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8823</v>
      </c>
      <c r="AE11" s="96">
        <f>ROUND(MAX((AD11)*{0.03;0.1;0.2;0.25;0.3;0.35;0.45}-{0;2520;16920;31920;52920;85920;181920},0),2)</f>
        <v>264.69</v>
      </c>
      <c r="AF11" s="97">
        <f>IFERROR(VLOOKUP(E:E,'（居民）工资表-2月'!E:AF,28,0)+VLOOKUP(E:E,'（居民）工资表-2月'!E:AG,29,0),0)</f>
        <v>176.46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21000</v>
      </c>
      <c r="T12" s="91">
        <f>5000+IFERROR(VLOOKUP($E:$E,'（居民）工资表-2月'!$E:$T,16,0),0)</f>
        <v>15000</v>
      </c>
      <c r="U12" s="91">
        <f>Q12+IFERROR(VLOOKUP($E:$E,'（居民）工资表-2月'!$E:$U,17,0),0)</f>
        <v>2316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3684</v>
      </c>
      <c r="AE12" s="96">
        <f>ROUND(MAX((AD12)*{0.03;0.1;0.2;0.25;0.3;0.35;0.45}-{0;2520;16920;31920;52920;85920;181920},0),2)</f>
        <v>110.52</v>
      </c>
      <c r="AF12" s="97">
        <f>IFERROR(VLOOKUP(E:E,'（居民）工资表-2月'!E:AF,28,0)+VLOOKUP(E:E,'（居民）工资表-2月'!E:AG,29,0),0)</f>
        <v>73.68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21608.7</v>
      </c>
      <c r="T13" s="91">
        <f>5000+IFERROR(VLOOKUP($E:$E,'（居民）工资表-2月'!$E:$T,16,0),0)</f>
        <v>15000</v>
      </c>
      <c r="U13" s="91">
        <f>Q13+IFERROR(VLOOKUP($E:$E,'（居民）工资表-2月'!$E:$U,17,0),0)</f>
        <v>2316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4292.7</v>
      </c>
      <c r="AE13" s="96">
        <f>ROUND(MAX((AD13)*{0.03;0.1;0.2;0.25;0.3;0.35;0.45}-{0;2520;16920;31920;52920;85920;181920},0),2)</f>
        <v>128.78</v>
      </c>
      <c r="AF13" s="97">
        <f>IFERROR(VLOOKUP(E:E,'（居民）工资表-2月'!E:AF,28,0)+VLOOKUP(E:E,'（居民）工资表-2月'!E:AG,29,0),0)</f>
        <v>91.94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21000</v>
      </c>
      <c r="T14" s="91">
        <f>5000+IFERROR(VLOOKUP($E:$E,'（居民）工资表-2月'!$E:$T,16,0),0)</f>
        <v>15000</v>
      </c>
      <c r="U14" s="91">
        <f>Q14+IFERROR(VLOOKUP($E:$E,'（居民）工资表-2月'!$E:$U,17,0),0)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IFERROR(VLOOKUP(E:E,'（居民）工资表-2月'!E:AF,28,0)+VLOOKUP(E:E,'（居民）工资表-2月'!E:AG,29,0),0)</f>
        <v>86.46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18701.74</v>
      </c>
      <c r="T15" s="91">
        <f>5000+IFERROR(VLOOKUP($E:$E,'（居民）工资表-2月'!$E:$T,16,0),0)</f>
        <v>15000</v>
      </c>
      <c r="U15" s="91">
        <f>Q15+IFERROR(VLOOKUP($E:$E,'（居民）工资表-2月'!$E:$U,17,0),0)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2118.61</v>
      </c>
      <c r="AE15" s="96">
        <f>ROUND(MAX((AD15)*{0.03;0.1;0.2;0.25;0.3;0.35;0.45}-{0;2520;16920;31920;52920;85920;181920},0),2)</f>
        <v>63.56</v>
      </c>
      <c r="AF15" s="97">
        <f>IFERROR(VLOOKUP(E:E,'（居民）工资表-2月'!E:AF,28,0)+VLOOKUP(E:E,'（居民）工资表-2月'!E:AG,29,0),0)</f>
        <v>47.59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18000</v>
      </c>
      <c r="T16" s="91">
        <f>5000+IFERROR(VLOOKUP($E:$E,'（居民）工资表-2月'!$E:$T,16,0),0)</f>
        <v>15000</v>
      </c>
      <c r="U16" s="91">
        <f>Q16+IFERROR(VLOOKUP($E:$E,'（居民）工资表-2月'!$E:$U,17,0),0)</f>
        <v>1575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1425</v>
      </c>
      <c r="AE16" s="96">
        <f>ROUND(MAX((AD16)*{0.03;0.1;0.2;0.25;0.3;0.35;0.45}-{0;2520;16920;31920;52920;85920;181920},0),2)</f>
        <v>42.75</v>
      </c>
      <c r="AF16" s="97">
        <f>IFERROR(VLOOKUP(E:E,'（居民）工资表-2月'!E:AF,28,0)+VLOOKUP(E:E,'（居民）工资表-2月'!E:AG,29,0),0)</f>
        <v>28.5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17556.93</v>
      </c>
      <c r="T17" s="91">
        <f>5000+IFERROR(VLOOKUP($E:$E,'（居民）工资表-2月'!$E:$T,16,0),0)</f>
        <v>10000</v>
      </c>
      <c r="U17" s="91">
        <f>Q17+IFERROR(VLOOKUP($E:$E,'（居民）工资表-2月'!$E:$U,17,0),0)</f>
        <v>2110.84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5446.09</v>
      </c>
      <c r="AE17" s="96">
        <f>ROUND(MAX((AD17)*{0.03;0.1;0.2;0.25;0.3;0.35;0.45}-{0;2520;16920;31920;52920;85920;181920},0),2)</f>
        <v>163.38</v>
      </c>
      <c r="AF17" s="97">
        <f>IFERROR(VLOOKUP(E:E,'（居民）工资表-2月'!E:AF,28,0)+VLOOKUP(E:E,'（居民）工资表-2月'!E:AG,29,0),0)</f>
        <v>32.07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157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363224.89</v>
      </c>
      <c r="T19" s="74">
        <f t="shared" si="10"/>
        <v>205000</v>
      </c>
      <c r="U19" s="74">
        <f t="shared" si="10"/>
        <v>27342.04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123682.85</v>
      </c>
      <c r="AE19" s="74">
        <f t="shared" si="10"/>
        <v>6355.12</v>
      </c>
      <c r="AF19" s="74">
        <f t="shared" si="10"/>
        <v>3400.43</v>
      </c>
      <c r="AG19" s="74">
        <f t="shared" si="10"/>
        <v>3024.15</v>
      </c>
      <c r="AH19" s="74">
        <f t="shared" si="10"/>
        <v>112828.17</v>
      </c>
      <c r="AI19" s="74">
        <f t="shared" si="10"/>
        <v>0</v>
      </c>
      <c r="AJ19" s="74">
        <f t="shared" si="10"/>
        <v>112828.17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112828.17</v>
      </c>
      <c r="C24" s="48">
        <f>AG19</f>
        <v>3024.15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32000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2450.8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9549.2</v>
      </c>
      <c r="AE4" s="96">
        <f>ROUND(MAX((AD4)*{0.03;0.1;0.2;0.25;0.3;0.35;0.45}-{0;2520;16920;31920;52920;85920;181920},0),2)</f>
        <v>286.48</v>
      </c>
      <c r="AF4" s="97">
        <f>IFERROR(VLOOKUP(E:E,'（居民）工资表-3月'!E:AF,28,0)+VLOOKUP(E:E,'（居民）工资表-3月'!E:AG,29,0),0)</f>
        <v>69.46</v>
      </c>
      <c r="AG4" s="97">
        <f t="shared" ref="AG4:AG22" si="3">IF((AE4-AF4)&lt;0,0,AE4-AF4)</f>
        <v>217.02</v>
      </c>
      <c r="AH4" s="107">
        <f t="shared" ref="AH4:AH22" si="4">ROUND(IF((L4-Q4-AG4)&lt;0,0,(L4-Q4-AG4)),2)</f>
        <v>7194.28</v>
      </c>
      <c r="AI4" s="108"/>
      <c r="AJ4" s="107">
        <f t="shared" ref="AJ4:AJ22" si="5">AH4+AI4</f>
        <v>7194.28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22800</v>
      </c>
      <c r="T5" s="91">
        <f>5000+IFERROR(VLOOKUP($E:$E,'（居民）工资表-3月'!$E:$T,16,0),0)</f>
        <v>20000</v>
      </c>
      <c r="U5" s="91">
        <f>Q5+IFERROR(VLOOKUP($E:$E,'（居民）工资表-3月'!$E:$U,17,0),0)</f>
        <v>2648.96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151.04</v>
      </c>
      <c r="AE5" s="96">
        <f>ROUND(MAX((AD5)*{0.03;0.1;0.2;0.25;0.3;0.35;0.45}-{0;2520;16920;31920;52920;85920;181920},0),2)</f>
        <v>4.53</v>
      </c>
      <c r="AF5" s="97">
        <f>IFERROR(VLOOKUP(E:E,'（居民）工资表-3月'!E:AF,28,0)+VLOOKUP(E:E,'（居民）工资表-3月'!E:AG,29,0),0)</f>
        <v>3.4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120240</v>
      </c>
      <c r="T6" s="91">
        <f>5000+IFERROR(VLOOKUP($E:$E,'（居民）工资表-3月'!$E:$T,16,0),0)</f>
        <v>20000</v>
      </c>
      <c r="U6" s="91">
        <f>Q6+IFERROR(VLOOKUP($E:$E,'（居民）工资表-3月'!$E:$U,17,0),0)</f>
        <v>3794.2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96445.8</v>
      </c>
      <c r="AE6" s="96">
        <f>ROUND(MAX((AD6)*{0.03;0.1;0.2;0.25;0.3;0.35;0.45}-{0;2520;16920;31920;52920;85920;181920},0),2)</f>
        <v>7124.58</v>
      </c>
      <c r="AF6" s="97">
        <f>IFERROR(VLOOKUP(E:E,'（居民）工资表-3月'!E:AF,28,0)+VLOOKUP(E:E,'（居民）工资表-3月'!E:AG,29,0),0)</f>
        <v>4713.44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32000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2110.84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9889.16</v>
      </c>
      <c r="AE7" s="96">
        <f>ROUND(MAX((AD7)*{0.03;0.1;0.2;0.25;0.3;0.35;0.45}-{0;2520;16920;31920;52920;85920;181920},0),2)</f>
        <v>296.67</v>
      </c>
      <c r="AF7" s="97">
        <f>IFERROR(VLOOKUP(E:E,'（居民）工资表-3月'!E:AF,28,0)+VLOOKUP(E:E,'（居民）工资表-3月'!E:AG,29,0),0)</f>
        <v>222.51</v>
      </c>
      <c r="AG7" s="97">
        <f t="shared" si="3"/>
        <v>74.16</v>
      </c>
      <c r="AH7" s="107">
        <f t="shared" si="4"/>
        <v>7398.13</v>
      </c>
      <c r="AI7" s="108"/>
      <c r="AJ7" s="107">
        <f t="shared" si="5"/>
        <v>7398.13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42000</v>
      </c>
      <c r="T8" s="93">
        <f>5000+IFERROR(VLOOKUP($E:$E,'（居民）工资表-3月'!$E:$T,16,0),0)</f>
        <v>20000</v>
      </c>
      <c r="U8" s="93">
        <f>Q8+IFERROR(VLOOKUP($E:$E,'（居民）工资表-3月'!$E:$U,17,0),0)</f>
        <v>3088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18912</v>
      </c>
      <c r="AE8" s="99">
        <f>ROUND(MAX((AD8)*{0.03;0.1;0.2;0.25;0.3;0.35;0.45}-{0;2520;16920;31920;52920;85920;181920},0),2)</f>
        <v>567.36</v>
      </c>
      <c r="AF8" s="100">
        <f>IFERROR(VLOOKUP(E:E,'（居民）工资表-3月'!E:AF,28,0)+VLOOKUP(E:E,'（居民）工资表-3月'!E:AG,29,0),0)</f>
        <v>425.52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26000</v>
      </c>
      <c r="T9" s="91">
        <f>5000+IFERROR(VLOOKUP($E:$E,'（居民）工资表-3月'!$E:$T,16,0),0)</f>
        <v>20000</v>
      </c>
      <c r="U9" s="91">
        <f>Q9+IFERROR(VLOOKUP($E:$E,'（居民）工资表-3月'!$E:$U,17,0),0)</f>
        <v>2130.69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3869.31</v>
      </c>
      <c r="AE9" s="96">
        <f>ROUND(MAX((AD9)*{0.03;0.1;0.2;0.25;0.3;0.35;0.45}-{0;2520;16920;31920;52920;85920;181920},0),2)</f>
        <v>116.08</v>
      </c>
      <c r="AF9" s="97">
        <f>IFERROR(VLOOKUP(E:E,'（居民）工资表-3月'!E:AF,28,0)+VLOOKUP(E:E,'（居民）工资表-3月'!E:AG,29,0),0)</f>
        <v>86.88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18103.36</v>
      </c>
      <c r="T10" s="91">
        <f>5000+IFERROR(VLOOKUP($E:$E,'（居民）工资表-3月'!$E:$T,16,0),0)</f>
        <v>20000</v>
      </c>
      <c r="U10" s="91">
        <f>Q10+IFERROR(VLOOKUP($E:$E,'（居民）工资表-3月'!$E:$U,17,0),0)</f>
        <v>2519.44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-4416.08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34000</v>
      </c>
      <c r="T11" s="91">
        <f>5000+IFERROR(VLOOKUP($E:$E,'（居民）工资表-3月'!$E:$T,16,0),0)</f>
        <v>20000</v>
      </c>
      <c r="U11" s="91">
        <f>Q11+IFERROR(VLOOKUP($E:$E,'（居民）工资表-3月'!$E:$U,17,0),0)</f>
        <v>2236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11764</v>
      </c>
      <c r="AE11" s="96">
        <f>ROUND(MAX((AD11)*{0.03;0.1;0.2;0.25;0.3;0.35;0.45}-{0;2520;16920;31920;52920;85920;181920},0),2)</f>
        <v>352.92</v>
      </c>
      <c r="AF11" s="97">
        <f>IFERROR(VLOOKUP(E:E,'（居民）工资表-3月'!E:AF,28,0)+VLOOKUP(E:E,'（居民）工资表-3月'!E:AG,29,0),0)</f>
        <v>264.69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28000</v>
      </c>
      <c r="T12" s="91">
        <f>5000+IFERROR(VLOOKUP($E:$E,'（居民）工资表-3月'!$E:$T,16,0),0)</f>
        <v>20000</v>
      </c>
      <c r="U12" s="91">
        <f>Q12+IFERROR(VLOOKUP($E:$E,'（居民）工资表-3月'!$E:$U,17,0),0)</f>
        <v>3088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4912</v>
      </c>
      <c r="AE12" s="96">
        <f>ROUND(MAX((AD12)*{0.03;0.1;0.2;0.25;0.3;0.35;0.45}-{0;2520;16920;31920;52920;85920;181920},0),2)</f>
        <v>147.36</v>
      </c>
      <c r="AF12" s="97">
        <f>IFERROR(VLOOKUP(E:E,'（居民）工资表-3月'!E:AF,28,0)+VLOOKUP(E:E,'（居民）工资表-3月'!E:AG,29,0),0)</f>
        <v>110.52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28608.7</v>
      </c>
      <c r="T13" s="91">
        <f>5000+IFERROR(VLOOKUP($E:$E,'（居民）工资表-3月'!$E:$T,16,0),0)</f>
        <v>20000</v>
      </c>
      <c r="U13" s="91">
        <f>Q13+IFERROR(VLOOKUP($E:$E,'（居民）工资表-3月'!$E:$U,17,0),0)</f>
        <v>3088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5520.7</v>
      </c>
      <c r="AE13" s="96">
        <f>ROUND(MAX((AD13)*{0.03;0.1;0.2;0.25;0.3;0.35;0.45}-{0;2520;16920;31920;52920;85920;181920},0),2)</f>
        <v>165.62</v>
      </c>
      <c r="AF13" s="97">
        <f>IFERROR(VLOOKUP(E:E,'（居民）工资表-3月'!E:AF,28,0)+VLOOKUP(E:E,'（居民）工资表-3月'!E:AG,29,0),0)</f>
        <v>128.78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28000</v>
      </c>
      <c r="T14" s="91">
        <f>5000+IFERROR(VLOOKUP($E:$E,'（居民）工资表-3月'!$E:$T,16,0),0)</f>
        <v>20000</v>
      </c>
      <c r="U14" s="91">
        <f>Q14+IFERROR(VLOOKUP($E:$E,'（居民）工资表-3月'!$E:$U,17,0),0)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IFERROR(VLOOKUP(E:E,'（居民）工资表-3月'!E:AF,28,0)+VLOOKUP(E:E,'（居民）工资表-3月'!E:AG,29,0),0)</f>
        <v>129.69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25001.74</v>
      </c>
      <c r="T15" s="91">
        <f>5000+IFERROR(VLOOKUP($E:$E,'（居民）工资表-3月'!$E:$T,16,0),0)</f>
        <v>20000</v>
      </c>
      <c r="U15" s="91">
        <f>Q15+IFERROR(VLOOKUP($E:$E,'（居民）工资表-3月'!$E:$U,17,0),0)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2890.9</v>
      </c>
      <c r="AE15" s="96">
        <f>ROUND(MAX((AD15)*{0.03;0.1;0.2;0.25;0.3;0.35;0.45}-{0;2520;16920;31920;52920;85920;181920},0),2)</f>
        <v>86.73</v>
      </c>
      <c r="AF15" s="97">
        <f>IFERROR(VLOOKUP(E:E,'（居民）工资表-3月'!E:AF,28,0)+VLOOKUP(E:E,'（居民）工资表-3月'!E:AG,29,0),0)</f>
        <v>63.56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24000</v>
      </c>
      <c r="T16" s="91">
        <f>5000+IFERROR(VLOOKUP($E:$E,'（居民）工资表-3月'!$E:$T,16,0),0)</f>
        <v>20000</v>
      </c>
      <c r="U16" s="91">
        <f>Q16+IFERROR(VLOOKUP($E:$E,'（居民）工资表-3月'!$E:$U,17,0),0)</f>
        <v>2100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1900</v>
      </c>
      <c r="AE16" s="96">
        <f>ROUND(MAX((AD16)*{0.03;0.1;0.2;0.25;0.3;0.35;0.45}-{0;2520;16920;31920;52920;85920;181920},0),2)</f>
        <v>57</v>
      </c>
      <c r="AF16" s="97">
        <f>IFERROR(VLOOKUP(E:E,'（居民）工资表-3月'!E:AF,28,0)+VLOOKUP(E:E,'（居民）工资表-3月'!E:AG,29,0),0)</f>
        <v>42.75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27556.93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2638.55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9918.38</v>
      </c>
      <c r="AE17" s="96">
        <f>ROUND(MAX((AD17)*{0.03;0.1;0.2;0.25;0.3;0.35;0.45}-{0;2520;16920;31920;52920;85920;181920},0),2)</f>
        <v>297.55</v>
      </c>
      <c r="AF17" s="97">
        <f>IFERROR(VLOOKUP(E:E,'（居民）工资表-3月'!E:AF,28,0)+VLOOKUP(E:E,'（居民）工资表-3月'!E:AG,29,0),0)</f>
        <v>163.38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490337.4</v>
      </c>
      <c r="T20" s="74">
        <f t="shared" si="10"/>
        <v>280000</v>
      </c>
      <c r="U20" s="74">
        <f t="shared" si="10"/>
        <v>37345.46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172991.94</v>
      </c>
      <c r="AE20" s="74">
        <f t="shared" si="10"/>
        <v>9675.8</v>
      </c>
      <c r="AF20" s="74">
        <f t="shared" si="10"/>
        <v>6424.58</v>
      </c>
      <c r="AG20" s="74">
        <f t="shared" si="10"/>
        <v>3251.22</v>
      </c>
      <c r="AH20" s="74">
        <f t="shared" si="10"/>
        <v>113857.87</v>
      </c>
      <c r="AI20" s="74">
        <f t="shared" si="10"/>
        <v>0</v>
      </c>
      <c r="AJ20" s="74">
        <f t="shared" si="10"/>
        <v>113857.87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113857.87</v>
      </c>
      <c r="C25" s="48">
        <f>AG20</f>
        <v>3251.22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226</v>
      </c>
      <c r="C1" s="1"/>
      <c r="D1" s="1"/>
      <c r="E1" s="1"/>
    </row>
    <row r="2" ht="21" spans="2:2">
      <c r="B2" s="2"/>
    </row>
    <row r="3" ht="27.75" customHeight="1" spans="2:5">
      <c r="B3" s="3" t="s">
        <v>227</v>
      </c>
      <c r="C3" s="4" t="s">
        <v>228</v>
      </c>
      <c r="D3" s="4" t="s">
        <v>229</v>
      </c>
      <c r="E3" s="4" t="s">
        <v>230</v>
      </c>
    </row>
    <row r="4" ht="29.25" customHeight="1" spans="2:5">
      <c r="B4" s="5">
        <v>1</v>
      </c>
      <c r="C4" s="6" t="s">
        <v>231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232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233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234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235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236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237</v>
      </c>
      <c r="D10" s="7">
        <v>0.45</v>
      </c>
      <c r="E10" s="8">
        <v>181920</v>
      </c>
    </row>
    <row r="13" ht="57" customHeight="1" spans="2:5">
      <c r="B13" s="1" t="s">
        <v>238</v>
      </c>
      <c r="C13" s="1"/>
      <c r="D13" s="1"/>
      <c r="E13" s="1"/>
    </row>
    <row r="14" ht="21" spans="2:2">
      <c r="B14" s="2"/>
    </row>
    <row r="15" ht="27.75" customHeight="1" spans="2:5">
      <c r="B15" s="3" t="s">
        <v>227</v>
      </c>
      <c r="C15" s="4" t="s">
        <v>239</v>
      </c>
      <c r="D15" s="4" t="s">
        <v>229</v>
      </c>
      <c r="E15" s="4" t="s">
        <v>230</v>
      </c>
    </row>
    <row r="16" ht="29.25" customHeight="1" spans="2:5">
      <c r="B16" s="5">
        <v>1</v>
      </c>
      <c r="C16" s="6" t="s">
        <v>240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241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242</v>
      </c>
      <c r="D18" s="7">
        <v>0.4</v>
      </c>
      <c r="E18" s="8">
        <v>7000</v>
      </c>
    </row>
    <row r="21" ht="47.25" customHeight="1" spans="2:5">
      <c r="B21" s="1" t="s">
        <v>243</v>
      </c>
      <c r="C21" s="1"/>
      <c r="D21" s="1"/>
      <c r="E21" s="1"/>
    </row>
    <row r="22" ht="21" spans="2:2">
      <c r="B22" s="2"/>
    </row>
    <row r="23" ht="27.75" customHeight="1" spans="2:5">
      <c r="B23" s="3" t="s">
        <v>227</v>
      </c>
      <c r="C23" s="4" t="s">
        <v>244</v>
      </c>
      <c r="D23" s="4" t="s">
        <v>229</v>
      </c>
      <c r="E23" s="4" t="s">
        <v>230</v>
      </c>
    </row>
    <row r="24" ht="29.25" customHeight="1" spans="2:5">
      <c r="B24" s="5">
        <v>1</v>
      </c>
      <c r="C24" s="6" t="s">
        <v>245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246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247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248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249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250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251</v>
      </c>
      <c r="D30" s="7">
        <v>0.45</v>
      </c>
      <c r="E30" s="8">
        <v>15160</v>
      </c>
    </row>
    <row r="35" ht="57" customHeight="1" spans="2:5">
      <c r="B35" s="9" t="s">
        <v>252</v>
      </c>
      <c r="C35" s="9"/>
      <c r="D35" s="9"/>
      <c r="E35" s="9"/>
    </row>
    <row r="36" ht="14.25"/>
    <row r="37" ht="21.75" customHeight="1" spans="2:5">
      <c r="B37" s="3" t="s">
        <v>227</v>
      </c>
      <c r="C37" s="4" t="s">
        <v>253</v>
      </c>
      <c r="D37" s="4" t="s">
        <v>254</v>
      </c>
      <c r="E37" s="4" t="s">
        <v>230</v>
      </c>
    </row>
    <row r="38" ht="21.75" customHeight="1" spans="2:5">
      <c r="B38" s="5">
        <v>1</v>
      </c>
      <c r="C38" s="6" t="s">
        <v>245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246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247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248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249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250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251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workbookViewId="0">
      <selection activeCell="B6" sqref="B6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/>
      <c r="K7" s="215" t="s">
        <v>47</v>
      </c>
      <c r="L7" s="215"/>
      <c r="M7" s="215"/>
      <c r="N7" s="216"/>
    </row>
    <row r="8" ht="17.25" spans="1:14">
      <c r="A8" s="147"/>
      <c r="B8" s="150" t="s">
        <v>72</v>
      </c>
      <c r="C8" s="151"/>
      <c r="D8" s="151"/>
      <c r="E8" s="152">
        <f>D10</f>
        <v>114248.22</v>
      </c>
      <c r="F8" s="153"/>
      <c r="G8" s="153"/>
      <c r="H8" s="154"/>
      <c r="I8" s="217" t="s">
        <v>73</v>
      </c>
      <c r="J8" s="218" t="s">
        <v>74</v>
      </c>
      <c r="K8" s="219" t="s">
        <v>75</v>
      </c>
      <c r="L8" s="219"/>
      <c r="M8" s="219"/>
      <c r="N8" s="220"/>
    </row>
    <row r="9" ht="15.75" spans="1:14">
      <c r="A9" s="147"/>
      <c r="B9" s="155" t="s">
        <v>76</v>
      </c>
      <c r="C9" s="156"/>
      <c r="D9" s="156"/>
      <c r="E9" s="157">
        <f>G24</f>
        <v>114248.22</v>
      </c>
      <c r="F9" s="158"/>
      <c r="G9" s="158"/>
      <c r="H9" s="159"/>
      <c r="I9" s="219" t="s">
        <v>73</v>
      </c>
      <c r="J9" s="221" t="s">
        <v>77</v>
      </c>
      <c r="K9" s="222" t="s">
        <v>78</v>
      </c>
      <c r="L9" s="222"/>
      <c r="M9" s="222"/>
      <c r="N9" s="223"/>
    </row>
    <row r="10" ht="30.75" spans="1:14">
      <c r="A10" s="147"/>
      <c r="B10" s="160" t="s">
        <v>79</v>
      </c>
      <c r="C10" s="161"/>
      <c r="D10" s="162">
        <f>G24</f>
        <v>114248.22</v>
      </c>
      <c r="E10" s="163" t="s">
        <v>80</v>
      </c>
      <c r="F10" s="164"/>
      <c r="G10" s="165"/>
      <c r="H10" s="166">
        <v>0</v>
      </c>
      <c r="I10" s="224" t="s">
        <v>73</v>
      </c>
      <c r="J10" s="225" t="s">
        <v>81</v>
      </c>
      <c r="K10" s="226" t="s">
        <v>82</v>
      </c>
      <c r="L10" s="226"/>
      <c r="M10" s="226"/>
      <c r="N10" s="227"/>
    </row>
    <row r="11" ht="14.2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/>
      <c r="J11" s="229"/>
      <c r="K11" s="228"/>
      <c r="L11" s="228"/>
      <c r="M11" s="228"/>
      <c r="N11" s="230"/>
    </row>
    <row r="12" spans="1:14">
      <c r="A12" s="144"/>
      <c r="B12" s="167" t="s">
        <v>85</v>
      </c>
      <c r="C12" s="168"/>
      <c r="D12" s="169">
        <v>0</v>
      </c>
      <c r="E12" s="170" t="s">
        <v>86</v>
      </c>
      <c r="F12" s="171"/>
      <c r="G12" s="172"/>
      <c r="H12" s="173"/>
      <c r="I12" s="231"/>
      <c r="J12" s="232"/>
      <c r="K12" s="233"/>
      <c r="L12" s="233"/>
      <c r="M12" s="233"/>
      <c r="N12" s="233"/>
    </row>
    <row r="13" ht="14.25" spans="1:14">
      <c r="A13" s="134"/>
      <c r="B13" s="174" t="s">
        <v>87</v>
      </c>
      <c r="C13" s="175"/>
      <c r="D13" s="176">
        <v>0</v>
      </c>
      <c r="E13" s="177"/>
      <c r="F13" s="178"/>
      <c r="G13" s="179"/>
      <c r="H13" s="180"/>
      <c r="I13" s="147"/>
      <c r="J13" s="234"/>
      <c r="K13" s="235"/>
      <c r="L13" s="235"/>
      <c r="M13" s="235"/>
      <c r="N13" s="235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88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89</v>
      </c>
      <c r="D17" s="183" t="s">
        <v>90</v>
      </c>
      <c r="E17" s="183"/>
      <c r="F17" s="184" t="s">
        <v>91</v>
      </c>
      <c r="G17" s="185" t="s">
        <v>31</v>
      </c>
      <c r="H17" s="186" t="s">
        <v>24</v>
      </c>
      <c r="J17" s="236" t="s">
        <v>92</v>
      </c>
      <c r="K17" s="236"/>
      <c r="L17" s="236"/>
      <c r="M17" s="236"/>
    </row>
    <row r="18" ht="16.5" spans="2:13">
      <c r="B18" s="187">
        <v>1</v>
      </c>
      <c r="C18" s="188" t="s">
        <v>93</v>
      </c>
      <c r="D18" s="189" t="s">
        <v>94</v>
      </c>
      <c r="E18" s="189"/>
      <c r="F18" s="190"/>
      <c r="G18" s="191">
        <f>'（居民）工资表-9月'!E23</f>
        <v>114248.22</v>
      </c>
      <c r="H18" s="192"/>
      <c r="J18" s="236"/>
      <c r="K18" s="236"/>
      <c r="L18" s="236"/>
      <c r="M18" s="236"/>
    </row>
    <row r="19" ht="16.5" spans="2:13">
      <c r="B19" s="187">
        <v>2</v>
      </c>
      <c r="C19" s="188"/>
      <c r="D19" s="193" t="s">
        <v>95</v>
      </c>
      <c r="E19" s="194" t="s">
        <v>96</v>
      </c>
      <c r="F19" s="190"/>
      <c r="G19" s="191"/>
      <c r="H19" s="195"/>
      <c r="J19" s="236"/>
      <c r="K19" s="236"/>
      <c r="L19" s="236"/>
      <c r="M19" s="236"/>
    </row>
    <row r="20" ht="16.5" spans="2:13">
      <c r="B20" s="187">
        <v>3</v>
      </c>
      <c r="C20" s="188"/>
      <c r="D20" s="193" t="s">
        <v>97</v>
      </c>
      <c r="E20" s="194" t="s">
        <v>96</v>
      </c>
      <c r="F20" s="190"/>
      <c r="G20" s="191"/>
      <c r="H20" s="195"/>
      <c r="J20" s="236"/>
      <c r="K20" s="236"/>
      <c r="L20" s="236"/>
      <c r="M20" s="236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114248.22</v>
      </c>
      <c r="H21" s="198"/>
      <c r="J21" s="236"/>
      <c r="K21" s="236"/>
      <c r="L21" s="236"/>
      <c r="M21" s="236"/>
    </row>
    <row r="22" ht="16.5" spans="2:13">
      <c r="B22" s="187">
        <v>5</v>
      </c>
      <c r="C22" s="188" t="s">
        <v>98</v>
      </c>
      <c r="D22" s="196" t="s">
        <v>99</v>
      </c>
      <c r="E22" s="196"/>
      <c r="F22" s="190"/>
      <c r="G22" s="197"/>
      <c r="H22" s="192"/>
      <c r="J22" s="236"/>
      <c r="K22" s="236"/>
      <c r="L22" s="236"/>
      <c r="M22" s="236"/>
    </row>
    <row r="23" ht="18" customHeight="1" spans="2:13">
      <c r="B23" s="187">
        <v>6</v>
      </c>
      <c r="C23" s="199" t="s">
        <v>100</v>
      </c>
      <c r="D23" s="200">
        <v>0.056</v>
      </c>
      <c r="E23" s="200"/>
      <c r="F23" s="200"/>
      <c r="G23" s="197"/>
      <c r="H23" s="192"/>
      <c r="J23" s="236"/>
      <c r="K23" s="236"/>
      <c r="L23" s="236"/>
      <c r="M23" s="236"/>
    </row>
    <row r="24" ht="16.5" spans="2:8">
      <c r="B24" s="201" t="s">
        <v>101</v>
      </c>
      <c r="C24" s="202"/>
      <c r="D24" s="202"/>
      <c r="E24" s="202"/>
      <c r="F24" s="202"/>
      <c r="G24" s="203">
        <f>G21+G22</f>
        <v>114248.22</v>
      </c>
      <c r="H24" s="204"/>
    </row>
    <row r="25" ht="16" customHeight="1" spans="2:8">
      <c r="B25" s="205" t="s">
        <v>102</v>
      </c>
      <c r="C25" s="206"/>
      <c r="D25" s="206"/>
      <c r="E25" s="206"/>
      <c r="F25" s="206"/>
      <c r="G25" s="207">
        <f>G24</f>
        <v>114248.22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56000</v>
      </c>
      <c r="T4" s="91">
        <f>5000+IFERROR(VLOOKUP($E:$E,'（居民）工资表-6月'!$E:$T,16,0),0)</f>
        <v>35000</v>
      </c>
      <c r="U4" s="91">
        <f>Q4+IFERROR(VLOOKUP($E:$E,'（居民）工资表-6月'!$E:$U,17,0),0)</f>
        <v>4216.9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-16.9</v>
      </c>
      <c r="AE4" s="96">
        <f>ROUND(MAX((AD4)*{0.03;0.1;0.2;0.25;0.3;0.35;0.45}-{0;2520;16920;31920;52920;85920;181920},0),2)</f>
        <v>0</v>
      </c>
      <c r="AF4" s="97">
        <f>IFERROR(VLOOKUP(E:E,'（居民）工资表-6月'!E:AF,28,0)+VLOOKUP(E:E,'（居民）工资表-6月'!E:AG,29,0),0)</f>
        <v>431.15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40700</v>
      </c>
      <c r="T5" s="91">
        <f>5000+IFERROR(VLOOKUP($E:$E,'（居民）工资表-6月'!$E:$T,16,0),0)</f>
        <v>35000</v>
      </c>
      <c r="U5" s="91">
        <f>Q5+IFERROR(VLOOKUP($E:$E,'（居民）工资表-6月'!$E:$U,17,0),0)</f>
        <v>4635.68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-5935.68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18.8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210420</v>
      </c>
      <c r="T6" s="91">
        <f>5000+IFERROR(VLOOKUP($E:$E,'（居民）工资表-6月'!$E:$T,16,0),0)</f>
        <v>35000</v>
      </c>
      <c r="U6" s="91">
        <f>Q6+IFERROR(VLOOKUP($E:$E,'（居民）工资表-6月'!$E:$U,17,0),0)</f>
        <v>6639.85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158280.15</v>
      </c>
      <c r="AE6" s="96">
        <f>ROUND(MAX((AD6)*{0.03;0.1;0.2;0.25;0.3;0.35;0.45}-{0;2520;16920;31920;52920;85920;181920},0),2)</f>
        <v>14736.03</v>
      </c>
      <c r="AF6" s="97">
        <f>IFERROR(VLOOKUP(E:E,'（居民）工资表-6月'!E:AF,28,0)+VLOOKUP(E:E,'（居民）工资表-6月'!E:AG,29,0),0)</f>
        <v>12013.74</v>
      </c>
      <c r="AG6" s="97">
        <f>IF((AE6-AF6)&lt;0,0,AE6-AF6)</f>
        <v>2722.29</v>
      </c>
      <c r="AH6" s="107">
        <f>ROUND(IF((L6-Q6-AG6)&lt;0,0,(L6-Q6-AG6)),2)</f>
        <v>26389.16</v>
      </c>
      <c r="AI6" s="108"/>
      <c r="AJ6" s="107">
        <f>AH6+AI6</f>
        <v>26389.16</v>
      </c>
      <c r="AK6" s="109"/>
      <c r="AL6" s="107">
        <f>AJ6+AG6+AK6</f>
        <v>29111.45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11000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61000</v>
      </c>
      <c r="T7" s="91">
        <f>5000+IFERROR(VLOOKUP($E:$E,'（居民）工资表-6月'!$E:$T,16,0),0)</f>
        <v>35000</v>
      </c>
      <c r="U7" s="91">
        <f>Q7+IFERROR(VLOOKUP($E:$E,'（居民）工资表-6月'!$E:$U,17,0),0)</f>
        <v>3693.97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17306.03</v>
      </c>
      <c r="AE7" s="96">
        <f>ROUND(MAX((AD7)*{0.03;0.1;0.2;0.25;0.3;0.35;0.45}-{0;2520;16920;31920;52920;85920;181920},0),2)</f>
        <v>519.18</v>
      </c>
      <c r="AF7" s="97">
        <f>IFERROR(VLOOKUP(E:E,'（居民）工资表-6月'!E:AF,28,0)+VLOOKUP(E:E,'（居民）工资表-6月'!E:AG,29,0),0)</f>
        <v>505.01</v>
      </c>
      <c r="AG7" s="97">
        <f t="shared" ref="AG7:AG19" si="3">IF((AE7-AF7)&lt;0,0,AE7-AF7)</f>
        <v>14.17</v>
      </c>
      <c r="AH7" s="107">
        <f t="shared" ref="AH7:AH19" si="4">ROUND(IF((L7-Q7-AG7)&lt;0,0,(L7-Q7-AG7)),2)</f>
        <v>10458.12</v>
      </c>
      <c r="AI7" s="108"/>
      <c r="AJ7" s="107">
        <f t="shared" ref="AJ7:AJ19" si="5">AH7+AI7</f>
        <v>10458.12</v>
      </c>
      <c r="AK7" s="109"/>
      <c r="AL7" s="107">
        <f t="shared" ref="AL7:AL19" si="6">AJ7+AG7+AK7</f>
        <v>10472.29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75500</v>
      </c>
      <c r="T8" s="91">
        <f>5000+IFERROR(VLOOKUP($E:$E,'（居民）工资表-6月'!$E:$T,16,0),0)</f>
        <v>35000</v>
      </c>
      <c r="U8" s="91">
        <f>Q8+IFERROR(VLOOKUP($E:$E,'（居民）工资表-6月'!$E:$U,17,0),0)</f>
        <v>5404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35096</v>
      </c>
      <c r="AE8" s="96">
        <f>ROUND(MAX((AD8)*{0.03;0.1;0.2;0.25;0.3;0.35;0.45}-{0;2520;16920;31920;52920;85920;181920},0),2)</f>
        <v>1052.88</v>
      </c>
      <c r="AF8" s="97">
        <f>IFERROR(VLOOKUP(E:E,'（居民）工资表-6月'!E:AF,28,0)+VLOOKUP(E:E,'（居民）工资表-6月'!E:AG,29,0),0)</f>
        <v>851.04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45500</v>
      </c>
      <c r="T9" s="91">
        <f>5000+IFERROR(VLOOKUP($E:$E,'（居民）工资表-6月'!$E:$T,16,0),0)</f>
        <v>35000</v>
      </c>
      <c r="U9" s="91">
        <f>Q9+IFERROR(VLOOKUP($E:$E,'（居民）工资表-6月'!$E:$U,17,0),0)</f>
        <v>3711.09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6788.91</v>
      </c>
      <c r="AE9" s="96">
        <f>ROUND(MAX((AD9)*{0.03;0.1;0.2;0.25;0.3;0.35;0.45}-{0;2520;16920;31920;52920;85920;181920},0),2)</f>
        <v>203.67</v>
      </c>
      <c r="AF9" s="97">
        <f>IFERROR(VLOOKUP(E:E,'（居民）工资表-6月'!E:AF,28,0)+VLOOKUP(E:E,'（居民）工资表-6月'!E:AG,29,0),0)</f>
        <v>174.47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31680.88</v>
      </c>
      <c r="T10" s="91">
        <f>5000+IFERROR(VLOOKUP($E:$E,'（居民）工资表-6月'!$E:$T,16,0),0)</f>
        <v>35000</v>
      </c>
      <c r="U10" s="91">
        <f>Q10+IFERROR(VLOOKUP($E:$E,'（居民）工资表-6月'!$E:$U,17,0),0)</f>
        <v>4409.02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-7728.14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60500</v>
      </c>
      <c r="T11" s="91">
        <f>5000+IFERROR(VLOOKUP($E:$E,'（居民）工资表-6月'!$E:$T,16,0),0)</f>
        <v>35000</v>
      </c>
      <c r="U11" s="91">
        <f>Q11+IFERROR(VLOOKUP($E:$E,'（居民）工资表-6月'!$E:$U,17,0),0)</f>
        <v>3913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21587</v>
      </c>
      <c r="AE11" s="96">
        <f>ROUND(MAX((AD11)*{0.03;0.1;0.2;0.25;0.3;0.35;0.45}-{0;2520;16920;31920;52920;85920;181920},0),2)</f>
        <v>647.61</v>
      </c>
      <c r="AF11" s="97">
        <f>IFERROR(VLOOKUP(E:E,'（居民）工资表-6月'!E:AF,28,0)+VLOOKUP(E:E,'（居民）工资表-6月'!E:AG,29,0),0)</f>
        <v>529.38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170</v>
      </c>
      <c r="AN11" s="12" t="s">
        <v>171</v>
      </c>
    </row>
    <row r="12" s="12" customFormat="1" ht="18" customHeight="1" spans="1:40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50000</v>
      </c>
      <c r="T12" s="91">
        <f>5000+IFERROR(VLOOKUP($E:$E,'（居民）工资表-6月'!$E:$T,16,0),0)</f>
        <v>35000</v>
      </c>
      <c r="U12" s="91">
        <f>Q12+IFERROR(VLOOKUP($E:$E,'（居民）工资表-6月'!$E:$U,17,0),0)</f>
        <v>5404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9596</v>
      </c>
      <c r="AE12" s="96">
        <f>ROUND(MAX((AD12)*{0.03;0.1;0.2;0.25;0.3;0.35;0.45}-{0;2520;16920;31920;52920;85920;181920},0),2)</f>
        <v>287.88</v>
      </c>
      <c r="AF12" s="97">
        <f>IFERROR(VLOOKUP(E:E,'（居民）工资表-6月'!E:AF,28,0)+VLOOKUP(E:E,'（居民）工资表-6月'!E:AG,29,0),0)</f>
        <v>221.04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51608.7</v>
      </c>
      <c r="T13" s="91">
        <f>5000+IFERROR(VLOOKUP($E:$E,'（居民）工资表-6月'!$E:$T,16,0),0)</f>
        <v>35000</v>
      </c>
      <c r="U13" s="91">
        <f>Q13+IFERROR(VLOOKUP($E:$E,'（居民）工资表-6月'!$E:$U,17,0),0)</f>
        <v>5404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11204.7</v>
      </c>
      <c r="AE13" s="96">
        <f>ROUND(MAX((AD13)*{0.03;0.1;0.2;0.25;0.3;0.35;0.45}-{0;2520;16920;31920;52920;85920;181920},0),2)</f>
        <v>336.14</v>
      </c>
      <c r="AF13" s="97">
        <f>IFERROR(VLOOKUP(E:E,'（居民）工资表-6月'!E:AF,28,0)+VLOOKUP(E:E,'（居民）工资表-6月'!E:AG,29,0),0)</f>
        <v>239.3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7600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49600</v>
      </c>
      <c r="T14" s="91">
        <f>5000+IFERROR(VLOOKUP($E:$E,'（居民）工资表-6月'!$E:$T,16,0),0)</f>
        <v>35000</v>
      </c>
      <c r="U14" s="91">
        <f>Q14+IFERROR(VLOOKUP($E:$E,'（居民）工资表-6月'!$E:$U,17,0),0)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10687</v>
      </c>
      <c r="AE14" s="96">
        <f>ROUND(MAX((AD14)*{0.03;0.1;0.2;0.25;0.3;0.35;0.45}-{0;2520;16920;31920;52920;85920;181920},0),2)</f>
        <v>320.61</v>
      </c>
      <c r="AF14" s="97">
        <f>IFERROR(VLOOKUP(E:E,'（居民）工资表-6月'!E:AF,28,0)+VLOOKUP(E:E,'（居民）工资表-6月'!E:AG,29,0),0)</f>
        <v>259.38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43747.38</v>
      </c>
      <c r="T15" s="91">
        <f>5000+IFERROR(VLOOKUP($E:$E,'（居民）工资表-6月'!$E:$T,16,0),0)</f>
        <v>35000</v>
      </c>
      <c r="U15" s="91">
        <f>Q15+IFERROR(VLOOKUP($E:$E,'（居民）工资表-6月'!$E:$U,17,0),0)</f>
        <v>3693.97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5053.41</v>
      </c>
      <c r="AE15" s="96">
        <f>ROUND(MAX((AD15)*{0.03;0.1;0.2;0.25;0.3;0.35;0.45}-{0;2520;16920;31920;52920;85920;181920},0),2)</f>
        <v>151.6</v>
      </c>
      <c r="AF15" s="97">
        <f>IFERROR(VLOOKUP(E:E,'（居民）工资表-6月'!E:AF,28,0)+VLOOKUP(E:E,'（居民）工资表-6月'!E:AG,29,0),0)</f>
        <v>118.66</v>
      </c>
      <c r="AG15" s="97">
        <f t="shared" si="3"/>
        <v>32.94</v>
      </c>
      <c r="AH15" s="107">
        <f t="shared" si="4"/>
        <v>6064.99</v>
      </c>
      <c r="AI15" s="108"/>
      <c r="AJ15" s="107">
        <f t="shared" si="5"/>
        <v>6064.99</v>
      </c>
      <c r="AK15" s="109"/>
      <c r="AL15" s="107">
        <f t="shared" si="6"/>
        <v>6097.93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42000</v>
      </c>
      <c r="T16" s="91">
        <f>5000+IFERROR(VLOOKUP($E:$E,'（居民）工资表-6月'!$E:$T,16,0),0)</f>
        <v>35000</v>
      </c>
      <c r="U16" s="91">
        <f>Q16+IFERROR(VLOOKUP($E:$E,'（居民）工资表-6月'!$E:$U,17,0),0)</f>
        <v>3675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3325</v>
      </c>
      <c r="AE16" s="96">
        <f>ROUND(MAX((AD16)*{0.03;0.1;0.2;0.25;0.3;0.35;0.45}-{0;2520;16920;31920;52920;85920;181920},0),2)</f>
        <v>99.75</v>
      </c>
      <c r="AF16" s="97">
        <f>IFERROR(VLOOKUP(E:E,'（居民）工资表-6月'!E:AF,28,0)+VLOOKUP(E:E,'（居民）工资表-6月'!E:AG,29,0),0)</f>
        <v>85.5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57556.93</v>
      </c>
      <c r="T17" s="91">
        <f>5000+IFERROR(VLOOKUP($E:$E,'（居民）工资表-6月'!$E:$T,16,0),0)</f>
        <v>30000</v>
      </c>
      <c r="U17" s="91">
        <f>Q17+IFERROR(VLOOKUP($E:$E,'（居民）工资表-6月'!$E:$U,17,0),0)</f>
        <v>4221.68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23335.25</v>
      </c>
      <c r="AE17" s="96">
        <f>ROUND(MAX((AD17)*{0.03;0.1;0.2;0.25;0.3;0.35;0.45}-{0;2520;16920;31920;52920;85920;181920},0),2)</f>
        <v>700.06</v>
      </c>
      <c r="AF17" s="97">
        <f>IFERROR(VLOOKUP(E:E,'（居民）工资表-6月'!E:AF,28,0)+VLOOKUP(E:E,'（居民）工资表-6月'!E:AG,29,0),0)</f>
        <v>565.89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2" t="s">
        <v>162</v>
      </c>
      <c r="AN17" s="12" t="s">
        <v>51</v>
      </c>
    </row>
    <row r="18" s="12" customFormat="1" ht="21" customHeight="1" spans="1:40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20750.3</v>
      </c>
      <c r="T18" s="91">
        <f>5000+IFERROR(VLOOKUP($E:$E,'（居民）工资表-6月'!$E:$T,16,0),0)</f>
        <v>20000</v>
      </c>
      <c r="U18" s="91">
        <f>Q18+IFERROR(VLOOKUP($E:$E,'（居民）工资表-6月'!$E:$U,17,0),0)</f>
        <v>2762.85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-2012.55</v>
      </c>
      <c r="AE18" s="96">
        <f>ROUND(MAX((AD18)*{0.03;0.1;0.2;0.25;0.3;0.35;0.45}-{0;2520;16920;31920;52920;85920;181920},0),2)</f>
        <v>0</v>
      </c>
      <c r="AF18" s="97">
        <f>IFERROR(VLOOKUP(E:E,'（居民）工资表-6月'!E:AF,28,0)+VLOOKUP(E:E,'（居民）工资表-6月'!E:AG,29,0),0)</f>
        <v>0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157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896564.19</v>
      </c>
      <c r="T20" s="74">
        <f t="shared" si="7"/>
        <v>505000</v>
      </c>
      <c r="U20" s="74">
        <f t="shared" si="7"/>
        <v>65698.01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286566.18</v>
      </c>
      <c r="AE20" s="74">
        <f t="shared" si="7"/>
        <v>19055.41</v>
      </c>
      <c r="AF20" s="74">
        <f t="shared" si="7"/>
        <v>16013.36</v>
      </c>
      <c r="AG20" s="74">
        <f t="shared" si="7"/>
        <v>3492</v>
      </c>
      <c r="AH20" s="74">
        <f t="shared" si="7"/>
        <v>129032.26</v>
      </c>
      <c r="AI20" s="74">
        <f t="shared" si="7"/>
        <v>0</v>
      </c>
      <c r="AJ20" s="74">
        <f t="shared" si="7"/>
        <v>129032.26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129032.26</v>
      </c>
      <c r="C25" s="48">
        <f>AG20</f>
        <v>3492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L20" etc:filterBottomFollowUsedRange="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40000</v>
      </c>
      <c r="T4" s="91">
        <f>5000+IFERROR(VLOOKUP($E:$E,'（居民）工资表-4月'!$E:$T,16,0),0)</f>
        <v>25000</v>
      </c>
      <c r="U4" s="91">
        <f>Q4+IFERROR(VLOOKUP($E:$E,'（居民）工资表-4月'!$E:$U,17,0),0)</f>
        <v>3039.5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11960.5</v>
      </c>
      <c r="AE4" s="96">
        <f>ROUND(MAX((AD4)*{0.03;0.1;0.2;0.25;0.3;0.35;0.45}-{0;2520;16920;31920;52920;85920;181920},0),2)</f>
        <v>358.82</v>
      </c>
      <c r="AF4" s="97">
        <f>IFERROR(VLOOKUP(E:E,'（居民）工资表-4月'!E:AF,28,0)+VLOOKUP(E:E,'（居民）工资表-4月'!E:AG,29,0),0)</f>
        <v>286.48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28500</v>
      </c>
      <c r="T5" s="91">
        <f>5000+IFERROR(VLOOKUP($E:$E,'（居民）工资表-4月'!$E:$T,16,0),0)</f>
        <v>25000</v>
      </c>
      <c r="U5" s="91">
        <f>Q5+IFERROR(VLOOKUP($E:$E,'（居民）工资表-4月'!$E:$U,17,0),0)</f>
        <v>3311.2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188.8</v>
      </c>
      <c r="AE5" s="96">
        <f>ROUND(MAX((AD5)*{0.03;0.1;0.2;0.25;0.3;0.35;0.45}-{0;2520;16920;31920;52920;85920;181920},0),2)</f>
        <v>5.66</v>
      </c>
      <c r="AF5" s="97">
        <f>IFERROR(VLOOKUP(E:E,'（居民）工资表-4月'!E:AF,28,0)+VLOOKUP(E:E,'（居民）工资表-4月'!E:AG,29,0),0)</f>
        <v>4.53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150300</v>
      </c>
      <c r="T6" s="91">
        <f>5000+IFERROR(VLOOKUP($E:$E,'（居民）工资表-4月'!$E:$T,16,0),0)</f>
        <v>25000</v>
      </c>
      <c r="U6" s="91">
        <f>Q6+IFERROR(VLOOKUP($E:$E,'（居民）工资表-4月'!$E:$U,17,0),0)</f>
        <v>4742.75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120557.25</v>
      </c>
      <c r="AE6" s="96">
        <f>ROUND(MAX((AD6)*{0.03;0.1;0.2;0.25;0.3;0.35;0.45}-{0;2520;16920;31920;52920;85920;181920},0),2)</f>
        <v>9535.73</v>
      </c>
      <c r="AF6" s="97">
        <f>IFERROR(VLOOKUP(E:E,'（居民）工资表-4月'!E:AF,28,0)+VLOOKUP(E:E,'（居民）工资表-4月'!E:AG,29,0),0)</f>
        <v>7124.58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41000</v>
      </c>
      <c r="T7" s="91">
        <f>5000+IFERROR(VLOOKUP($E:$E,'（居民）工资表-4月'!$E:$T,16,0),0)</f>
        <v>25000</v>
      </c>
      <c r="U7" s="91">
        <f>Q7+IFERROR(VLOOKUP($E:$E,'（居民）工资表-4月'!$E:$U,17,0),0)</f>
        <v>2638.55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13361.45</v>
      </c>
      <c r="AE7" s="96">
        <f>ROUND(MAX((AD7)*{0.03;0.1;0.2;0.25;0.3;0.35;0.45}-{0;2520;16920;31920;52920;85920;181920},0),2)</f>
        <v>400.84</v>
      </c>
      <c r="AF7" s="97">
        <f>IFERROR(VLOOKUP(E:E,'（居民）工资表-4月'!E:AF,28,0)+VLOOKUP(E:E,'（居民）工资表-4月'!E:AG,29,0),0)</f>
        <v>296.67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52500</v>
      </c>
      <c r="T8" s="91">
        <f>5000+IFERROR(VLOOKUP($E:$E,'（居民）工资表-4月'!$E:$T,16,0),0)</f>
        <v>25000</v>
      </c>
      <c r="U8" s="91">
        <f>Q8+IFERROR(VLOOKUP($E:$E,'（居民）工资表-4月'!$E:$U,17,0),0)</f>
        <v>3860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23640</v>
      </c>
      <c r="AE8" s="96">
        <f>ROUND(MAX((AD8)*{0.03;0.1;0.2;0.25;0.3;0.35;0.45}-{0;2520;16920;31920;52920;85920;181920},0),2)</f>
        <v>709.2</v>
      </c>
      <c r="AF8" s="97">
        <f>IFERROR(VLOOKUP(E:E,'（居民）工资表-4月'!E:AF,28,0)+VLOOKUP(E:E,'（居民）工资表-4月'!E:AG,29,0),0)</f>
        <v>567.36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32500</v>
      </c>
      <c r="T9" s="91">
        <f>5000+IFERROR(VLOOKUP($E:$E,'（居民）工资表-4月'!$E:$T,16,0),0)</f>
        <v>25000</v>
      </c>
      <c r="U9" s="91">
        <f>Q9+IFERROR(VLOOKUP($E:$E,'（居民）工资表-4月'!$E:$U,17,0),0)</f>
        <v>2657.49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4842.51</v>
      </c>
      <c r="AE9" s="96">
        <f>ROUND(MAX((AD9)*{0.03;0.1;0.2;0.25;0.3;0.35;0.45}-{0;2520;16920;31920;52920;85920;181920},0),2)</f>
        <v>145.28</v>
      </c>
      <c r="AF9" s="97">
        <f>IFERROR(VLOOKUP(E:E,'（居民）工资表-4月'!E:AF,28,0)+VLOOKUP(E:E,'（居民）工资表-4月'!E:AG,29,0),0)</f>
        <v>116.08</v>
      </c>
      <c r="AG9" s="97">
        <f t="shared" si="8"/>
        <v>29.2</v>
      </c>
      <c r="AH9" s="107">
        <f t="shared" si="9"/>
        <v>5944</v>
      </c>
      <c r="AI9" s="108"/>
      <c r="AJ9" s="107">
        <f t="shared" si="13"/>
        <v>5944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22629.2</v>
      </c>
      <c r="T10" s="91">
        <f>5000+IFERROR(VLOOKUP($E:$E,'（居民）工资表-4月'!$E:$T,16,0),0)</f>
        <v>25000</v>
      </c>
      <c r="U10" s="91">
        <f>Q10+IFERROR(VLOOKUP($E:$E,'（居民）工资表-4月'!$E:$U,17,0),0)</f>
        <v>3149.3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-5520.1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42500</v>
      </c>
      <c r="T11" s="91">
        <f>5000+IFERROR(VLOOKUP($E:$E,'（居民）工资表-4月'!$E:$T,16,0),0)</f>
        <v>25000</v>
      </c>
      <c r="U11" s="91">
        <f>Q11+IFERROR(VLOOKUP($E:$E,'（居民）工资表-4月'!$E:$U,17,0),0)</f>
        <v>2795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14705</v>
      </c>
      <c r="AE11" s="96">
        <f>ROUND(MAX((AD11)*{0.03;0.1;0.2;0.25;0.3;0.35;0.45}-{0;2520;16920;31920;52920;85920;181920},0),2)</f>
        <v>441.15</v>
      </c>
      <c r="AF11" s="97">
        <f>IFERROR(VLOOKUP(E:E,'（居民）工资表-4月'!E:AF,28,0)+VLOOKUP(E:E,'（居民）工资表-4月'!E:AG,29,0),0)</f>
        <v>352.92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170</v>
      </c>
      <c r="AV11" s="12" t="s">
        <v>171</v>
      </c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35000</v>
      </c>
      <c r="T12" s="91">
        <f>5000+IFERROR(VLOOKUP($E:$E,'（居民）工资表-4月'!$E:$T,16,0),0)</f>
        <v>25000</v>
      </c>
      <c r="U12" s="91">
        <f>Q12+IFERROR(VLOOKUP($E:$E,'（居民）工资表-4月'!$E:$U,17,0),0)</f>
        <v>3860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6140</v>
      </c>
      <c r="AE12" s="96">
        <f>ROUND(MAX((AD12)*{0.03;0.1;0.2;0.25;0.3;0.35;0.45}-{0;2520;16920;31920;52920;85920;181920},0),2)</f>
        <v>184.2</v>
      </c>
      <c r="AF12" s="97">
        <f>IFERROR(VLOOKUP(E:E,'（居民）工资表-4月'!E:AF,28,0)+VLOOKUP(E:E,'（居民）工资表-4月'!E:AG,29,0),0)</f>
        <v>147.36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35608.7</v>
      </c>
      <c r="T13" s="91">
        <f>5000+IFERROR(VLOOKUP($E:$E,'（居民）工资表-4月'!$E:$T,16,0),0)</f>
        <v>25000</v>
      </c>
      <c r="U13" s="91">
        <f>Q13+IFERROR(VLOOKUP($E:$E,'（居民）工资表-4月'!$E:$U,17,0),0)</f>
        <v>3860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6748.7</v>
      </c>
      <c r="AE13" s="96">
        <f>ROUND(MAX((AD13)*{0.03;0.1;0.2;0.25;0.3;0.35;0.45}-{0;2520;16920;31920;52920;85920;181920},0),2)</f>
        <v>202.46</v>
      </c>
      <c r="AF13" s="97">
        <f>IFERROR(VLOOKUP(E:E,'（居民）工资表-4月'!E:AF,28,0)+VLOOKUP(E:E,'（居民）工资表-4月'!E:AG,29,0),0)</f>
        <v>165.62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35000</v>
      </c>
      <c r="T14" s="91">
        <f>5000+IFERROR(VLOOKUP($E:$E,'（居民）工资表-4月'!$E:$T,16,0),0)</f>
        <v>25000</v>
      </c>
      <c r="U14" s="91">
        <f>Q14+IFERROR(VLOOKUP($E:$E,'（居民）工资表-4月'!$E:$U,17,0),0)</f>
        <v>2795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7205</v>
      </c>
      <c r="AE14" s="96">
        <f>ROUND(MAX((AD14)*{0.03;0.1;0.2;0.25;0.3;0.35;0.45}-{0;2520;16920;31920;52920;85920;181920},0),2)</f>
        <v>216.15</v>
      </c>
      <c r="AF14" s="97">
        <f>IFERROR(VLOOKUP(E:E,'（居民）工资表-4月'!E:AF,28,0)+VLOOKUP(E:E,'（居民）工资表-4月'!E:AG,29,0),0)</f>
        <v>172.92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31061.74</v>
      </c>
      <c r="T15" s="91">
        <f>5000+IFERROR(VLOOKUP($E:$E,'（居民）工资表-4月'!$E:$T,16,0),0)</f>
        <v>25000</v>
      </c>
      <c r="U15" s="91">
        <f>Q15+IFERROR(VLOOKUP($E:$E,'（居民）工资表-4月'!$E:$U,17,0),0)</f>
        <v>2638.55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3423.19</v>
      </c>
      <c r="AE15" s="96">
        <f>ROUND(MAX((AD15)*{0.03;0.1;0.2;0.25;0.3;0.35;0.45}-{0;2520;16920;31920;52920;85920;181920},0),2)</f>
        <v>102.7</v>
      </c>
      <c r="AF15" s="97">
        <f>IFERROR(VLOOKUP(E:E,'（居民）工资表-4月'!E:AF,28,0)+VLOOKUP(E:E,'（居民）工资表-4月'!E:AG,29,0),0)</f>
        <v>86.73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30000</v>
      </c>
      <c r="T16" s="91">
        <f>5000+IFERROR(VLOOKUP($E:$E,'（居民）工资表-4月'!$E:$T,16,0),0)</f>
        <v>25000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2375</v>
      </c>
      <c r="AE16" s="96">
        <f>ROUND(MAX((AD16)*{0.03;0.1;0.2;0.25;0.3;0.35;0.45}-{0;2520;16920;31920;52920;85920;181920},0),2)</f>
        <v>71.25</v>
      </c>
      <c r="AF16" s="97">
        <f>IFERROR(VLOOKUP(E:E,'（居民）工资表-4月'!E:AF,28,0)+VLOOKUP(E:E,'（居民）工资表-4月'!E:AG,29,0),0)</f>
        <v>57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37556.93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3166.26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14390.67</v>
      </c>
      <c r="AE17" s="96">
        <f>ROUND(MAX((AD17)*{0.03;0.1;0.2;0.25;0.3;0.35;0.45}-{0;2520;16920;31920;52920;85920;181920},0),2)</f>
        <v>431.72</v>
      </c>
      <c r="AF17" s="97">
        <f>IFERROR(VLOOKUP(E:E,'（居民）工资表-4月'!E:AF,28,0)+VLOOKUP(E:E,'（居民）工资表-4月'!E:AG,29,0),0)</f>
        <v>297.55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622263.24</v>
      </c>
      <c r="T20" s="74">
        <f t="shared" si="19"/>
        <v>355000</v>
      </c>
      <c r="U20" s="74">
        <f t="shared" si="19"/>
        <v>46796.31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220466.93</v>
      </c>
      <c r="AE20" s="74">
        <f t="shared" si="19"/>
        <v>12805.16</v>
      </c>
      <c r="AF20" s="74">
        <f t="shared" si="19"/>
        <v>9675.8</v>
      </c>
      <c r="AG20" s="74">
        <f t="shared" si="19"/>
        <v>3129.36</v>
      </c>
      <c r="AH20" s="74">
        <f t="shared" si="19"/>
        <v>119345.63</v>
      </c>
      <c r="AI20" s="74">
        <f t="shared" si="19"/>
        <v>0</v>
      </c>
      <c r="AJ20" s="74">
        <f t="shared" si="19"/>
        <v>119345.63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119345.63</v>
      </c>
      <c r="C25" s="48">
        <f>AG20</f>
        <v>3129.36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48000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3628.2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14371.8</v>
      </c>
      <c r="AE4" s="96">
        <f>ROUND(MAX((AD4)*{0.03;0.1;0.2;0.25;0.3;0.35;0.45}-{0;2520;16920;31920;52920;85920;181920},0),2)</f>
        <v>431.15</v>
      </c>
      <c r="AF4" s="97">
        <f>IFERROR(VLOOKUP(E:E,'（居民）工资表-5月'!E:AF,28,0)+VLOOKUP(E:E,'（居民）工资表-5月'!E:AG,29,0),0)</f>
        <v>358.82</v>
      </c>
      <c r="AG4" s="97">
        <f>IF((AE4-AF4)&lt;0,0,AE4-AF4)</f>
        <v>72.3299999999999</v>
      </c>
      <c r="AH4" s="107">
        <f>ROUND(IF((L4-Q4-AG4)&lt;0,0,(L4-Q4-AG4)),2)</f>
        <v>7338.97</v>
      </c>
      <c r="AI4" s="108"/>
      <c r="AJ4" s="107">
        <f>AH4+AI4</f>
        <v>7338.97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34600</v>
      </c>
      <c r="T5" s="91">
        <f>5000+IFERROR(VLOOKUP($E:$E,'（居民）工资表-5月'!$E:$T,16,0),0)</f>
        <v>30000</v>
      </c>
      <c r="U5" s="91">
        <f>Q5+IFERROR(VLOOKUP($E:$E,'（居民）工资表-5月'!$E:$U,17,0),0)</f>
        <v>3973.44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626.56</v>
      </c>
      <c r="AE5" s="96">
        <f>ROUND(MAX((AD5)*{0.03;0.1;0.2;0.25;0.3;0.35;0.45}-{0;2520;16920;31920;52920;85920;181920},0),2)</f>
        <v>18.8</v>
      </c>
      <c r="AF5" s="97">
        <f>IFERROR(VLOOKUP(E:E,'（居民）工资表-5月'!E:AF,28,0)+VLOOKUP(E:E,'（居民）工资表-5月'!E:AG,29,0),0)</f>
        <v>5.66</v>
      </c>
      <c r="AG5" s="97">
        <f>IF((AE5-AF5)&lt;0,0,AE5-AF5)</f>
        <v>13.14</v>
      </c>
      <c r="AH5" s="107">
        <f>ROUND(IF((L5-Q5-AG5)&lt;0,0,(L5-Q5-AG5)),2)</f>
        <v>5424.62</v>
      </c>
      <c r="AI5" s="108"/>
      <c r="AJ5" s="107">
        <f>AH5+AI5</f>
        <v>5424.62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180360</v>
      </c>
      <c r="T6" s="91">
        <f>5000+IFERROR(VLOOKUP($E:$E,'（居民）工资表-5月'!$E:$T,16,0),0)</f>
        <v>30000</v>
      </c>
      <c r="U6" s="91">
        <f>Q6+IFERROR(VLOOKUP($E:$E,'（居民）工资表-5月'!$E:$U,17,0),0)</f>
        <v>5691.3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144668.7</v>
      </c>
      <c r="AE6" s="96">
        <f>ROUND(MAX((AD6)*{0.03;0.1;0.2;0.25;0.3;0.35;0.45}-{0;2520;16920;31920;52920;85920;181920},0),2)</f>
        <v>12013.74</v>
      </c>
      <c r="AF6" s="97">
        <f>IFERROR(VLOOKUP(E:E,'（居民）工资表-5月'!E:AF,28,0)+VLOOKUP(E:E,'（居民）工资表-5月'!E:AG,29,0),0)</f>
        <v>9535.73</v>
      </c>
      <c r="AG6" s="97">
        <f>IF((AE6-AF6)&lt;0,0,AE6-AF6)</f>
        <v>2478.01</v>
      </c>
      <c r="AH6" s="107">
        <f>ROUND(IF((L6-Q6-AG6)&lt;0,0,(L6-Q6-AG6)),2)</f>
        <v>26633.44</v>
      </c>
      <c r="AI6" s="108"/>
      <c r="AJ6" s="107">
        <f>AH6+AI6</f>
        <v>26633.44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50000</v>
      </c>
      <c r="T7" s="91">
        <f>5000+IFERROR(VLOOKUP($E:$E,'（居民）工资表-5月'!$E:$T,16,0),0)</f>
        <v>30000</v>
      </c>
      <c r="U7" s="91">
        <f>Q7+IFERROR(VLOOKUP($E:$E,'（居民）工资表-5月'!$E:$U,17,0),0)</f>
        <v>3166.26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16833.74</v>
      </c>
      <c r="AE7" s="96">
        <f>ROUND(MAX((AD7)*{0.03;0.1;0.2;0.25;0.3;0.35;0.45}-{0;2520;16920;31920;52920;85920;181920},0),2)</f>
        <v>505.01</v>
      </c>
      <c r="AF7" s="97">
        <f>IFERROR(VLOOKUP(E:E,'（居民）工资表-5月'!E:AF,28,0)+VLOOKUP(E:E,'（居民）工资表-5月'!E:AG,29,0),0)</f>
        <v>400.84</v>
      </c>
      <c r="AG7" s="97">
        <f t="shared" ref="AG7:AG18" si="3">IF((AE7-AF7)&lt;0,0,AE7-AF7)</f>
        <v>104.17</v>
      </c>
      <c r="AH7" s="107">
        <f t="shared" ref="AH7:AH18" si="4">ROUND(IF((L7-Q7-AG7)&lt;0,0,(L7-Q7-AG7)),2)</f>
        <v>8368.12</v>
      </c>
      <c r="AI7" s="108"/>
      <c r="AJ7" s="107">
        <f t="shared" ref="AJ7:AJ18" si="5">AH7+AI7</f>
        <v>8368.12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63000</v>
      </c>
      <c r="T8" s="91">
        <f>5000+IFERROR(VLOOKUP($E:$E,'（居民）工资表-5月'!$E:$T,16,0),0)</f>
        <v>30000</v>
      </c>
      <c r="U8" s="91">
        <f>Q8+IFERROR(VLOOKUP($E:$E,'（居民）工资表-5月'!$E:$U,17,0),0)</f>
        <v>4632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28368</v>
      </c>
      <c r="AE8" s="96">
        <f>ROUND(MAX((AD8)*{0.03;0.1;0.2;0.25;0.3;0.35;0.45}-{0;2520;16920;31920;52920;85920;181920},0),2)</f>
        <v>851.04</v>
      </c>
      <c r="AF8" s="97">
        <f>IFERROR(VLOOKUP(E:E,'（居民）工资表-5月'!E:AF,28,0)+VLOOKUP(E:E,'（居民）工资表-5月'!E:AG,29,0),0)</f>
        <v>709.2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39000</v>
      </c>
      <c r="T9" s="91">
        <f>5000+IFERROR(VLOOKUP($E:$E,'（居民）工资表-5月'!$E:$T,16,0),0)</f>
        <v>30000</v>
      </c>
      <c r="U9" s="91">
        <f>Q9+IFERROR(VLOOKUP($E:$E,'（居民）工资表-5月'!$E:$U,17,0),0)</f>
        <v>3184.29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5815.71</v>
      </c>
      <c r="AE9" s="96">
        <f>ROUND(MAX((AD9)*{0.03;0.1;0.2;0.25;0.3;0.35;0.45}-{0;2520;16920;31920;52920;85920;181920},0),2)</f>
        <v>174.47</v>
      </c>
      <c r="AF9" s="97">
        <f>IFERROR(VLOOKUP(E:E,'（居民）工资表-5月'!E:AF,28,0)+VLOOKUP(E:E,'（居民）工资表-5月'!E:AG,29,0),0)</f>
        <v>145.28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27155.04</v>
      </c>
      <c r="T10" s="91">
        <f>5000+IFERROR(VLOOKUP($E:$E,'（居民）工资表-5月'!$E:$T,16,0),0)</f>
        <v>30000</v>
      </c>
      <c r="U10" s="91">
        <f>Q10+IFERROR(VLOOKUP($E:$E,'（居民）工资表-5月'!$E:$U,17,0),0)</f>
        <v>3779.16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-6624.12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51000</v>
      </c>
      <c r="T11" s="91">
        <f>5000+IFERROR(VLOOKUP($E:$E,'（居民）工资表-5月'!$E:$T,16,0),0)</f>
        <v>30000</v>
      </c>
      <c r="U11" s="91">
        <f>Q11+IFERROR(VLOOKUP($E:$E,'（居民）工资表-5月'!$E:$U,17,0),0)</f>
        <v>3354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17646</v>
      </c>
      <c r="AE11" s="96">
        <f>ROUND(MAX((AD11)*{0.03;0.1;0.2;0.25;0.3;0.35;0.45}-{0;2520;16920;31920;52920;85920;181920},0),2)</f>
        <v>529.38</v>
      </c>
      <c r="AF11" s="97">
        <f>IFERROR(VLOOKUP(E:E,'（居民）工资表-5月'!E:AF,28,0)+VLOOKUP(E:E,'（居民）工资表-5月'!E:AG,29,0),0)</f>
        <v>441.15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42000</v>
      </c>
      <c r="T12" s="91">
        <f>5000+IFERROR(VLOOKUP($E:$E,'（居民）工资表-5月'!$E:$T,16,0),0)</f>
        <v>30000</v>
      </c>
      <c r="U12" s="91">
        <f>Q12+IFERROR(VLOOKUP($E:$E,'（居民）工资表-5月'!$E:$U,17,0),0)</f>
        <v>4632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7368</v>
      </c>
      <c r="AE12" s="96">
        <f>ROUND(MAX((AD12)*{0.03;0.1;0.2;0.25;0.3;0.35;0.45}-{0;2520;16920;31920;52920;85920;181920},0),2)</f>
        <v>221.04</v>
      </c>
      <c r="AF12" s="97">
        <f>IFERROR(VLOOKUP(E:E,'（居民）工资表-5月'!E:AF,28,0)+VLOOKUP(E:E,'（居民）工资表-5月'!E:AG,29,0),0)</f>
        <v>184.2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42608.7</v>
      </c>
      <c r="T13" s="91">
        <f>5000+IFERROR(VLOOKUP($E:$E,'（居民）工资表-5月'!$E:$T,16,0),0)</f>
        <v>30000</v>
      </c>
      <c r="U13" s="91">
        <f>Q13+IFERROR(VLOOKUP($E:$E,'（居民）工资表-5月'!$E:$U,17,0),0)</f>
        <v>4632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7976.7</v>
      </c>
      <c r="AE13" s="96">
        <f>ROUND(MAX((AD13)*{0.03;0.1;0.2;0.25;0.3;0.35;0.45}-{0;2520;16920;31920;52920;85920;181920},0),2)</f>
        <v>239.3</v>
      </c>
      <c r="AF13" s="97">
        <f>IFERROR(VLOOKUP(E:E,'（居民）工资表-5月'!E:AF,28,0)+VLOOKUP(E:E,'（居民）工资表-5月'!E:AG,29,0),0)</f>
        <v>202.46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42000</v>
      </c>
      <c r="T14" s="91">
        <f>5000+IFERROR(VLOOKUP($E:$E,'（居民）工资表-5月'!$E:$T,16,0),0)</f>
        <v>30000</v>
      </c>
      <c r="U14" s="91">
        <f>Q14+IFERROR(VLOOKUP($E:$E,'（居民）工资表-5月'!$E:$U,17,0),0)</f>
        <v>3354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8646</v>
      </c>
      <c r="AE14" s="96">
        <f>ROUND(MAX((AD14)*{0.03;0.1;0.2;0.25;0.3;0.35;0.45}-{0;2520;16920;31920;52920;85920;181920},0),2)</f>
        <v>259.38</v>
      </c>
      <c r="AF14" s="97">
        <f>IFERROR(VLOOKUP(E:E,'（居民）工资表-5月'!E:AF,28,0)+VLOOKUP(E:E,'（居民）工资表-5月'!E:AG,29,0),0)</f>
        <v>216.15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37121.74</v>
      </c>
      <c r="T15" s="91">
        <f>5000+IFERROR(VLOOKUP($E:$E,'（居民）工资表-5月'!$E:$T,16,0),0)</f>
        <v>30000</v>
      </c>
      <c r="U15" s="91">
        <f>Q15+IFERROR(VLOOKUP($E:$E,'（居民）工资表-5月'!$E:$U,17,0),0)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3955.48</v>
      </c>
      <c r="AE15" s="96">
        <f>ROUND(MAX((AD15)*{0.03;0.1;0.2;0.25;0.3;0.35;0.45}-{0;2520;16920;31920;52920;85920;181920},0),2)</f>
        <v>118.66</v>
      </c>
      <c r="AF15" s="97">
        <f>IFERROR(VLOOKUP(E:E,'（居民）工资表-5月'!E:AF,28,0)+VLOOKUP(E:E,'（居民）工资表-5月'!E:AG,29,0),0)</f>
        <v>102.7</v>
      </c>
      <c r="AG15" s="97">
        <f t="shared" si="3"/>
        <v>15.96</v>
      </c>
      <c r="AH15" s="107">
        <f t="shared" si="4"/>
        <v>5516.33</v>
      </c>
      <c r="AI15" s="108"/>
      <c r="AJ15" s="107">
        <f t="shared" si="5"/>
        <v>5516.33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36000</v>
      </c>
      <c r="T16" s="91">
        <f>5000+IFERROR(VLOOKUP($E:$E,'（居民）工资表-5月'!$E:$T,16,0),0)</f>
        <v>30000</v>
      </c>
      <c r="U16" s="91">
        <f>Q16+IFERROR(VLOOKUP($E:$E,'（居民）工资表-5月'!$E:$U,17,0),0)</f>
        <v>3150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2850</v>
      </c>
      <c r="AE16" s="96">
        <f>ROUND(MAX((AD16)*{0.03;0.1;0.2;0.25;0.3;0.35;0.45}-{0;2520;16920;31920;52920;85920;181920},0),2)</f>
        <v>85.5</v>
      </c>
      <c r="AF16" s="97">
        <f>IFERROR(VLOOKUP(E:E,'（居民）工资表-5月'!E:AF,28,0)+VLOOKUP(E:E,'（居民）工资表-5月'!E:AG,29,0),0)</f>
        <v>71.25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47556.93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3693.97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18862.96</v>
      </c>
      <c r="AE17" s="96">
        <f>ROUND(MAX((AD17)*{0.03;0.1;0.2;0.25;0.3;0.35;0.45}-{0;2520;16920;31920;52920;85920;181920},0),2)</f>
        <v>565.89</v>
      </c>
      <c r="AF17" s="97">
        <f>IFERROR(VLOOKUP(E:E,'（居民）工资表-5月'!E:AF,28,0)+VLOOKUP(E:E,'（居民）工资表-5月'!E:AG,29,0),0)</f>
        <v>431.72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14186.67</v>
      </c>
      <c r="T18" s="91">
        <f>5000+IFERROR(VLOOKUP($E:$E,'（居民）工资表-5月'!$E:$T,16,0),0)</f>
        <v>15000</v>
      </c>
      <c r="U18" s="91">
        <f>Q18+IFERROR(VLOOKUP($E:$E,'（居民）工资表-5月'!$E:$U,17,0),0)</f>
        <v>2210.28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-3023.61</v>
      </c>
      <c r="AE18" s="96">
        <f>ROUND(MAX((AD18)*{0.03;0.1;0.2;0.25;0.3;0.35;0.45}-{0;2520;16920;31920;52920;85920;181920},0),2)</f>
        <v>0</v>
      </c>
      <c r="AF18" s="97">
        <f>IFERROR(VLOOKUP(E:E,'（居民）工资表-5月'!E:AF,28,0)+VLOOKUP(E:E,'（居民）工资表-5月'!E:AG,29,0),0)</f>
        <v>0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754589.08</v>
      </c>
      <c r="T20" s="74">
        <f t="shared" si="10"/>
        <v>430000</v>
      </c>
      <c r="U20" s="74">
        <f t="shared" si="10"/>
        <v>56247.16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268341.92</v>
      </c>
      <c r="AE20" s="74">
        <f t="shared" si="10"/>
        <v>16013.36</v>
      </c>
      <c r="AF20" s="74">
        <f t="shared" si="10"/>
        <v>12805.16</v>
      </c>
      <c r="AG20" s="74">
        <f t="shared" si="10"/>
        <v>3208.2</v>
      </c>
      <c r="AH20" s="74">
        <f t="shared" si="10"/>
        <v>119666.79</v>
      </c>
      <c r="AI20" s="126">
        <f t="shared" si="10"/>
        <v>0</v>
      </c>
      <c r="AJ20" s="74">
        <f t="shared" si="10"/>
        <v>119666.79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119666.79</v>
      </c>
      <c r="C25" s="48">
        <f>AG20</f>
        <v>3208.2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$A18:$XFD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349.59</v>
      </c>
      <c r="N4" s="71">
        <v>98.7</v>
      </c>
      <c r="O4" s="71">
        <v>14.8</v>
      </c>
      <c r="P4" s="71">
        <v>177.4</v>
      </c>
      <c r="Q4" s="89">
        <f>ROUND(SUM(M4:P4),2)</f>
        <v>640.49</v>
      </c>
      <c r="R4" s="70">
        <v>0</v>
      </c>
      <c r="S4" s="90">
        <f>L4+IFERROR(VLOOKUP($E:$E,'（居民）工资表-7月'!$E:$S,15,0),0)</f>
        <v>64000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4857.39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19142.61</v>
      </c>
      <c r="AE4" s="96">
        <f>ROUND(MAX((AD4)*{0.03;0.1;0.2;0.25;0.3;0.35;0.45}-{0;2520;16920;31920;52920;85920;181920},0),2)</f>
        <v>574.28</v>
      </c>
      <c r="AF4" s="97">
        <f>IFERROR(VLOOKUP(E:E,'（居民）工资表-7月'!E:AF,28,0)+VLOOKUP(E:E,'（居民）工资表-7月'!E:AG,29,0),0)</f>
        <v>431.15</v>
      </c>
      <c r="AG4" s="97">
        <f>IF((AE4-AF4)&lt;0,0,AE4-AF4)</f>
        <v>143.13</v>
      </c>
      <c r="AH4" s="107">
        <f>ROUND(IF((L4-Q4-AG4)&lt;0,0,(L4-Q4-AG4)),2)</f>
        <v>7216.38</v>
      </c>
      <c r="AI4" s="108"/>
      <c r="AJ4" s="107">
        <f>AH4+AI4</f>
        <v>7216.38</v>
      </c>
      <c r="AK4" s="109"/>
      <c r="AL4" s="107">
        <f>AJ4+AG4+AK4</f>
        <v>7359.51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L5+IFERROR(VLOOKUP($E:$E,'（居民）工资表-7月'!$E:$S,15,0),0)</f>
        <v>46800</v>
      </c>
      <c r="T5" s="91">
        <f>5000+IFERROR(VLOOKUP($E:$E,'（居民）工资表-7月'!$E:$T,16,0),0)</f>
        <v>40000</v>
      </c>
      <c r="U5" s="91">
        <f>Q5+IFERROR(VLOOKUP($E:$E,'（居民）工资表-7月'!$E:$U,17,0),0)</f>
        <v>5297.92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1502.08</v>
      </c>
      <c r="AE5" s="96">
        <f>ROUND(MAX((AD5)*{0.03;0.1;0.2;0.25;0.3;0.35;0.45}-{0;2520;16920;31920;52920;85920;181920},0),2)</f>
        <v>45.06</v>
      </c>
      <c r="AF5" s="97">
        <f>IFERROR(VLOOKUP(E:E,'（居民）工资表-7月'!E:AF,28,0)+VLOOKUP(E:E,'（居民）工资表-7月'!E:AG,29,0),0)</f>
        <v>18.8</v>
      </c>
      <c r="AG5" s="97">
        <f>IF((AE5-AF5)&lt;0,0,AE5-AF5)</f>
        <v>26.26</v>
      </c>
      <c r="AH5" s="107">
        <f>ROUND(IF((L5-Q5-AG5)&lt;0,0,(L5-Q5-AG5)),2)</f>
        <v>5411.5</v>
      </c>
      <c r="AI5" s="108"/>
      <c r="AJ5" s="107">
        <f>AH5+AI5</f>
        <v>5411.5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596.64</v>
      </c>
      <c r="N6" s="71">
        <v>149.16</v>
      </c>
      <c r="O6" s="71">
        <v>37.29</v>
      </c>
      <c r="P6" s="71">
        <v>181</v>
      </c>
      <c r="Q6" s="89">
        <f t="shared" ref="Q6:Q19" si="0">ROUND(SUM(M6:P6),2)</f>
        <v>964.09</v>
      </c>
      <c r="R6" s="70">
        <v>0</v>
      </c>
      <c r="S6" s="90">
        <f>L6+IFERROR(VLOOKUP($E:$E,'（居民）工资表-7月'!$E:$S,15,0),0)</f>
        <v>240480</v>
      </c>
      <c r="T6" s="91">
        <f>5000+IFERROR(VLOOKUP($E:$E,'（居民）工资表-7月'!$E:$T,16,0),0)</f>
        <v>40000</v>
      </c>
      <c r="U6" s="91">
        <f>Q6+IFERROR(VLOOKUP($E:$E,'（居民）工资表-7月'!$E:$U,17,0),0)</f>
        <v>7603.94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192876.06</v>
      </c>
      <c r="AE6" s="96">
        <f>ROUND(MAX((AD6)*{0.03;0.1;0.2;0.25;0.3;0.35;0.45}-{0;2520;16920;31920;52920;85920;181920},0),2)</f>
        <v>21655.21</v>
      </c>
      <c r="AF6" s="97">
        <f>IFERROR(VLOOKUP(E:E,'（居民）工资表-7月'!E:AF,28,0)+VLOOKUP(E:E,'（居民）工资表-7月'!E:AG,29,0),0)</f>
        <v>14736.03</v>
      </c>
      <c r="AG6" s="97">
        <f t="shared" ref="AG6:AG19" si="3">IF((AE6-AF6)&lt;0,0,AE6-AF6)</f>
        <v>6919.18</v>
      </c>
      <c r="AH6" s="107">
        <f t="shared" ref="AH6:AH19" si="4">ROUND(IF((L6-Q6-AG6)&lt;0,0,(L6-Q6-AG6)),2)</f>
        <v>22176.73</v>
      </c>
      <c r="AI6" s="108"/>
      <c r="AJ6" s="107">
        <f t="shared" ref="AJ6:AJ19" si="5">AH6+AI6</f>
        <v>22176.73</v>
      </c>
      <c r="AK6" s="109"/>
      <c r="AL6" s="107">
        <f t="shared" ref="AL6:AL19" si="6">AJ6+AG6+AK6</f>
        <v>29095.91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10000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L7+IFERROR(VLOOKUP($E:$E,'（居民）工资表-7月'!$E:$S,15,0),0)</f>
        <v>71000</v>
      </c>
      <c r="T7" s="91">
        <f>5000+IFERROR(VLOOKUP($E:$E,'（居民）工资表-7月'!$E:$T,16,0),0)</f>
        <v>40000</v>
      </c>
      <c r="U7" s="91">
        <f>Q7+IFERROR(VLOOKUP($E:$E,'（居民）工资表-7月'!$E:$U,17,0),0)</f>
        <v>4221.68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26778.32</v>
      </c>
      <c r="AE7" s="96">
        <f>ROUND(MAX((AD7)*{0.03;0.1;0.2;0.25;0.3;0.35;0.45}-{0;2520;16920;31920;52920;85920;181920},0),2)</f>
        <v>803.35</v>
      </c>
      <c r="AF7" s="97">
        <f>IFERROR(VLOOKUP(E:E,'（居民）工资表-7月'!E:AF,28,0)+VLOOKUP(E:E,'（居民）工资表-7月'!E:AG,29,0),0)</f>
        <v>519.18</v>
      </c>
      <c r="AG7" s="97">
        <f t="shared" si="3"/>
        <v>284.17</v>
      </c>
      <c r="AH7" s="107">
        <f t="shared" si="4"/>
        <v>9188.12</v>
      </c>
      <c r="AI7" s="108"/>
      <c r="AJ7" s="107">
        <f t="shared" si="5"/>
        <v>9188.12</v>
      </c>
      <c r="AK7" s="109"/>
      <c r="AL7" s="107">
        <f t="shared" si="6"/>
        <v>9472.29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L8+IFERROR(VLOOKUP($E:$E,'（居民）工资表-7月'!$E:$S,15,0),0)</f>
        <v>87000</v>
      </c>
      <c r="T8" s="91">
        <f>5000+IFERROR(VLOOKUP($E:$E,'（居民）工资表-7月'!$E:$T,16,0),0)</f>
        <v>40000</v>
      </c>
      <c r="U8" s="91">
        <f>Q8+IFERROR(VLOOKUP($E:$E,'（居民）工资表-7月'!$E:$U,17,0),0)</f>
        <v>6176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40824</v>
      </c>
      <c r="AE8" s="96">
        <f>ROUND(MAX((AD8)*{0.03;0.1;0.2;0.25;0.3;0.35;0.45}-{0;2520;16920;31920;52920;85920;181920},0),2)</f>
        <v>1562.4</v>
      </c>
      <c r="AF8" s="97">
        <f>IFERROR(VLOOKUP(E:E,'（居民）工资表-7月'!E:AF,28,0)+VLOOKUP(E:E,'（居民）工资表-7月'!E:AG,29,0),0)</f>
        <v>1052.88</v>
      </c>
      <c r="AG8" s="97">
        <f t="shared" si="3"/>
        <v>509.52</v>
      </c>
      <c r="AH8" s="107">
        <f t="shared" si="4"/>
        <v>10218.48</v>
      </c>
      <c r="AI8" s="108"/>
      <c r="AJ8" s="107">
        <f t="shared" si="5"/>
        <v>10218.48</v>
      </c>
      <c r="AK8" s="109"/>
      <c r="AL8" s="107">
        <f t="shared" si="6"/>
        <v>10728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L9+IFERROR(VLOOKUP($E:$E,'（居民）工资表-7月'!$E:$S,15,0),0)</f>
        <v>52000</v>
      </c>
      <c r="T9" s="91">
        <f>5000+IFERROR(VLOOKUP($E:$E,'（居民）工资表-7月'!$E:$T,16,0),0)</f>
        <v>40000</v>
      </c>
      <c r="U9" s="91">
        <f>Q9+IFERROR(VLOOKUP($E:$E,'（居民）工资表-7月'!$E:$U,17,0),0)</f>
        <v>4237.89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7762.11</v>
      </c>
      <c r="AE9" s="96">
        <f>ROUND(MAX((AD9)*{0.03;0.1;0.2;0.25;0.3;0.35;0.45}-{0;2520;16920;31920;52920;85920;181920},0),2)</f>
        <v>232.86</v>
      </c>
      <c r="AF9" s="97">
        <f>IFERROR(VLOOKUP(E:E,'（居民）工资表-7月'!E:AF,28,0)+VLOOKUP(E:E,'（居民）工资表-7月'!E:AG,29,0),0)</f>
        <v>203.67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4440.97</v>
      </c>
      <c r="M10" s="71">
        <v>401.04</v>
      </c>
      <c r="N10" s="71">
        <v>122.26</v>
      </c>
      <c r="O10" s="71">
        <v>25.07</v>
      </c>
      <c r="P10" s="71">
        <v>123</v>
      </c>
      <c r="Q10" s="89">
        <f t="shared" si="0"/>
        <v>671.37</v>
      </c>
      <c r="R10" s="70">
        <v>0</v>
      </c>
      <c r="S10" s="90">
        <f>L10+IFERROR(VLOOKUP($E:$E,'（居民）工资表-7月'!$E:$S,15,0),0)</f>
        <v>36121.85</v>
      </c>
      <c r="T10" s="91">
        <f>5000+IFERROR(VLOOKUP($E:$E,'（居民）工资表-7月'!$E:$T,16,0),0)</f>
        <v>40000</v>
      </c>
      <c r="U10" s="91">
        <f>Q10+IFERROR(VLOOKUP($E:$E,'（居民）工资表-7月'!$E:$U,17,0),0)</f>
        <v>5080.39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-8958.54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3769.6</v>
      </c>
      <c r="AI10" s="108"/>
      <c r="AJ10" s="107">
        <f t="shared" si="5"/>
        <v>3769.6</v>
      </c>
      <c r="AK10" s="109"/>
      <c r="AL10" s="107">
        <f t="shared" si="6"/>
        <v>3769.6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L11+IFERROR(VLOOKUP($E:$E,'（居民）工资表-7月'!$E:$S,15,0),0)</f>
        <v>69500</v>
      </c>
      <c r="T11" s="91">
        <f>5000+IFERROR(VLOOKUP($E:$E,'（居民）工资表-7月'!$E:$T,16,0),0)</f>
        <v>40000</v>
      </c>
      <c r="U11" s="91">
        <f>Q11+IFERROR(VLOOKUP($E:$E,'（居民）工资表-7月'!$E:$U,17,0),0)</f>
        <v>4472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25028</v>
      </c>
      <c r="AE11" s="96">
        <f>ROUND(MAX((AD11)*{0.03;0.1;0.2;0.25;0.3;0.35;0.45}-{0;2520;16920;31920;52920;85920;181920},0),2)</f>
        <v>750.84</v>
      </c>
      <c r="AF11" s="97">
        <f>IFERROR(VLOOKUP(E:E,'（居民）工资表-7月'!E:AF,28,0)+VLOOKUP(E:E,'（居民）工资表-7月'!E:AG,29,0),0)</f>
        <v>647.61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L12+IFERROR(VLOOKUP($E:$E,'（居民）工资表-7月'!$E:$S,15,0),0)</f>
        <v>57500</v>
      </c>
      <c r="T12" s="91">
        <f>5000+IFERROR(VLOOKUP($E:$E,'（居民）工资表-7月'!$E:$T,16,0),0)</f>
        <v>40000</v>
      </c>
      <c r="U12" s="91">
        <f>Q12+IFERROR(VLOOKUP($E:$E,'（居民）工资表-7月'!$E:$U,17,0),0)</f>
        <v>6176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11324</v>
      </c>
      <c r="AE12" s="96">
        <f>ROUND(MAX((AD12)*{0.03;0.1;0.2;0.25;0.3;0.35;0.45}-{0;2520;16920;31920;52920;85920;181920},0),2)</f>
        <v>339.72</v>
      </c>
      <c r="AF12" s="97">
        <f>IFERROR(VLOOKUP(E:E,'（居民）工资表-7月'!E:AF,28,0)+VLOOKUP(E:E,'（居民）工资表-7月'!E:AG,29,0),0)</f>
        <v>287.88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L13+IFERROR(VLOOKUP($E:$E,'（居民）工资表-7月'!$E:$S,15,0),0)</f>
        <v>59608.7</v>
      </c>
      <c r="T13" s="91">
        <f>5000+IFERROR(VLOOKUP($E:$E,'（居民）工资表-7月'!$E:$T,16,0),0)</f>
        <v>40000</v>
      </c>
      <c r="U13" s="91">
        <f>Q13+IFERROR(VLOOKUP($E:$E,'（居民）工资表-7月'!$E:$U,17,0),0)</f>
        <v>6176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13432.7</v>
      </c>
      <c r="AE13" s="96">
        <f>ROUND(MAX((AD13)*{0.03;0.1;0.2;0.25;0.3;0.35;0.45}-{0;2520;16920;31920;52920;85920;181920},0),2)</f>
        <v>402.98</v>
      </c>
      <c r="AF13" s="97">
        <f>IFERROR(VLOOKUP(E:E,'（居民）工资表-7月'!E:AF,28,0)+VLOOKUP(E:E,'（居民）工资表-7月'!E:AG,29,0),0)</f>
        <v>336.14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5972.73</v>
      </c>
      <c r="M14" s="71">
        <v>0</v>
      </c>
      <c r="N14" s="71">
        <v>0</v>
      </c>
      <c r="O14" s="71">
        <v>0</v>
      </c>
      <c r="P14" s="71">
        <v>0</v>
      </c>
      <c r="Q14" s="89">
        <f t="shared" si="0"/>
        <v>0</v>
      </c>
      <c r="R14" s="70">
        <v>0</v>
      </c>
      <c r="S14" s="90">
        <f>L14+IFERROR(VLOOKUP($E:$E,'（居民）工资表-7月'!$E:$S,15,0),0)</f>
        <v>55572.73</v>
      </c>
      <c r="T14" s="91">
        <f>5000+IFERROR(VLOOKUP($E:$E,'（居民）工资表-7月'!$E:$T,16,0),0)</f>
        <v>40000</v>
      </c>
      <c r="U14" s="91">
        <f>Q14+IFERROR(VLOOKUP($E:$E,'（居民）工资表-7月'!$E:$U,17,0),0)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11659.73</v>
      </c>
      <c r="AE14" s="96">
        <f>ROUND(MAX((AD14)*{0.03;0.1;0.2;0.25;0.3;0.35;0.45}-{0;2520;16920;31920;52920;85920;181920},0),2)</f>
        <v>349.79</v>
      </c>
      <c r="AF14" s="97">
        <f>IFERROR(VLOOKUP(E:E,'（居民）工资表-7月'!E:AF,28,0)+VLOOKUP(E:E,'（居民）工资表-7月'!E:AG,29,0),0)</f>
        <v>320.61</v>
      </c>
      <c r="AG14" s="97">
        <f t="shared" si="3"/>
        <v>29.18</v>
      </c>
      <c r="AH14" s="107">
        <f t="shared" si="4"/>
        <v>5943.55</v>
      </c>
      <c r="AI14" s="108"/>
      <c r="AJ14" s="107">
        <f t="shared" si="5"/>
        <v>5943.55</v>
      </c>
      <c r="AK14" s="109"/>
      <c r="AL14" s="107">
        <f t="shared" si="6"/>
        <v>5972.73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4295.45</v>
      </c>
      <c r="M15" s="71">
        <v>-321.52</v>
      </c>
      <c r="N15" s="71">
        <v>-89.09</v>
      </c>
      <c r="O15" s="71">
        <v>-20.1</v>
      </c>
      <c r="P15" s="71">
        <v>-97</v>
      </c>
      <c r="Q15" s="89">
        <f t="shared" si="0"/>
        <v>-527.71</v>
      </c>
      <c r="R15" s="70">
        <v>0</v>
      </c>
      <c r="S15" s="90">
        <f>L15+IFERROR(VLOOKUP($E:$E,'（居民）工资表-7月'!$E:$S,15,0),0)</f>
        <v>48042.83</v>
      </c>
      <c r="T15" s="91">
        <f>5000+IFERROR(VLOOKUP($E:$E,'（居民）工资表-7月'!$E:$T,16,0),0)</f>
        <v>40000</v>
      </c>
      <c r="U15" s="91">
        <f>Q15+IFERROR(VLOOKUP($E:$E,'（居民）工资表-7月'!$E:$U,17,0),0)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4876.57</v>
      </c>
      <c r="AE15" s="96">
        <f>ROUND(MAX((AD15)*{0.03;0.1;0.2;0.25;0.3;0.35;0.45}-{0;2520;16920;31920;52920;85920;181920},0),2)</f>
        <v>146.3</v>
      </c>
      <c r="AF15" s="97">
        <f>IFERROR(VLOOKUP(E:E,'（居民）工资表-7月'!E:AF,28,0)+VLOOKUP(E:E,'（居民）工资表-7月'!E:AG,29,0),0)</f>
        <v>151.6</v>
      </c>
      <c r="AG15" s="97">
        <f t="shared" si="3"/>
        <v>0</v>
      </c>
      <c r="AH15" s="107">
        <f t="shared" si="4"/>
        <v>4823.16</v>
      </c>
      <c r="AI15" s="108"/>
      <c r="AJ15" s="107">
        <f t="shared" si="5"/>
        <v>4823.16</v>
      </c>
      <c r="AK15" s="109"/>
      <c r="AL15" s="107">
        <f t="shared" si="6"/>
        <v>4823.16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L16+IFERROR(VLOOKUP($E:$E,'（居民）工资表-7月'!$E:$S,15,0),0)</f>
        <v>48000</v>
      </c>
      <c r="T16" s="91">
        <f>5000+IFERROR(VLOOKUP($E:$E,'（居民）工资表-7月'!$E:$T,16,0),0)</f>
        <v>40000</v>
      </c>
      <c r="U16" s="91">
        <f>Q16+IFERROR(VLOOKUP($E:$E,'（居民）工资表-7月'!$E:$U,17,0),0)</f>
        <v>4200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3800</v>
      </c>
      <c r="AE16" s="96">
        <f>ROUND(MAX((AD16)*{0.03;0.1;0.2;0.25;0.3;0.35;0.45}-{0;2520;16920;31920;52920;85920;181920},0),2)</f>
        <v>114</v>
      </c>
      <c r="AF16" s="97">
        <f>IFERROR(VLOOKUP(E:E,'（居民）工资表-7月'!E:AF,28,0)+VLOOKUP(E:E,'（居民）工资表-7月'!E:AG,29,0),0)</f>
        <v>99.75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L17+IFERROR(VLOOKUP($E:$E,'（居民）工资表-7月'!$E:$S,15,0),0)</f>
        <v>67556.93</v>
      </c>
      <c r="T17" s="91">
        <f>5000+IFERROR(VLOOKUP($E:$E,'（居民）工资表-7月'!$E:$T,16,0),0)</f>
        <v>35000</v>
      </c>
      <c r="U17" s="91">
        <f>Q17+IFERROR(VLOOKUP($E:$E,'（居民）工资表-7月'!$E:$U,17,0),0)</f>
        <v>4749.39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27807.54</v>
      </c>
      <c r="AE17" s="96">
        <f>ROUND(MAX((AD17)*{0.03;0.1;0.2;0.25;0.3;0.35;0.45}-{0;2520;16920;31920;52920;85920;181920},0),2)</f>
        <v>834.23</v>
      </c>
      <c r="AF17" s="97">
        <f>IFERROR(VLOOKUP(E:E,'（居民）工资表-7月'!E:AF,28,0)+VLOOKUP(E:E,'（居民）工资表-7月'!E:AG,29,0),0)</f>
        <v>700.06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7600</v>
      </c>
      <c r="M18" s="71">
        <v>337.92</v>
      </c>
      <c r="N18" s="71">
        <v>91.48</v>
      </c>
      <c r="O18" s="71">
        <v>12.67</v>
      </c>
      <c r="P18" s="71">
        <v>110.5</v>
      </c>
      <c r="Q18" s="89">
        <f t="shared" si="0"/>
        <v>552.57</v>
      </c>
      <c r="R18" s="70">
        <v>0</v>
      </c>
      <c r="S18" s="90">
        <f>L18+IFERROR(VLOOKUP($E:$E,'（居民）工资表-7月'!$E:$S,15,0),0)</f>
        <v>28350.3</v>
      </c>
      <c r="T18" s="91">
        <f>5000+IFERROR(VLOOKUP($E:$E,'（居民）工资表-7月'!$E:$T,16,0),0)</f>
        <v>25000</v>
      </c>
      <c r="U18" s="91">
        <f>Q18+IFERROR(VLOOKUP($E:$E,'（居民）工资表-7月'!$E:$U,17,0),0)</f>
        <v>3315.42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34.88</v>
      </c>
      <c r="AE18" s="96">
        <f>ROUND(MAX((AD18)*{0.03;0.1;0.2;0.25;0.3;0.35;0.45}-{0;2520;16920;31920;52920;85920;181920},0),2)</f>
        <v>1.05</v>
      </c>
      <c r="AF18" s="97">
        <f>IFERROR(VLOOKUP(E:E,'（居民）工资表-7月'!E:AF,28,0)+VLOOKUP(E:E,'（居民）工资表-7月'!E:AG,29,0),0)</f>
        <v>0</v>
      </c>
      <c r="AG18" s="97">
        <f t="shared" si="3"/>
        <v>1.05</v>
      </c>
      <c r="AH18" s="107">
        <f t="shared" si="4"/>
        <v>7046.38</v>
      </c>
      <c r="AI18" s="108"/>
      <c r="AJ18" s="107">
        <f t="shared" si="5"/>
        <v>7046.38</v>
      </c>
      <c r="AK18" s="109"/>
      <c r="AL18" s="107">
        <f t="shared" si="6"/>
        <v>7047.43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134969.15</v>
      </c>
      <c r="M20" s="74">
        <f>SUM(M4:M19)</f>
        <v>4361.27</v>
      </c>
      <c r="N20" s="74">
        <f>SUM(N4:N19)</f>
        <v>1220.91</v>
      </c>
      <c r="O20" s="74">
        <f t="shared" ref="O20:AL20" si="10">SUM(O4:O19)</f>
        <v>227.19</v>
      </c>
      <c r="P20" s="74">
        <f t="shared" si="10"/>
        <v>2135.9</v>
      </c>
      <c r="Q20" s="74">
        <f t="shared" si="10"/>
        <v>7945.27</v>
      </c>
      <c r="R20" s="74">
        <f t="shared" si="10"/>
        <v>0</v>
      </c>
      <c r="S20" s="74">
        <f t="shared" si="10"/>
        <v>1031533.34</v>
      </c>
      <c r="T20" s="74">
        <f t="shared" si="10"/>
        <v>580000</v>
      </c>
      <c r="U20" s="74">
        <f t="shared" si="10"/>
        <v>73643.28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377890.06</v>
      </c>
      <c r="AE20" s="74">
        <f t="shared" si="10"/>
        <v>27812.07</v>
      </c>
      <c r="AF20" s="74">
        <f t="shared" si="10"/>
        <v>19505.36</v>
      </c>
      <c r="AG20" s="74">
        <f t="shared" si="10"/>
        <v>8312.01</v>
      </c>
      <c r="AH20" s="74">
        <f t="shared" si="10"/>
        <v>118711.87</v>
      </c>
      <c r="AI20" s="74">
        <f t="shared" si="10"/>
        <v>0</v>
      </c>
      <c r="AJ20" s="74">
        <f t="shared" si="10"/>
        <v>118711.87</v>
      </c>
      <c r="AK20" s="74">
        <f t="shared" si="10"/>
        <v>0</v>
      </c>
      <c r="AL20" s="74">
        <f t="shared" si="10"/>
        <v>127023.88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118711.87</v>
      </c>
      <c r="C25" s="48">
        <f>AG20</f>
        <v>8312.01</v>
      </c>
      <c r="D25" s="48">
        <f>AK20</f>
        <v>0</v>
      </c>
      <c r="E25" s="48">
        <f>B25+C25+D25</f>
        <v>127023.88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4"/>
  <sheetViews>
    <sheetView tabSelected="1" workbookViewId="0">
      <pane xSplit="6" ySplit="3" topLeftCell="AE10" activePane="bottomRight" state="frozen"/>
      <selection/>
      <selection pane="topRight"/>
      <selection pane="bottomLeft"/>
      <selection pane="bottomRight" activeCell="D26" sqref="D2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L4+IFERROR(VLOOKUP($E:$E,'（居民）工资表-8月'!$E:$S,15,0),0)</f>
        <v>72000</v>
      </c>
      <c r="T4" s="91">
        <f>5000+IFERROR(VLOOKUP($E:$E,'（居民）工资表-8月'!$E:$T,16,0),0)</f>
        <v>45000</v>
      </c>
      <c r="U4" s="91">
        <f>Q4+IFERROR(VLOOKUP($E:$E,'（居民）工资表-8月'!$E:$U,17,0),0)</f>
        <v>5478.42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21521.58</v>
      </c>
      <c r="AE4" s="96">
        <f>ROUND(MAX((AD4)*{0.03;0.1;0.2;0.25;0.3;0.35;0.45}-{0;2520;16920;31920;52920;85920;181920},0),2)</f>
        <v>645.65</v>
      </c>
      <c r="AF4" s="97">
        <f>IFERROR(VLOOKUP(E:E,'（居民）工资表-8月'!E:AF,28,0)+VLOOKUP(E:E,'（居民）工资表-8月'!E:AG,29,0),0)</f>
        <v>574.28</v>
      </c>
      <c r="AG4" s="97">
        <f>AE4-AF4</f>
        <v>71.37</v>
      </c>
      <c r="AH4" s="107">
        <f>ROUND(IF((L4-Q4-AG4)&lt;0,0,(L4-Q4-AG4)),2)</f>
        <v>7307.6</v>
      </c>
      <c r="AI4" s="108"/>
      <c r="AJ4" s="107">
        <f>AH4+AI4</f>
        <v>7307.6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ref="Q5:Q19" si="0">ROUND(SUM(M5:P5),2)</f>
        <v>662.24</v>
      </c>
      <c r="R5" s="70">
        <v>0</v>
      </c>
      <c r="S5" s="90">
        <f>L5+IFERROR(VLOOKUP($E:$E,'（居民）工资表-8月'!$E:$S,15,0),0)</f>
        <v>52900</v>
      </c>
      <c r="T5" s="91">
        <f>5000+IFERROR(VLOOKUP($E:$E,'（居民）工资表-8月'!$E:$T,16,0),0)</f>
        <v>45000</v>
      </c>
      <c r="U5" s="91">
        <f>Q5+IFERROR(VLOOKUP($E:$E,'（居民）工资表-8月'!$E:$U,17,0),0)</f>
        <v>5960.16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1939.84</v>
      </c>
      <c r="AE5" s="96">
        <f>ROUND(MAX((AD5)*{0.03;0.1;0.2;0.25;0.3;0.35;0.45}-{0;2520;16920;31920;52920;85920;181920},0),2)</f>
        <v>58.2</v>
      </c>
      <c r="AF5" s="97">
        <f>IFERROR(VLOOKUP(E:E,'（居民）工资表-8月'!E:AF,28,0)+VLOOKUP(E:E,'（居民）工资表-8月'!E:AG,29,0),0)</f>
        <v>45.06</v>
      </c>
      <c r="AG5" s="97">
        <f t="shared" ref="AG5:AG19" si="3">AE5-AF5</f>
        <v>13.14</v>
      </c>
      <c r="AH5" s="107">
        <f t="shared" ref="AH5:AH19" si="4">ROUND(IF((L5-Q5-AG5)&lt;0,0,(L5-Q5-AG5)),2)</f>
        <v>5424.62</v>
      </c>
      <c r="AI5" s="108"/>
      <c r="AJ5" s="107">
        <f t="shared" ref="AJ5:AJ19" si="5">AH5+AI5</f>
        <v>5424.62</v>
      </c>
      <c r="AK5" s="109"/>
      <c r="AL5" s="107">
        <f t="shared" ref="AL5:AL19" si="6">AJ5+AG5+AK5</f>
        <v>5437.76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202</v>
      </c>
      <c r="Q6" s="89">
        <f t="shared" si="0"/>
        <v>977.32</v>
      </c>
      <c r="R6" s="70">
        <v>0</v>
      </c>
      <c r="S6" s="90">
        <f>L6+IFERROR(VLOOKUP($E:$E,'（居民）工资表-8月'!$E:$S,15,0),0)</f>
        <v>270540</v>
      </c>
      <c r="T6" s="91">
        <f>5000+IFERROR(VLOOKUP($E:$E,'（居民）工资表-8月'!$E:$T,16,0),0)</f>
        <v>45000</v>
      </c>
      <c r="U6" s="91">
        <f>Q6+IFERROR(VLOOKUP($E:$E,'（居民）工资表-8月'!$E:$U,17,0),0)</f>
        <v>8581.26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216958.74</v>
      </c>
      <c r="AE6" s="96">
        <f>ROUND(MAX((AD6)*{0.03;0.1;0.2;0.25;0.3;0.35;0.45}-{0;2520;16920;31920;52920;85920;181920},0),2)</f>
        <v>26471.75</v>
      </c>
      <c r="AF6" s="97">
        <f>IFERROR(VLOOKUP(E:E,'（居民）工资表-8月'!E:AF,28,0)+VLOOKUP(E:E,'（居民）工资表-8月'!E:AG,29,0),0)</f>
        <v>21655.21</v>
      </c>
      <c r="AG6" s="97">
        <f t="shared" si="3"/>
        <v>4816.54</v>
      </c>
      <c r="AH6" s="107">
        <f t="shared" si="4"/>
        <v>24266.14</v>
      </c>
      <c r="AI6" s="108"/>
      <c r="AJ6" s="107">
        <f t="shared" si="5"/>
        <v>24266.14</v>
      </c>
      <c r="AK6" s="109"/>
      <c r="AL6" s="107">
        <f t="shared" si="6"/>
        <v>29082.68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L7+IFERROR(VLOOKUP($E:$E,'（居民）工资表-8月'!$E:$S,15,0),0)</f>
        <v>80000</v>
      </c>
      <c r="T7" s="91">
        <f>5000+IFERROR(VLOOKUP($E:$E,'（居民）工资表-8月'!$E:$T,16,0),0)</f>
        <v>45000</v>
      </c>
      <c r="U7" s="91">
        <f>Q7+IFERROR(VLOOKUP($E:$E,'（居民）工资表-8月'!$E:$U,17,0),0)</f>
        <v>4749.39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30250.61</v>
      </c>
      <c r="AE7" s="96">
        <f>ROUND(MAX((AD7)*{0.03;0.1;0.2;0.25;0.3;0.35;0.45}-{0;2520;16920;31920;52920;85920;181920},0),2)</f>
        <v>907.52</v>
      </c>
      <c r="AF7" s="97">
        <f>IFERROR(VLOOKUP(E:E,'（居民）工资表-8月'!E:AF,28,0)+VLOOKUP(E:E,'（居民）工资表-8月'!E:AG,29,0),0)</f>
        <v>803.35</v>
      </c>
      <c r="AG7" s="97">
        <f t="shared" si="3"/>
        <v>104.17</v>
      </c>
      <c r="AH7" s="107">
        <f t="shared" si="4"/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L8+IFERROR(VLOOKUP($E:$E,'（居民）工资表-8月'!$E:$S,15,0),0)</f>
        <v>97500</v>
      </c>
      <c r="T8" s="91">
        <f>5000+IFERROR(VLOOKUP($E:$E,'（居民）工资表-8月'!$E:$T,16,0),0)</f>
        <v>45000</v>
      </c>
      <c r="U8" s="91">
        <f>Q8+IFERROR(VLOOKUP($E:$E,'（居民）工资表-8月'!$E:$U,17,0),0)</f>
        <v>6948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45552</v>
      </c>
      <c r="AE8" s="96">
        <f>ROUND(MAX((AD8)*{0.03;0.1;0.2;0.25;0.3;0.35;0.45}-{0;2520;16920;31920;52920;85920;181920},0),2)</f>
        <v>2035.2</v>
      </c>
      <c r="AF8" s="97">
        <f>IFERROR(VLOOKUP(E:E,'（居民）工资表-8月'!E:AF,28,0)+VLOOKUP(E:E,'（居民）工资表-8月'!E:AG,29,0),0)</f>
        <v>1562.4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L9+IFERROR(VLOOKUP($E:$E,'（居民）工资表-8月'!$E:$S,15,0),0)</f>
        <v>58500</v>
      </c>
      <c r="T9" s="91">
        <f>5000+IFERROR(VLOOKUP($E:$E,'（居民）工资表-8月'!$E:$T,16,0),0)</f>
        <v>45000</v>
      </c>
      <c r="U9" s="91">
        <f>Q9+IFERROR(VLOOKUP($E:$E,'（居民）工资表-8月'!$E:$U,17,0),0)</f>
        <v>4764.69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8735.31</v>
      </c>
      <c r="AE9" s="96">
        <f>ROUND(MAX((AD9)*{0.03;0.1;0.2;0.25;0.3;0.35;0.45}-{0;2520;16920;31920;52920;85920;181920},0),2)</f>
        <v>262.06</v>
      </c>
      <c r="AF9" s="97">
        <f>IFERROR(VLOOKUP(E:E,'（居民）工资表-8月'!E:AF,28,0)+VLOOKUP(E:E,'（居民）工资表-8月'!E:AG,29,0),0)</f>
        <v>232.86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L10+IFERROR(VLOOKUP($E:$E,'（居民）工资表-8月'!$E:$S,15,0),0)</f>
        <v>40569.82</v>
      </c>
      <c r="T10" s="91">
        <f>5000+IFERROR(VLOOKUP($E:$E,'（居民）工资表-8月'!$E:$T,16,0),0)</f>
        <v>45000</v>
      </c>
      <c r="U10" s="91">
        <f>Q10+IFERROR(VLOOKUP($E:$E,'（居民）工资表-8月'!$E:$U,17,0),0)</f>
        <v>5744.76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-10174.94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L11+IFERROR(VLOOKUP($E:$E,'（居民）工资表-8月'!$E:$S,15,0),0)</f>
        <v>78500</v>
      </c>
      <c r="T11" s="91">
        <f>5000+IFERROR(VLOOKUP($E:$E,'（居民）工资表-8月'!$E:$T,16,0),0)</f>
        <v>45000</v>
      </c>
      <c r="U11" s="91">
        <f>Q11+IFERROR(VLOOKUP($E:$E,'（居民）工资表-8月'!$E:$U,17,0),0)</f>
        <v>5031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28469</v>
      </c>
      <c r="AE11" s="96">
        <f>ROUND(MAX((AD11)*{0.03;0.1;0.2;0.25;0.3;0.35;0.45}-{0;2520;16920;31920;52920;85920;181920},0),2)</f>
        <v>854.07</v>
      </c>
      <c r="AF11" s="97">
        <f>IFERROR(VLOOKUP(E:E,'（居民）工资表-8月'!E:AF,28,0)+VLOOKUP(E:E,'（居民）工资表-8月'!E:AG,29,0),0)</f>
        <v>750.84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L12+IFERROR(VLOOKUP($E:$E,'（居民）工资表-8月'!$E:$S,15,0),0)</f>
        <v>65000</v>
      </c>
      <c r="T12" s="91">
        <f>5000+IFERROR(VLOOKUP($E:$E,'（居民）工资表-8月'!$E:$T,16,0),0)</f>
        <v>45000</v>
      </c>
      <c r="U12" s="91">
        <f>Q12+IFERROR(VLOOKUP($E:$E,'（居民）工资表-8月'!$E:$U,17,0),0)</f>
        <v>6948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13052</v>
      </c>
      <c r="AE12" s="96">
        <f>ROUND(MAX((AD12)*{0.03;0.1;0.2;0.25;0.3;0.35;0.45}-{0;2520;16920;31920;52920;85920;181920},0),2)</f>
        <v>391.56</v>
      </c>
      <c r="AF12" s="97">
        <f>IFERROR(VLOOKUP(E:E,'（居民）工资表-8月'!E:AF,28,0)+VLOOKUP(E:E,'（居民）工资表-8月'!E:AG,29,0),0)</f>
        <v>339.72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L13+IFERROR(VLOOKUP($E:$E,'（居民）工资表-8月'!$E:$S,15,0),0)</f>
        <v>67608.7</v>
      </c>
      <c r="T13" s="91">
        <f>5000+IFERROR(VLOOKUP($E:$E,'（居民）工资表-8月'!$E:$T,16,0),0)</f>
        <v>45000</v>
      </c>
      <c r="U13" s="91">
        <f>Q13+IFERROR(VLOOKUP($E:$E,'（居民）工资表-8月'!$E:$U,17,0),0)</f>
        <v>6948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15660.7</v>
      </c>
      <c r="AE13" s="96">
        <f>ROUND(MAX((AD13)*{0.03;0.1;0.2;0.25;0.3;0.35;0.45}-{0;2520;16920;31920;52920;85920;181920},0),2)</f>
        <v>469.82</v>
      </c>
      <c r="AF13" s="97">
        <f>IFERROR(VLOOKUP(E:E,'（居民）工资表-8月'!E:AF,28,0)+VLOOKUP(E:E,'（居民）工资表-8月'!E:AG,29,0),0)</f>
        <v>402.98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13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321.52</v>
      </c>
      <c r="N14" s="71">
        <v>80.38</v>
      </c>
      <c r="O14" s="71">
        <v>20.1</v>
      </c>
      <c r="P14" s="71">
        <v>103</v>
      </c>
      <c r="Q14" s="89">
        <f t="shared" si="0"/>
        <v>525</v>
      </c>
      <c r="R14" s="70">
        <v>0</v>
      </c>
      <c r="S14" s="90">
        <f>L14+IFERROR(VLOOKUP($E:$E,'（居民）工资表-8月'!$E:$S,15,0),0)</f>
        <v>54000</v>
      </c>
      <c r="T14" s="91">
        <f>5000+IFERROR(VLOOKUP($E:$E,'（居民）工资表-8月'!$E:$T,16,0),0)</f>
        <v>45000</v>
      </c>
      <c r="U14" s="91">
        <f>Q14+IFERROR(VLOOKUP($E:$E,'（居民）工资表-8月'!$E:$U,17,0),0)</f>
        <v>4725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4275</v>
      </c>
      <c r="AE14" s="96">
        <f>ROUND(MAX((AD14)*{0.03;0.1;0.2;0.25;0.3;0.35;0.45}-{0;2520;16920;31920;52920;85920;181920},0),2)</f>
        <v>128.25</v>
      </c>
      <c r="AF14" s="97">
        <f>IFERROR(VLOOKUP(E:E,'（居民）工资表-8月'!E:AF,28,0)+VLOOKUP(E:E,'（居民）工资表-8月'!E:AG,29,0),0)</f>
        <v>114</v>
      </c>
      <c r="AG14" s="97">
        <f t="shared" si="3"/>
        <v>14.25</v>
      </c>
      <c r="AH14" s="107">
        <f t="shared" si="4"/>
        <v>5460.75</v>
      </c>
      <c r="AI14" s="108"/>
      <c r="AJ14" s="107">
        <f t="shared" si="5"/>
        <v>5460.75</v>
      </c>
      <c r="AK14" s="109"/>
      <c r="AL14" s="107">
        <f t="shared" si="6"/>
        <v>5475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</row>
    <row r="15" s="12" customFormat="1" ht="18" customHeight="1" spans="1:46">
      <c r="A15" s="36">
        <v>14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L15+IFERROR(VLOOKUP($E:$E,'（居民）工资表-8月'!$E:$S,15,0),0)</f>
        <v>77556.93</v>
      </c>
      <c r="T15" s="91">
        <f>5000+IFERROR(VLOOKUP($E:$E,'（居民）工资表-8月'!$E:$T,16,0),0)</f>
        <v>40000</v>
      </c>
      <c r="U15" s="91">
        <f>Q15+IFERROR(VLOOKUP($E:$E,'（居民）工资表-8月'!$E:$U,17,0),0)</f>
        <v>5277.1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32279.83</v>
      </c>
      <c r="AE15" s="96">
        <f>ROUND(MAX((AD15)*{0.03;0.1;0.2;0.25;0.3;0.35;0.45}-{0;2520;16920;31920;52920;85920;181920},0),2)</f>
        <v>968.39</v>
      </c>
      <c r="AF15" s="97">
        <f>IFERROR(VLOOKUP(E:E,'（居民）工资表-8月'!E:AF,28,0)+VLOOKUP(E:E,'（居民）工资表-8月'!E:AG,29,0),0)</f>
        <v>834.23</v>
      </c>
      <c r="AG15" s="97">
        <f t="shared" si="3"/>
        <v>134.16</v>
      </c>
      <c r="AH15" s="107">
        <f t="shared" si="4"/>
        <v>9338.13</v>
      </c>
      <c r="AI15" s="108"/>
      <c r="AJ15" s="107">
        <f t="shared" si="5"/>
        <v>9338.13</v>
      </c>
      <c r="AK15" s="109"/>
      <c r="AL15" s="107">
        <f t="shared" si="6"/>
        <v>9472.29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</row>
    <row r="16" s="12" customFormat="1" ht="18" customHeight="1" spans="1:46">
      <c r="A16" s="36">
        <v>15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L16+IFERROR(VLOOKUP($E:$E,'（居民）工资表-7月'!$E:$S,15,0),0)</f>
        <v>28350.3</v>
      </c>
      <c r="T16" s="91">
        <f>5000+IFERROR(VLOOKUP($E:$E,'（居民）工资表-7月'!$E:$T,16,0),0)</f>
        <v>25000</v>
      </c>
      <c r="U16" s="91">
        <f>Q16+IFERROR(VLOOKUP($E:$E,'（居民）工资表-7月'!$E:$U,17,0),0)</f>
        <v>3315.42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34.88</v>
      </c>
      <c r="AE16" s="96">
        <f>ROUND(MAX((AD16)*{0.03;0.1;0.2;0.25;0.3;0.35;0.45}-{0;2520;16920;31920;52920;85920;181920},0),2)</f>
        <v>1.05</v>
      </c>
      <c r="AF16" s="97">
        <f>IFERROR(VLOOKUP(E:E,'（居民）工资表-7月'!E:AF,28,0)+VLOOKUP(E:E,'（居民）工资表-7月'!E:AG,29,0),0)</f>
        <v>0</v>
      </c>
      <c r="AG16" s="97">
        <f>IF((AE16-AF16)&lt;0,0,AE16-AF16)</f>
        <v>1.05</v>
      </c>
      <c r="AH16" s="107">
        <f t="shared" si="4"/>
        <v>7046.38</v>
      </c>
      <c r="AI16" s="108"/>
      <c r="AJ16" s="107">
        <f t="shared" si="5"/>
        <v>7046.38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IF(SUMPRODUCT(N(E$1:E$18=E16))&gt;1,"重复","不")</f>
        <v>不</v>
      </c>
      <c r="AT16" s="116" t="str">
        <f>IF(SUMPRODUCT(N(AO$1:AO$18=AO16))&gt;1,"重复","不")</f>
        <v>重复</v>
      </c>
    </row>
    <row r="17" s="12" customFormat="1" ht="19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9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122707.97</v>
      </c>
      <c r="M18" s="74">
        <f>SUM(M4:M17)</f>
        <v>4671.85</v>
      </c>
      <c r="N18" s="74">
        <f>SUM(N4:N17)</f>
        <v>1295.96</v>
      </c>
      <c r="O18" s="74">
        <f t="shared" ref="O18:AL18" si="10">SUM(O4:O17)</f>
        <v>245.04</v>
      </c>
      <c r="P18" s="74">
        <f t="shared" si="10"/>
        <v>2246.9</v>
      </c>
      <c r="Q18" s="74">
        <f t="shared" si="10"/>
        <v>8459.75</v>
      </c>
      <c r="R18" s="74">
        <f t="shared" si="10"/>
        <v>0</v>
      </c>
      <c r="S18" s="74">
        <f t="shared" si="10"/>
        <v>1043025.75</v>
      </c>
      <c r="T18" s="74">
        <f t="shared" si="10"/>
        <v>560000</v>
      </c>
      <c r="U18" s="74">
        <f t="shared" si="10"/>
        <v>74471.2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408554.55</v>
      </c>
      <c r="AE18" s="74">
        <f t="shared" si="10"/>
        <v>33193.52</v>
      </c>
      <c r="AF18" s="74">
        <f t="shared" si="10"/>
        <v>27314.93</v>
      </c>
      <c r="AG18" s="74">
        <f t="shared" si="10"/>
        <v>5878.59</v>
      </c>
      <c r="AH18" s="74">
        <f t="shared" si="10"/>
        <v>108369.63</v>
      </c>
      <c r="AI18" s="74">
        <f t="shared" si="10"/>
        <v>0</v>
      </c>
      <c r="AJ18" s="74">
        <f t="shared" si="10"/>
        <v>108369.63</v>
      </c>
      <c r="AK18" s="74">
        <f t="shared" si="10"/>
        <v>0</v>
      </c>
      <c r="AL18" s="74">
        <f t="shared" si="10"/>
        <v>114248.22</v>
      </c>
      <c r="AM18" s="110"/>
      <c r="AN18" s="110"/>
      <c r="AO18" s="110"/>
      <c r="AP18" s="110"/>
      <c r="AQ18" s="110"/>
      <c r="AR18" s="45"/>
      <c r="AS18" s="45"/>
      <c r="AT18" s="118"/>
    </row>
    <row r="19" ht="19" customHeight="1"/>
    <row r="20" ht="19" customHeight="1"/>
    <row r="21" ht="19" customHeight="1" spans="30:30">
      <c r="AD21" s="101"/>
    </row>
    <row r="22" ht="19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9" customHeight="1" spans="2:5">
      <c r="B23" s="48">
        <f>AJ18</f>
        <v>108369.63</v>
      </c>
      <c r="C23" s="48">
        <f>AG18</f>
        <v>5878.59</v>
      </c>
      <c r="D23" s="48">
        <f>AK18</f>
        <v>0</v>
      </c>
      <c r="E23" s="48">
        <f>B23+C23+D23</f>
        <v>114248.22</v>
      </c>
    </row>
    <row r="24" ht="19" customHeight="1" spans="2:5">
      <c r="B24" s="49"/>
      <c r="C24" s="49"/>
      <c r="D24" s="49"/>
      <c r="E24" s="49"/>
    </row>
    <row r="25" s="14" customFormat="1" ht="19" customHeigh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ht="19" customHeigh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G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1" si="0">ROUND(SUM(M4:P4),2)</f>
        <v>588.3</v>
      </c>
      <c r="R4" s="70">
        <v>0</v>
      </c>
      <c r="S4" s="90">
        <f>L4+IFERROR(VLOOKUP($E:$E,'（居民）工资表-9月'!$E:$S,15,0),0)</f>
        <v>80000</v>
      </c>
      <c r="T4" s="91">
        <f>5000+IFERROR(VLOOKUP($E:$E,'（居民）工资表-9月'!$E:$T,16,0),0)</f>
        <v>50000</v>
      </c>
      <c r="U4" s="91">
        <f>Q4+IFERROR(VLOOKUP($E:$E,'（居民）工资表-9月'!$E:$U,17,0),0)</f>
        <v>6066.72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-66.72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645.65</v>
      </c>
      <c r="AG4" s="97">
        <f t="shared" ref="AG4:AG11" si="3">IF((AE4-AF4)&lt;0,0,AE4-AF4)</f>
        <v>0</v>
      </c>
      <c r="AH4" s="107">
        <f t="shared" ref="AH4:AH11" si="4">ROUND(IF((L4-Q4-AG4)&lt;0,0,(L4-Q4-AG4)),2)</f>
        <v>7411.7</v>
      </c>
      <c r="AI4" s="108"/>
      <c r="AJ4" s="107">
        <f t="shared" ref="AJ4:AJ11" si="5">AH4+AI4</f>
        <v>7411.7</v>
      </c>
      <c r="AK4" s="109"/>
      <c r="AL4" s="107">
        <f t="shared" ref="AL4:AL11" si="6">AJ4+AG4+AK4</f>
        <v>7411.7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L5+IFERROR(VLOOKUP($E:$E,'（居民）工资表-9月'!$E:$S,15,0),0)</f>
        <v>58600</v>
      </c>
      <c r="T5" s="91">
        <f>5000+IFERROR(VLOOKUP($E:$E,'（居民）工资表-9月'!$E:$T,16,0),0)</f>
        <v>50000</v>
      </c>
      <c r="U5" s="91">
        <f>Q5+IFERROR(VLOOKUP($E:$E,'（居民）工资表-9月'!$E:$U,17,0),0)</f>
        <v>6615.96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1984.04</v>
      </c>
      <c r="AE5" s="96">
        <f>ROUND(MAX((AD5)*{0.03;0.1;0.2;0.25;0.3;0.35;0.45}-{0;2520;16920;31920;52920;85920;181920},0),2)</f>
        <v>59.52</v>
      </c>
      <c r="AF5" s="97">
        <f>IFERROR(VLOOKUP(E:E,'（居民）工资表-9月'!E:AF,28,0)+VLOOKUP(E:E,'（居民）工资表-9月'!E:AG,29,0),0)</f>
        <v>58.2</v>
      </c>
      <c r="AG5" s="97">
        <f t="shared" si="3"/>
        <v>1.32</v>
      </c>
      <c r="AH5" s="107">
        <f t="shared" si="4"/>
        <v>5042.88</v>
      </c>
      <c r="AI5" s="108"/>
      <c r="AJ5" s="107">
        <f t="shared" si="5"/>
        <v>5042.88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L6+IFERROR(VLOOKUP($E:$E,'（居民）工资表-9月'!$E:$S,15,0),0)</f>
        <v>302100</v>
      </c>
      <c r="T6" s="91">
        <f>5000+IFERROR(VLOOKUP($E:$E,'（居民）工资表-9月'!$E:$T,16,0),0)</f>
        <v>50000</v>
      </c>
      <c r="U6" s="91">
        <f>Q6+IFERROR(VLOOKUP($E:$E,'（居民）工资表-9月'!$E:$U,17,0),0)</f>
        <v>9529.81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242570.19</v>
      </c>
      <c r="AE6" s="96">
        <f>ROUND(MAX((AD6)*{0.03;0.1;0.2;0.25;0.3;0.35;0.45}-{0;2520;16920;31920;52920;85920;181920},0),2)</f>
        <v>31594.04</v>
      </c>
      <c r="AF6" s="97">
        <f>IFERROR(VLOOKUP(E:E,'（居民）工资表-9月'!E:AF,28,0)+VLOOKUP(E:E,'（居民）工资表-9月'!E:AG,29,0),0)</f>
        <v>26471.75</v>
      </c>
      <c r="AG6" s="97">
        <f t="shared" si="3"/>
        <v>5122.29</v>
      </c>
      <c r="AH6" s="107">
        <f t="shared" si="4"/>
        <v>25489.16</v>
      </c>
      <c r="AI6" s="108"/>
      <c r="AJ6" s="107">
        <f t="shared" si="5"/>
        <v>25489.16</v>
      </c>
      <c r="AK6" s="109"/>
      <c r="AL6" s="107">
        <f t="shared" si="6"/>
        <v>30611.45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9500</v>
      </c>
      <c r="M7" s="71">
        <v>471.12</v>
      </c>
      <c r="N7" s="71">
        <v>125.78</v>
      </c>
      <c r="O7" s="71">
        <v>29.45</v>
      </c>
      <c r="P7" s="71">
        <v>97</v>
      </c>
      <c r="Q7" s="89">
        <f t="shared" si="0"/>
        <v>723.35</v>
      </c>
      <c r="R7" s="70">
        <v>0</v>
      </c>
      <c r="S7" s="90">
        <f>L7+IFERROR(VLOOKUP($E:$E,'（居民）工资表-9月'!$E:$S,15,0),0)</f>
        <v>89500</v>
      </c>
      <c r="T7" s="91">
        <f>5000+IFERROR(VLOOKUP($E:$E,'（居民）工资表-9月'!$E:$T,16,0),0)</f>
        <v>50000</v>
      </c>
      <c r="U7" s="91">
        <f>Q7+IFERROR(VLOOKUP($E:$E,'（居民）工资表-9月'!$E:$U,17,0),0)</f>
        <v>5472.74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34027.26</v>
      </c>
      <c r="AE7" s="96">
        <f>ROUND(MAX((AD7)*{0.03;0.1;0.2;0.25;0.3;0.35;0.45}-{0;2520;16920;31920;52920;85920;181920},0),2)</f>
        <v>1020.82</v>
      </c>
      <c r="AF7" s="97">
        <f>IFERROR(VLOOKUP(E:E,'（居民）工资表-9月'!E:AF,28,0)+VLOOKUP(E:E,'（居民）工资表-9月'!E:AG,29,0),0)</f>
        <v>907.52</v>
      </c>
      <c r="AG7" s="97">
        <f t="shared" si="3"/>
        <v>113.3</v>
      </c>
      <c r="AH7" s="107">
        <f t="shared" si="4"/>
        <v>8663.35</v>
      </c>
      <c r="AI7" s="108"/>
      <c r="AJ7" s="107">
        <f t="shared" si="5"/>
        <v>8663.35</v>
      </c>
      <c r="AK7" s="109"/>
      <c r="AL7" s="107">
        <f t="shared" si="6"/>
        <v>8776.65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11100</v>
      </c>
      <c r="M8" s="71">
        <v>471.12</v>
      </c>
      <c r="N8" s="71">
        <v>123.78</v>
      </c>
      <c r="O8" s="71">
        <v>29.45</v>
      </c>
      <c r="P8" s="71">
        <v>172</v>
      </c>
      <c r="Q8" s="89">
        <f t="shared" si="0"/>
        <v>796.35</v>
      </c>
      <c r="R8" s="70">
        <v>0</v>
      </c>
      <c r="S8" s="90">
        <f>L8+IFERROR(VLOOKUP($E:$E,'（居民）工资表-9月'!$E:$S,15,0),0)</f>
        <v>108600</v>
      </c>
      <c r="T8" s="91">
        <f>5000+IFERROR(VLOOKUP($E:$E,'（居民）工资表-9月'!$E:$T,16,0),0)</f>
        <v>50000</v>
      </c>
      <c r="U8" s="91">
        <f>Q8+IFERROR(VLOOKUP($E:$E,'（居民）工资表-9月'!$E:$U,17,0),0)</f>
        <v>7744.35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50855.65</v>
      </c>
      <c r="AE8" s="96">
        <f>ROUND(MAX((AD8)*{0.03;0.1;0.2;0.25;0.3;0.35;0.45}-{0;2520;16920;31920;52920;85920;181920},0),2)</f>
        <v>2565.57</v>
      </c>
      <c r="AF8" s="97">
        <f>IFERROR(VLOOKUP(E:E,'（居民）工资表-9月'!E:AF,28,0)+VLOOKUP(E:E,'（居民）工资表-9月'!E:AG,29,0),0)</f>
        <v>2035.2</v>
      </c>
      <c r="AG8" s="97">
        <f t="shared" si="3"/>
        <v>530.37</v>
      </c>
      <c r="AH8" s="107">
        <f t="shared" si="4"/>
        <v>9773.28</v>
      </c>
      <c r="AI8" s="108"/>
      <c r="AJ8" s="107">
        <f t="shared" si="5"/>
        <v>9773.28</v>
      </c>
      <c r="AK8" s="109"/>
      <c r="AL8" s="107">
        <f t="shared" si="6"/>
        <v>10303.65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97.76</v>
      </c>
      <c r="O9" s="71">
        <v>11.84</v>
      </c>
      <c r="P9" s="71">
        <v>100</v>
      </c>
      <c r="Q9" s="89">
        <f t="shared" si="0"/>
        <v>525.2</v>
      </c>
      <c r="R9" s="70">
        <v>0</v>
      </c>
      <c r="S9" s="90">
        <f>L9+IFERROR(VLOOKUP($E:$E,'（居民）工资表-9月'!$E:$S,15,0),0)</f>
        <v>65000</v>
      </c>
      <c r="T9" s="91">
        <f>5000+IFERROR(VLOOKUP($E:$E,'（居民）工资表-9月'!$E:$T,16,0),0)</f>
        <v>50000</v>
      </c>
      <c r="U9" s="91">
        <f>Q9+IFERROR(VLOOKUP($E:$E,'（居民）工资表-9月'!$E:$U,17,0),0)</f>
        <v>5289.89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9710.11</v>
      </c>
      <c r="AE9" s="96">
        <f>ROUND(MAX((AD9)*{0.03;0.1;0.2;0.25;0.3;0.35;0.45}-{0;2520;16920;31920;52920;85920;181920},0),2)</f>
        <v>291.3</v>
      </c>
      <c r="AF9" s="97">
        <f>IFERROR(VLOOKUP(E:E,'（居民）工资表-9月'!E:AF,28,0)+VLOOKUP(E:E,'（居民）工资表-9月'!E:AG,29,0),0)</f>
        <v>262.06</v>
      </c>
      <c r="AG9" s="97">
        <f t="shared" si="3"/>
        <v>29.24</v>
      </c>
      <c r="AH9" s="107">
        <f t="shared" si="4"/>
        <v>5945.56</v>
      </c>
      <c r="AI9" s="108"/>
      <c r="AJ9" s="107">
        <f t="shared" si="5"/>
        <v>5945.56</v>
      </c>
      <c r="AK9" s="109"/>
      <c r="AL9" s="107">
        <f t="shared" si="6"/>
        <v>5974.8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L10+IFERROR(VLOOKUP($E:$E,'（居民）工资表-9月'!$E:$S,15,0),0)</f>
        <v>5500</v>
      </c>
      <c r="T10" s="91">
        <f>5000+IFERROR(VLOOKUP($E:$E,'（居民）工资表-9月'!$E:$T,16,0),0)</f>
        <v>5000</v>
      </c>
      <c r="U10" s="91">
        <f>Q10+IFERROR(VLOOKUP($E:$E,'（居民）工资表-9月'!$E:$U,17,0),0)</f>
        <v>542.39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-42.39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166</v>
      </c>
      <c r="AW10" s="12" t="s">
        <v>210</v>
      </c>
    </row>
    <row r="11" s="12" customFormat="1" ht="18" customHeight="1" spans="1:49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ref="Q11:Q19" si="10">ROUND(SUM(M11:P11),2)</f>
        <v>593</v>
      </c>
      <c r="R11" s="70">
        <v>0</v>
      </c>
      <c r="S11" s="90">
        <f>L11+IFERROR(VLOOKUP($E:$E,'（居民）工资表-9月'!$E:$S,15,0),0)</f>
        <v>45168.62</v>
      </c>
      <c r="T11" s="91">
        <f>5000+IFERROR(VLOOKUP($E:$E,'（居民）工资表-9月'!$E:$T,16,0),0)</f>
        <v>50000</v>
      </c>
      <c r="U11" s="91">
        <f>Q11+IFERROR(VLOOKUP($E:$E,'（居民）工资表-9月'!$E:$U,17,0),0)</f>
        <v>6337.76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-11169.14</v>
      </c>
      <c r="AE11" s="96">
        <f>ROUND(MAX((AD11)*{0.03;0.1;0.2;0.25;0.3;0.35;0.45}-{0;2520;16920;31920;52920;85920;181920},0),2)</f>
        <v>0</v>
      </c>
      <c r="AF11" s="97">
        <f>IFERROR(VLOOKUP(E:E,'（居民）工资表-9月'!E:AF,28,0)+VLOOKUP(E:E,'（居民）工资表-9月'!E:AG,29,0),0)</f>
        <v>0</v>
      </c>
      <c r="AG11" s="97">
        <f t="shared" ref="AG11:AG19" si="13">IF((AE11-AF11)&lt;0,0,AE11-AF11)</f>
        <v>0</v>
      </c>
      <c r="AH11" s="107">
        <f t="shared" ref="AH11:AH19" si="14">ROUND(IF((L11-Q11-AG11)&lt;0,0,(L11-Q11-AG11)),2)</f>
        <v>4005.8</v>
      </c>
      <c r="AI11" s="108"/>
      <c r="AJ11" s="107">
        <f t="shared" ref="AJ11:AJ19" si="15">AH11+AI11</f>
        <v>4005.8</v>
      </c>
      <c r="AK11" s="109"/>
      <c r="AL11" s="107">
        <f t="shared" ref="AL11:AL19" si="16">AJ11+AG11+AK11</f>
        <v>4005.8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170</v>
      </c>
      <c r="AW11" s="12" t="s">
        <v>171</v>
      </c>
    </row>
    <row r="12" s="12" customFormat="1" ht="18" customHeight="1" spans="1:49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11000</v>
      </c>
      <c r="M12" s="71">
        <v>471.12</v>
      </c>
      <c r="N12" s="71">
        <v>153.63</v>
      </c>
      <c r="O12" s="71">
        <v>29.45</v>
      </c>
      <c r="P12" s="71">
        <v>97</v>
      </c>
      <c r="Q12" s="89">
        <f t="shared" si="10"/>
        <v>751.2</v>
      </c>
      <c r="R12" s="70">
        <v>0</v>
      </c>
      <c r="S12" s="90">
        <f>L12+IFERROR(VLOOKUP($E:$E,'（居民）工资表-9月'!$E:$S,15,0),0)</f>
        <v>89500</v>
      </c>
      <c r="T12" s="91">
        <f>5000+IFERROR(VLOOKUP($E:$E,'（居民）工资表-9月'!$E:$T,16,0),0)</f>
        <v>50000</v>
      </c>
      <c r="U12" s="91">
        <f>Q12+IFERROR(VLOOKUP($E:$E,'（居民）工资表-9月'!$E:$U,17,0),0)</f>
        <v>5782.2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33717.8</v>
      </c>
      <c r="AE12" s="96">
        <f>ROUND(MAX((AD12)*{0.03;0.1;0.2;0.25;0.3;0.35;0.45}-{0;2520;16920;31920;52920;85920;181920},0),2)</f>
        <v>1011.53</v>
      </c>
      <c r="AF12" s="97">
        <f>IFERROR(VLOOKUP(E:E,'（居民）工资表-9月'!E:AF,28,0)+VLOOKUP(E:E,'（居民）工资表-9月'!E:AG,29,0),0)</f>
        <v>854.07</v>
      </c>
      <c r="AG12" s="97">
        <f t="shared" si="13"/>
        <v>157.46</v>
      </c>
      <c r="AH12" s="107">
        <f t="shared" si="14"/>
        <v>10091.34</v>
      </c>
      <c r="AI12" s="108"/>
      <c r="AJ12" s="107">
        <f t="shared" si="15"/>
        <v>10091.34</v>
      </c>
      <c r="AK12" s="109"/>
      <c r="AL12" s="107">
        <f t="shared" si="16"/>
        <v>10248.8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9200</v>
      </c>
      <c r="M13" s="71">
        <v>471.12</v>
      </c>
      <c r="N13" s="71">
        <v>123.78</v>
      </c>
      <c r="O13" s="71">
        <v>29.45</v>
      </c>
      <c r="P13" s="71">
        <v>172</v>
      </c>
      <c r="Q13" s="89">
        <f t="shared" si="10"/>
        <v>796.35</v>
      </c>
      <c r="R13" s="70">
        <v>0</v>
      </c>
      <c r="S13" s="90">
        <f>L13+IFERROR(VLOOKUP($E:$E,'（居民）工资表-9月'!$E:$S,15,0),0)</f>
        <v>74200</v>
      </c>
      <c r="T13" s="91">
        <f>5000+IFERROR(VLOOKUP($E:$E,'（居民）工资表-9月'!$E:$T,16,0),0)</f>
        <v>50000</v>
      </c>
      <c r="U13" s="91">
        <f>Q13+IFERROR(VLOOKUP($E:$E,'（居民）工资表-9月'!$E:$U,17,0),0)</f>
        <v>7744.35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16455.65</v>
      </c>
      <c r="AE13" s="96">
        <f>ROUND(MAX((AD13)*{0.03;0.1;0.2;0.25;0.3;0.35;0.45}-{0;2520;16920;31920;52920;85920;181920},0),2)</f>
        <v>493.67</v>
      </c>
      <c r="AF13" s="97">
        <f>IFERROR(VLOOKUP(E:E,'（居民）工资表-9月'!E:AF,28,0)+VLOOKUP(E:E,'（居民）工资表-9月'!E:AG,29,0),0)</f>
        <v>391.56</v>
      </c>
      <c r="AG13" s="97">
        <f t="shared" si="13"/>
        <v>102.11</v>
      </c>
      <c r="AH13" s="107">
        <f t="shared" si="14"/>
        <v>8301.54</v>
      </c>
      <c r="AI13" s="108"/>
      <c r="AJ13" s="107">
        <f t="shared" si="15"/>
        <v>8301.54</v>
      </c>
      <c r="AK13" s="109"/>
      <c r="AL13" s="107">
        <f t="shared" si="16"/>
        <v>8403.65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9800</v>
      </c>
      <c r="M14" s="71">
        <v>471.12</v>
      </c>
      <c r="N14" s="71">
        <v>123.78</v>
      </c>
      <c r="O14" s="71">
        <v>29.45</v>
      </c>
      <c r="P14" s="71">
        <v>172</v>
      </c>
      <c r="Q14" s="89">
        <f t="shared" si="10"/>
        <v>796.35</v>
      </c>
      <c r="R14" s="70">
        <v>0</v>
      </c>
      <c r="S14" s="90">
        <f>L14+IFERROR(VLOOKUP($E:$E,'（居民）工资表-9月'!$E:$S,15,0),0)</f>
        <v>77408.7</v>
      </c>
      <c r="T14" s="91">
        <f>5000+IFERROR(VLOOKUP($E:$E,'（居民）工资表-9月'!$E:$T,16,0),0)</f>
        <v>50000</v>
      </c>
      <c r="U14" s="91">
        <f>Q14+IFERROR(VLOOKUP($E:$E,'（居民）工资表-9月'!$E:$U,17,0),0)</f>
        <v>7744.35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19664.35</v>
      </c>
      <c r="AE14" s="96">
        <f>ROUND(MAX((AD14)*{0.03;0.1;0.2;0.25;0.3;0.35;0.45}-{0;2520;16920;31920;52920;85920;181920},0),2)</f>
        <v>589.93</v>
      </c>
      <c r="AF14" s="97">
        <f>IFERROR(VLOOKUP(E:E,'（居民）工资表-9月'!E:AF,28,0)+VLOOKUP(E:E,'（居民）工资表-9月'!E:AG,29,0),0)</f>
        <v>469.82</v>
      </c>
      <c r="AG14" s="97">
        <f t="shared" si="13"/>
        <v>120.11</v>
      </c>
      <c r="AH14" s="107">
        <f t="shared" si="14"/>
        <v>8883.54</v>
      </c>
      <c r="AI14" s="108"/>
      <c r="AJ14" s="107">
        <f t="shared" si="15"/>
        <v>8883.54</v>
      </c>
      <c r="AK14" s="109"/>
      <c r="AL14" s="107">
        <f t="shared" si="16"/>
        <v>9003.65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7900</v>
      </c>
      <c r="M15" s="71">
        <v>471.12</v>
      </c>
      <c r="N15" s="71">
        <v>153.63</v>
      </c>
      <c r="O15" s="71">
        <v>29.45</v>
      </c>
      <c r="P15" s="71">
        <v>97</v>
      </c>
      <c r="Q15" s="89">
        <f t="shared" si="10"/>
        <v>751.2</v>
      </c>
      <c r="R15" s="70">
        <v>0</v>
      </c>
      <c r="S15" s="90">
        <f>L15+IFERROR(VLOOKUP($E:$E,'（居民）工资表-9月'!$E:$S,15,0),0)</f>
        <v>7900</v>
      </c>
      <c r="T15" s="91">
        <f>5000+IFERROR(VLOOKUP($E:$E,'（居民）工资表-9月'!$E:$T,16,0),0)</f>
        <v>5000</v>
      </c>
      <c r="U15" s="91">
        <f>Q15+IFERROR(VLOOKUP($E:$E,'（居民）工资表-9月'!$E:$U,17,0),0)</f>
        <v>751.2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2148.8</v>
      </c>
      <c r="AE15" s="96">
        <f>ROUND(MAX((AD15)*{0.03;0.1;0.2;0.25;0.3;0.35;0.45}-{0;2520;16920;31920;52920;85920;181920},0),2)</f>
        <v>64.46</v>
      </c>
      <c r="AF15" s="97">
        <f>IFERROR(VLOOKUP(E:E,'（居民）工资表-9月'!E:AF,28,0)+VLOOKUP(E:E,'（居民）工资表-9月'!E:AG,29,0),0)</f>
        <v>0</v>
      </c>
      <c r="AG15" s="97">
        <f t="shared" si="13"/>
        <v>64.46</v>
      </c>
      <c r="AH15" s="107">
        <f t="shared" si="14"/>
        <v>7084.34</v>
      </c>
      <c r="AI15" s="108"/>
      <c r="AJ15" s="107">
        <f t="shared" si="15"/>
        <v>7084.34</v>
      </c>
      <c r="AK15" s="109"/>
      <c r="AL15" s="107">
        <f t="shared" si="16"/>
        <v>7148.8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6860</v>
      </c>
      <c r="M16" s="71">
        <v>471.12</v>
      </c>
      <c r="N16" s="71">
        <v>125.78</v>
      </c>
      <c r="O16" s="71">
        <v>29.45</v>
      </c>
      <c r="P16" s="71">
        <v>97</v>
      </c>
      <c r="Q16" s="89">
        <f t="shared" si="10"/>
        <v>723.35</v>
      </c>
      <c r="R16" s="70">
        <v>0</v>
      </c>
      <c r="S16" s="90">
        <f>L16+IFERROR(VLOOKUP($E:$E,'（居民）工资表-9月'!$E:$S,15,0),0)</f>
        <v>6860</v>
      </c>
      <c r="T16" s="91">
        <f>5000+IFERROR(VLOOKUP($E:$E,'（居民）工资表-9月'!$E:$T,16,0),0)</f>
        <v>5000</v>
      </c>
      <c r="U16" s="91">
        <f>Q16+IFERROR(VLOOKUP($E:$E,'（居民）工资表-9月'!$E:$U,17,0),0)</f>
        <v>723.35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1136.65</v>
      </c>
      <c r="AE16" s="96">
        <f>ROUND(MAX((AD16)*{0.03;0.1;0.2;0.25;0.3;0.35;0.45}-{0;2520;16920;31920;52920;85920;181920},0),2)</f>
        <v>34.1</v>
      </c>
      <c r="AF16" s="97">
        <f>IFERROR(VLOOKUP(E:E,'（居民）工资表-9月'!E:AF,28,0)+VLOOKUP(E:E,'（居民）工资表-9月'!E:AG,29,0),0)</f>
        <v>0</v>
      </c>
      <c r="AG16" s="97">
        <f t="shared" si="13"/>
        <v>34.1</v>
      </c>
      <c r="AH16" s="107">
        <f t="shared" si="14"/>
        <v>6102.55</v>
      </c>
      <c r="AI16" s="108"/>
      <c r="AJ16" s="107">
        <f t="shared" si="15"/>
        <v>6102.55</v>
      </c>
      <c r="AK16" s="109"/>
      <c r="AL16" s="107">
        <f t="shared" si="16"/>
        <v>6136.65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9">
      <c r="A17" s="36">
        <v>14</v>
      </c>
      <c r="B17" s="37" t="s">
        <v>142</v>
      </c>
      <c r="C17" s="37" t="s">
        <v>211</v>
      </c>
      <c r="D17" s="37" t="s">
        <v>143</v>
      </c>
      <c r="E17" s="326" t="s">
        <v>212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8060</v>
      </c>
      <c r="M17" s="71">
        <v>315.6</v>
      </c>
      <c r="N17" s="71">
        <v>97.76</v>
      </c>
      <c r="O17" s="71">
        <v>11.84</v>
      </c>
      <c r="P17" s="71">
        <v>175</v>
      </c>
      <c r="Q17" s="89">
        <f t="shared" si="10"/>
        <v>600.2</v>
      </c>
      <c r="R17" s="70">
        <v>0</v>
      </c>
      <c r="S17" s="90">
        <f>L17+IFERROR(VLOOKUP($E:$E,'（居民）工资表-9月'!$E:$S,15,0),0)</f>
        <v>8060</v>
      </c>
      <c r="T17" s="91">
        <f>5000+IFERROR(VLOOKUP($E:$E,'（居民）工资表-9月'!$E:$T,16,0),0)</f>
        <v>5000</v>
      </c>
      <c r="U17" s="91">
        <f>Q17+IFERROR(VLOOKUP($E:$E,'（居民）工资表-9月'!$E:$U,17,0),0)</f>
        <v>600.2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R17+IFERROR(VLOOKUP($E:$E,'（居民）工资表-9月'!$E:$AC,25,0),0)</f>
        <v>0</v>
      </c>
      <c r="AD17" s="95">
        <f t="shared" si="12"/>
        <v>2459.8</v>
      </c>
      <c r="AE17" s="96">
        <f>ROUND(MAX((AD17)*{0.03;0.1;0.2;0.25;0.3;0.35;0.45}-{0;2520;16920;31920;52920;85920;181920},0),2)</f>
        <v>73.79</v>
      </c>
      <c r="AF17" s="97">
        <f>IFERROR(VLOOKUP(E:E,'（居民）工资表-9月'!E:AF,28,0)+VLOOKUP(E:E,'（居民）工资表-9月'!E:AG,29,0),0)</f>
        <v>0</v>
      </c>
      <c r="AG17" s="97">
        <f t="shared" si="13"/>
        <v>73.79</v>
      </c>
      <c r="AH17" s="107">
        <f t="shared" si="14"/>
        <v>7386.01</v>
      </c>
      <c r="AI17" s="108"/>
      <c r="AJ17" s="107">
        <f t="shared" si="15"/>
        <v>7386.01</v>
      </c>
      <c r="AK17" s="109"/>
      <c r="AL17" s="107">
        <f t="shared" si="16"/>
        <v>7459.8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V17" s="12" t="s">
        <v>157</v>
      </c>
      <c r="AW17" s="12" t="s">
        <v>51</v>
      </c>
    </row>
    <row r="18" s="12" customFormat="1" ht="18" customHeight="1" spans="1:49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6800</v>
      </c>
      <c r="M18" s="71">
        <v>411.28</v>
      </c>
      <c r="N18" s="71">
        <v>102.82</v>
      </c>
      <c r="O18" s="71">
        <v>25.71</v>
      </c>
      <c r="P18" s="71">
        <v>103</v>
      </c>
      <c r="Q18" s="89">
        <f t="shared" si="10"/>
        <v>642.81</v>
      </c>
      <c r="R18" s="70">
        <v>0</v>
      </c>
      <c r="S18" s="90">
        <f>L18+IFERROR(VLOOKUP($E:$E,'（居民）工资表-9月'!$E:$S,15,0),0)</f>
        <v>60800</v>
      </c>
      <c r="T18" s="91">
        <f>5000+IFERROR(VLOOKUP($E:$E,'（居民）工资表-9月'!$E:$T,16,0),0)</f>
        <v>50000</v>
      </c>
      <c r="U18" s="91">
        <f>Q18+IFERROR(VLOOKUP($E:$E,'（居民）工资表-9月'!$E:$U,17,0),0)</f>
        <v>5367.81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R18+IFERROR(VLOOKUP($E:$E,'（居民）工资表-9月'!$E:$AC,25,0),0)</f>
        <v>0</v>
      </c>
      <c r="AD18" s="95">
        <f t="shared" si="12"/>
        <v>5432.19</v>
      </c>
      <c r="AE18" s="96">
        <f>ROUND(MAX((AD18)*{0.03;0.1;0.2;0.25;0.3;0.35;0.45}-{0;2520;16920;31920;52920;85920;181920},0),2)</f>
        <v>162.97</v>
      </c>
      <c r="AF18" s="97">
        <f>IFERROR(VLOOKUP(E:E,'（居民）工资表-9月'!E:AF,28,0)+VLOOKUP(E:E,'（居民）工资表-9月'!E:AG,29,0),0)</f>
        <v>128.25</v>
      </c>
      <c r="AG18" s="97">
        <f t="shared" si="13"/>
        <v>34.72</v>
      </c>
      <c r="AH18" s="107">
        <f t="shared" si="14"/>
        <v>6122.47</v>
      </c>
      <c r="AI18" s="108"/>
      <c r="AJ18" s="107">
        <f t="shared" si="15"/>
        <v>6122.47</v>
      </c>
      <c r="AK18" s="109"/>
      <c r="AL18" s="107">
        <f t="shared" si="16"/>
        <v>6157.19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V18" s="12" t="s">
        <v>157</v>
      </c>
      <c r="AW18" s="12" t="s">
        <v>51</v>
      </c>
    </row>
    <row r="19" s="12" customFormat="1" ht="18" customHeight="1" spans="1:48">
      <c r="A19" s="36">
        <v>16</v>
      </c>
      <c r="B19" s="37" t="s">
        <v>142</v>
      </c>
      <c r="C19" s="37" t="s">
        <v>213</v>
      </c>
      <c r="D19" s="37" t="s">
        <v>143</v>
      </c>
      <c r="E19" s="326" t="s">
        <v>214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4739.43</v>
      </c>
      <c r="M19" s="71">
        <v>373.2</v>
      </c>
      <c r="N19" s="71">
        <v>94.42</v>
      </c>
      <c r="O19" s="71">
        <v>13.99</v>
      </c>
      <c r="P19" s="71">
        <v>100.5</v>
      </c>
      <c r="Q19" s="89">
        <f t="shared" si="10"/>
        <v>582.11</v>
      </c>
      <c r="R19" s="70">
        <v>0</v>
      </c>
      <c r="S19" s="90">
        <f>L19+IFERROR(VLOOKUP($E:$E,'（居民）工资表-9月'!$E:$S,15,0),0)</f>
        <v>4739.43</v>
      </c>
      <c r="T19" s="91">
        <f>5000+IFERROR(VLOOKUP($E:$E,'（居民）工资表-9月'!$E:$T,16,0),0)</f>
        <v>5000</v>
      </c>
      <c r="U19" s="91">
        <f>Q19+IFERROR(VLOOKUP($E:$E,'（居民）工资表-9月'!$E:$U,17,0),0)</f>
        <v>582.11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R19+IFERROR(VLOOKUP($E:$E,'（居民）工资表-9月'!$E:$AC,25,0),0)</f>
        <v>0</v>
      </c>
      <c r="AD19" s="95">
        <f t="shared" si="12"/>
        <v>-842.68</v>
      </c>
      <c r="AE19" s="96">
        <f>ROUND(MAX((AD19)*{0.03;0.1;0.2;0.25;0.3;0.35;0.45}-{0;2520;16920;31920;52920;85920;181920},0),2)</f>
        <v>0</v>
      </c>
      <c r="AF19" s="97">
        <f>IFERROR(VLOOKUP(E:E,'（居民）工资表-9月'!E:AF,28,0)+VLOOKUP(E:E,'（居民）工资表-9月'!E:AG,29,0),0)</f>
        <v>0</v>
      </c>
      <c r="AG19" s="97">
        <f t="shared" si="13"/>
        <v>0</v>
      </c>
      <c r="AH19" s="107">
        <f t="shared" si="14"/>
        <v>4157.32</v>
      </c>
      <c r="AI19" s="108"/>
      <c r="AJ19" s="107">
        <f t="shared" si="15"/>
        <v>4157.32</v>
      </c>
      <c r="AK19" s="109"/>
      <c r="AL19" s="107">
        <f t="shared" si="16"/>
        <v>4157.32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V19" s="12" t="s">
        <v>215</v>
      </c>
    </row>
    <row r="20" s="12" customFormat="1" ht="18" customHeight="1" spans="1:46">
      <c r="A20" s="36"/>
      <c r="B20" s="37"/>
      <c r="C20" s="128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SUM(L4:L20)</f>
        <v>146818.23</v>
      </c>
      <c r="M21" s="74">
        <f>SUM(M4:M20)</f>
        <v>6721.94</v>
      </c>
      <c r="N21" s="74">
        <f>SUM(N4:N20)</f>
        <v>1859.82</v>
      </c>
      <c r="O21" s="74">
        <f>SUM(O4:O20)</f>
        <v>365.25</v>
      </c>
      <c r="P21" s="74">
        <f>SUM(P4:P20)</f>
        <v>2069.5</v>
      </c>
      <c r="Q21" s="74">
        <f t="shared" ref="Q21:AL21" si="20">SUM(Q4:Q20)</f>
        <v>11016.51</v>
      </c>
      <c r="R21" s="74">
        <f t="shared" si="20"/>
        <v>0</v>
      </c>
      <c r="S21" s="74">
        <f t="shared" si="20"/>
        <v>1083936.75</v>
      </c>
      <c r="T21" s="74">
        <f t="shared" si="20"/>
        <v>575000</v>
      </c>
      <c r="U21" s="74">
        <f t="shared" si="20"/>
        <v>76895.19</v>
      </c>
      <c r="V21" s="74">
        <f t="shared" si="20"/>
        <v>10000</v>
      </c>
      <c r="W21" s="74">
        <f t="shared" si="20"/>
        <v>0</v>
      </c>
      <c r="X21" s="74">
        <f t="shared" si="20"/>
        <v>10000</v>
      </c>
      <c r="Y21" s="74">
        <f t="shared" si="20"/>
        <v>0</v>
      </c>
      <c r="Z21" s="74">
        <f t="shared" si="20"/>
        <v>4000</v>
      </c>
      <c r="AA21" s="74">
        <f t="shared" si="20"/>
        <v>0</v>
      </c>
      <c r="AB21" s="74">
        <f t="shared" si="20"/>
        <v>24000</v>
      </c>
      <c r="AC21" s="74">
        <f t="shared" si="20"/>
        <v>0</v>
      </c>
      <c r="AD21" s="74">
        <f t="shared" si="20"/>
        <v>408041.56</v>
      </c>
      <c r="AE21" s="74">
        <f t="shared" si="20"/>
        <v>37961.7</v>
      </c>
      <c r="AF21" s="74">
        <f t="shared" si="20"/>
        <v>32224.08</v>
      </c>
      <c r="AG21" s="74">
        <f t="shared" si="20"/>
        <v>6383.27</v>
      </c>
      <c r="AH21" s="74">
        <f t="shared" si="20"/>
        <v>129418.45</v>
      </c>
      <c r="AI21" s="74">
        <f t="shared" si="20"/>
        <v>0</v>
      </c>
      <c r="AJ21" s="74">
        <f t="shared" si="20"/>
        <v>129418.45</v>
      </c>
      <c r="AK21" s="74">
        <f t="shared" si="20"/>
        <v>0</v>
      </c>
      <c r="AL21" s="74">
        <f t="shared" si="20"/>
        <v>135801.72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129418.45</v>
      </c>
      <c r="C26" s="48">
        <f>AG21</f>
        <v>6383.27</v>
      </c>
      <c r="D26" s="48">
        <f>AK21</f>
        <v>0</v>
      </c>
      <c r="E26" s="48">
        <f>B26+C26+D26</f>
        <v>135801.72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xmlns:etc="http://www.wps.cn/officeDocument/2017/etCustomData" ref="A3:AT21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20">
    <cfRule type="duplicateValues" dxfId="4" priority="1"/>
  </conditionalFormatting>
  <conditionalFormatting sqref="B33">
    <cfRule type="duplicateValues" dxfId="4" priority="3" stopIfTrue="1"/>
  </conditionalFormatting>
  <conditionalFormatting sqref="B28:B32">
    <cfRule type="duplicateValues" dxfId="4" priority="4" stopIfTrue="1"/>
  </conditionalFormatting>
  <conditionalFormatting sqref="B36:B37">
    <cfRule type="duplicateValues" dxfId="4" priority="2" stopIfTrue="1"/>
  </conditionalFormatting>
  <conditionalFormatting sqref="C25:C27">
    <cfRule type="duplicateValues" dxfId="4" priority="5" stopIfTrue="1"/>
    <cfRule type="expression" dxfId="5" priority="6" stopIfTrue="1">
      <formula>AND(COUNTIF($B$21:$B$65457,C25)+COUNTIF($B$1:$B$3,C25)&gt;1,NOT(ISBLANK(C25)))</formula>
    </cfRule>
    <cfRule type="expression" dxfId="5" priority="7" stopIfTrue="1">
      <formula>AND(COUNTIF($B$32:$B$65408,C25)+COUNTIF($B$1:$B$31,C25)&gt;1,NOT(ISBLANK(C25)))</formula>
    </cfRule>
    <cfRule type="expression" dxfId="5" priority="8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2" si="0">ROUND(SUM(M4:P4),2)</f>
        <v>588.3</v>
      </c>
      <c r="R4" s="70">
        <v>0</v>
      </c>
      <c r="S4" s="90">
        <f>L4+IFERROR(VLOOKUP($E:$E,'（居民）工资表-10月'!$E:$S,15,0),0)</f>
        <v>88000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6655.02</v>
      </c>
      <c r="V4" s="70"/>
      <c r="W4" s="70"/>
      <c r="X4" s="70"/>
      <c r="Y4" s="70"/>
      <c r="Z4" s="70"/>
      <c r="AA4" s="70"/>
      <c r="AB4" s="90">
        <f t="shared" ref="AB4:AB12" si="1">ROUND(SUM(V4:AA4),2)</f>
        <v>0</v>
      </c>
      <c r="AC4" s="90">
        <f>R4+IFERROR(VLOOKUP($E:$E,'（居民）工资表-10月'!$E:$AC,25,0),0)</f>
        <v>0</v>
      </c>
      <c r="AD4" s="95">
        <f t="shared" ref="AD4:AD12" si="2">ROUND(S4-T4-U4-AB4-AC4,2)</f>
        <v>26344.98</v>
      </c>
      <c r="AE4" s="96">
        <f>ROUND(MAX((AD4)*{0.03;0.1;0.2;0.25;0.3;0.35;0.45}-{0;2520;16920;31920;52920;85920;181920},0),2)</f>
        <v>790.35</v>
      </c>
      <c r="AF4" s="97">
        <f>IFERROR(VLOOKUP(E:E,'（居民）工资表-10月'!E:AF,28,0)+VLOOKUP(E:E,'（居民）工资表-10月'!E:AG,29,0),0)</f>
        <v>645.65</v>
      </c>
      <c r="AG4" s="97">
        <f>IF((AE4-AF4)&lt;0,0,AE4-AF4)</f>
        <v>144.7</v>
      </c>
      <c r="AH4" s="107">
        <f t="shared" ref="AH4:AH12" si="3">ROUND(IF((L4-Q4-AG4)&lt;0,0,(L4-Q4-AG4)),2)</f>
        <v>7267</v>
      </c>
      <c r="AI4" s="108"/>
      <c r="AJ4" s="107">
        <f t="shared" ref="AJ4:AJ12" si="4">AH4+AI4</f>
        <v>7267</v>
      </c>
      <c r="AK4" s="109"/>
      <c r="AL4" s="107">
        <f t="shared" ref="AL4:AL12" si="5">AJ4+AG4+AK4</f>
        <v>7411.7</v>
      </c>
      <c r="AM4" s="109"/>
      <c r="AN4" s="109"/>
      <c r="AO4" s="109"/>
      <c r="AP4" s="109"/>
      <c r="AQ4" s="109"/>
      <c r="AR4" s="116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L5+IFERROR(VLOOKUP($E:$E,'（居民）工资表-10月'!$E:$S,15,0),0)</f>
        <v>64300</v>
      </c>
      <c r="T5" s="91">
        <f>5000+IFERROR(VLOOKUP($E:$E,'（居民）工资表-10月'!$E:$T,16,0),0)</f>
        <v>55000</v>
      </c>
      <c r="U5" s="91">
        <f>Q5+IFERROR(VLOOKUP($E:$E,'（居民）工资表-10月'!$E:$U,17,0),0)</f>
        <v>7271.76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2028.24</v>
      </c>
      <c r="AE5" s="96">
        <f>ROUND(MAX((AD5)*{0.03;0.1;0.2;0.25;0.3;0.35;0.45}-{0;2520;16920;31920;52920;85920;181920},0),2)</f>
        <v>60.85</v>
      </c>
      <c r="AF5" s="97">
        <f>IFERROR(VLOOKUP(E:E,'（居民）工资表-10月'!E:AF,28,0)+VLOOKUP(E:E,'（居民）工资表-10月'!E:AG,29,0),0)</f>
        <v>59.52</v>
      </c>
      <c r="AG5" s="97">
        <f t="shared" ref="AG5:AG12" si="9">IF((AE5-AF5)&lt;0,0,AE5-AF5)</f>
        <v>1.33</v>
      </c>
      <c r="AH5" s="107">
        <f t="shared" si="3"/>
        <v>5042.87</v>
      </c>
      <c r="AI5" s="108"/>
      <c r="AJ5" s="107">
        <f t="shared" si="4"/>
        <v>5042.87</v>
      </c>
      <c r="AK5" s="109"/>
      <c r="AL5" s="107">
        <f t="shared" si="5"/>
        <v>5044.2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L6+IFERROR(VLOOKUP($E:$E,'（居民）工资表-10月'!$E:$S,15,0),0)</f>
        <v>332660</v>
      </c>
      <c r="T6" s="91">
        <f>5000+IFERROR(VLOOKUP($E:$E,'（居民）工资表-10月'!$E:$T,16,0),0)</f>
        <v>55000</v>
      </c>
      <c r="U6" s="91">
        <f>Q6+IFERROR(VLOOKUP($E:$E,'（居民）工资表-10月'!$E:$U,17,0),0)</f>
        <v>10478.36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267181.64</v>
      </c>
      <c r="AE6" s="96">
        <f>ROUND(MAX((AD6)*{0.03;0.1;0.2;0.25;0.3;0.35;0.45}-{0;2520;16920;31920;52920;85920;181920},0),2)</f>
        <v>36516.33</v>
      </c>
      <c r="AF6" s="97">
        <f>IFERROR(VLOOKUP(E:E,'（居民）工资表-10月'!E:AF,28,0)+VLOOKUP(E:E,'（居民）工资表-10月'!E:AG,29,0),0)</f>
        <v>31594.04</v>
      </c>
      <c r="AG6" s="97">
        <f t="shared" si="9"/>
        <v>4922.29</v>
      </c>
      <c r="AH6" s="107">
        <f t="shared" si="3"/>
        <v>24689.16</v>
      </c>
      <c r="AI6" s="108"/>
      <c r="AJ6" s="107">
        <f t="shared" si="4"/>
        <v>24689.16</v>
      </c>
      <c r="AK6" s="109"/>
      <c r="AL6" s="107">
        <f t="shared" si="5"/>
        <v>29611.45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90.51</v>
      </c>
      <c r="O7" s="71">
        <v>20.1</v>
      </c>
      <c r="P7" s="71">
        <v>97</v>
      </c>
      <c r="Q7" s="89">
        <f t="shared" si="0"/>
        <v>529.13</v>
      </c>
      <c r="R7" s="70">
        <v>0</v>
      </c>
      <c r="S7" s="90">
        <f>L7+IFERROR(VLOOKUP($E:$E,'（居民）工资表-10月'!$E:$S,15,0),0)</f>
        <v>97500</v>
      </c>
      <c r="T7" s="91">
        <f>5000+IFERROR(VLOOKUP($E:$E,'（居民）工资表-10月'!$E:$T,16,0),0)</f>
        <v>55000</v>
      </c>
      <c r="U7" s="91">
        <f>Q7+IFERROR(VLOOKUP($E:$E,'（居民）工资表-10月'!$E:$U,17,0),0)</f>
        <v>6001.87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36498.13</v>
      </c>
      <c r="AE7" s="96">
        <f>ROUND(MAX((AD7)*{0.03;0.1;0.2;0.25;0.3;0.35;0.45}-{0;2520;16920;31920;52920;85920;181920},0),2)</f>
        <v>1129.81</v>
      </c>
      <c r="AF7" s="97">
        <f>IFERROR(VLOOKUP(E:E,'（居民）工资表-10月'!E:AF,28,0)+VLOOKUP(E:E,'（居民）工资表-10月'!E:AG,29,0),0)</f>
        <v>1020.82</v>
      </c>
      <c r="AG7" s="97">
        <f t="shared" si="9"/>
        <v>108.99</v>
      </c>
      <c r="AH7" s="107">
        <f t="shared" si="3"/>
        <v>7361.88</v>
      </c>
      <c r="AI7" s="108"/>
      <c r="AJ7" s="107">
        <f t="shared" si="4"/>
        <v>7361.88</v>
      </c>
      <c r="AK7" s="109"/>
      <c r="AL7" s="107">
        <f t="shared" si="5"/>
        <v>7470.87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688</v>
      </c>
      <c r="Q8" s="89">
        <f t="shared" si="0"/>
        <v>1116</v>
      </c>
      <c r="R8" s="70">
        <v>0</v>
      </c>
      <c r="S8" s="90">
        <f>L8+IFERROR(VLOOKUP($E:$E,'（居民）工资表-10月'!$E:$S,15,0),0)</f>
        <v>119100</v>
      </c>
      <c r="T8" s="91">
        <f>5000+IFERROR(VLOOKUP($E:$E,'（居民）工资表-10月'!$E:$T,16,0),0)</f>
        <v>55000</v>
      </c>
      <c r="U8" s="91">
        <f>Q8+IFERROR(VLOOKUP($E:$E,'（居民）工资表-10月'!$E:$U,17,0),0)</f>
        <v>8860.35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55239.65</v>
      </c>
      <c r="AE8" s="96">
        <f>ROUND(MAX((AD8)*{0.03;0.1;0.2;0.25;0.3;0.35;0.45}-{0;2520;16920;31920;52920;85920;181920},0),2)</f>
        <v>3003.97</v>
      </c>
      <c r="AF8" s="97">
        <f>IFERROR(VLOOKUP(E:E,'（居民）工资表-10月'!E:AF,28,0)+VLOOKUP(E:E,'（居民）工资表-10月'!E:AG,29,0),0)</f>
        <v>2565.57</v>
      </c>
      <c r="AG8" s="97">
        <f t="shared" si="9"/>
        <v>438.4</v>
      </c>
      <c r="AH8" s="107">
        <f t="shared" si="3"/>
        <v>8945.6</v>
      </c>
      <c r="AI8" s="108"/>
      <c r="AJ8" s="107">
        <f t="shared" si="4"/>
        <v>8945.6</v>
      </c>
      <c r="AK8" s="109"/>
      <c r="AL8" s="107">
        <f t="shared" si="5"/>
        <v>9384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147.6</v>
      </c>
      <c r="N9" s="71">
        <v>90.4</v>
      </c>
      <c r="O9" s="71">
        <v>5.53</v>
      </c>
      <c r="P9" s="71">
        <v>100</v>
      </c>
      <c r="Q9" s="89">
        <f t="shared" si="0"/>
        <v>343.53</v>
      </c>
      <c r="R9" s="70">
        <v>0</v>
      </c>
      <c r="S9" s="90">
        <f>L9+IFERROR(VLOOKUP($E:$E,'（居民）工资表-10月'!$E:$S,15,0),0)</f>
        <v>71500</v>
      </c>
      <c r="T9" s="91">
        <f>5000+IFERROR(VLOOKUP($E:$E,'（居民）工资表-10月'!$E:$T,16,0),0)</f>
        <v>55000</v>
      </c>
      <c r="U9" s="91">
        <f>Q9+IFERROR(VLOOKUP($E:$E,'（居民）工资表-10月'!$E:$U,17,0),0)</f>
        <v>5633.42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10866.58</v>
      </c>
      <c r="AE9" s="96">
        <f>ROUND(MAX((AD9)*{0.03;0.1;0.2;0.25;0.3;0.35;0.45}-{0;2520;16920;31920;52920;85920;181920},0),2)</f>
        <v>326</v>
      </c>
      <c r="AF9" s="97">
        <f>IFERROR(VLOOKUP(E:E,'（居民）工资表-10月'!E:AF,28,0)+VLOOKUP(E:E,'（居民）工资表-10月'!E:AG,29,0),0)</f>
        <v>291.3</v>
      </c>
      <c r="AG9" s="97">
        <f t="shared" si="9"/>
        <v>34.7</v>
      </c>
      <c r="AH9" s="107">
        <f t="shared" si="3"/>
        <v>6121.77</v>
      </c>
      <c r="AI9" s="108"/>
      <c r="AJ9" s="107">
        <f t="shared" si="4"/>
        <v>6121.77</v>
      </c>
      <c r="AK9" s="109"/>
      <c r="AL9" s="107">
        <f t="shared" si="5"/>
        <v>6156.47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L10+IFERROR(VLOOKUP($E:$E,'（居民）工资表-10月'!$E:$S,15,0),0)</f>
        <v>11000</v>
      </c>
      <c r="T10" s="91">
        <f>5000+IFERROR(VLOOKUP($E:$E,'（居民）工资表-10月'!$E:$T,16,0),0)</f>
        <v>10000</v>
      </c>
      <c r="U10" s="91">
        <f>Q10+IFERROR(VLOOKUP($E:$E,'（居民）工资表-10月'!$E:$U,17,0),0)</f>
        <v>1084.78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-84.78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4957.61</v>
      </c>
      <c r="AI10" s="108"/>
      <c r="AJ10" s="107">
        <f t="shared" si="4"/>
        <v>4957.61</v>
      </c>
      <c r="AK10" s="109"/>
      <c r="AL10" s="107">
        <f t="shared" si="5"/>
        <v>4957.61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L11+IFERROR(VLOOKUP($E:$E,'（居民）工资表-10月'!$E:$S,15,0),0)</f>
        <v>49767.42</v>
      </c>
      <c r="T11" s="91">
        <f>5000+IFERROR(VLOOKUP($E:$E,'（居民）工资表-10月'!$E:$T,16,0),0)</f>
        <v>55000</v>
      </c>
      <c r="U11" s="91">
        <f>Q11+IFERROR(VLOOKUP($E:$E,'（居民）工资表-10月'!$E:$U,17,0),0)</f>
        <v>6930.76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-12163.34</v>
      </c>
      <c r="AE11" s="96">
        <f>ROUND(MAX((AD11)*{0.03;0.1;0.2;0.25;0.3;0.35;0.45}-{0;2520;16920;31920;52920;85920;181920},0),2)</f>
        <v>0</v>
      </c>
      <c r="AF11" s="97">
        <f>IFERROR(VLOOKUP(E:E,'（居民）工资表-10月'!E:AF,28,0)+VLOOKUP(E:E,'（居民）工资表-10月'!E:AG,29,0),0)</f>
        <v>0</v>
      </c>
      <c r="AG11" s="97">
        <f t="shared" si="9"/>
        <v>0</v>
      </c>
      <c r="AH11" s="107">
        <f t="shared" si="3"/>
        <v>4005.8</v>
      </c>
      <c r="AI11" s="108"/>
      <c r="AJ11" s="107">
        <f t="shared" si="4"/>
        <v>4005.8</v>
      </c>
      <c r="AK11" s="109"/>
      <c r="AL11" s="107">
        <f t="shared" si="5"/>
        <v>4005.8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128.68</v>
      </c>
      <c r="O12" s="71">
        <v>20.1</v>
      </c>
      <c r="P12" s="71">
        <v>97</v>
      </c>
      <c r="Q12" s="89">
        <f t="shared" ref="Q12:Q20" si="10">ROUND(SUM(M12:P12),2)</f>
        <v>567.3</v>
      </c>
      <c r="R12" s="70">
        <v>0</v>
      </c>
      <c r="S12" s="90">
        <f>L12+IFERROR(VLOOKUP($E:$E,'（居民）工资表-10月'!$E:$S,15,0),0)</f>
        <v>98000</v>
      </c>
      <c r="T12" s="91">
        <f>5000+IFERROR(VLOOKUP($E:$E,'（居民）工资表-10月'!$E:$T,16,0),0)</f>
        <v>55000</v>
      </c>
      <c r="U12" s="91">
        <f>Q12+IFERROR(VLOOKUP($E:$E,'（居民）工资表-10月'!$E:$U,17,0),0)</f>
        <v>6349.5</v>
      </c>
      <c r="V12" s="70"/>
      <c r="W12" s="70"/>
      <c r="X12" s="70"/>
      <c r="Y12" s="70"/>
      <c r="Z12" s="70"/>
      <c r="AA12" s="70"/>
      <c r="AB12" s="90">
        <f t="shared" ref="AB12:AB20" si="11">ROUND(SUM(V12:AA12),2)</f>
        <v>0</v>
      </c>
      <c r="AC12" s="90">
        <f>R12+IFERROR(VLOOKUP($E:$E,'（居民）工资表-10月'!$E:$AC,25,0),0)</f>
        <v>0</v>
      </c>
      <c r="AD12" s="95">
        <f t="shared" ref="AD12:AD20" si="12">ROUND(S12-T12-U12-AB12-AC12,2)</f>
        <v>36650.5</v>
      </c>
      <c r="AE12" s="96">
        <f>ROUND(MAX((AD12)*{0.03;0.1;0.2;0.25;0.3;0.35;0.45}-{0;2520;16920;31920;52920;85920;181920},0),2)</f>
        <v>1145.05</v>
      </c>
      <c r="AF12" s="97">
        <f>IFERROR(VLOOKUP(E:E,'（居民）工资表-10月'!E:AF,28,0)+VLOOKUP(E:E,'（居民）工资表-10月'!E:AG,29,0),0)</f>
        <v>1011.53</v>
      </c>
      <c r="AG12" s="97">
        <f t="shared" ref="AG12:AG20" si="13">IF((AE12-AF12)&lt;0,0,AE12-AF12)</f>
        <v>133.52</v>
      </c>
      <c r="AH12" s="107">
        <f t="shared" ref="AH12:AH20" si="14">ROUND(IF((L12-Q12-AG12)&lt;0,0,(L12-Q12-AG12)),2)</f>
        <v>7799.18</v>
      </c>
      <c r="AI12" s="108"/>
      <c r="AJ12" s="107">
        <f t="shared" ref="AJ12:AJ20" si="15">AH12+AI12</f>
        <v>7799.18</v>
      </c>
      <c r="AK12" s="109"/>
      <c r="AL12" s="107">
        <f t="shared" ref="AL12:AL20" si="16">AJ12+AG12+AK12</f>
        <v>7932.7</v>
      </c>
      <c r="AM12" s="109"/>
      <c r="AN12" s="109"/>
      <c r="AO12" s="109"/>
      <c r="AP12" s="109"/>
      <c r="AQ12" s="109"/>
      <c r="AR12" s="116" t="str">
        <f t="shared" ref="AR12:AR20" si="17">IF(LEN(E12)=18,IF(RIGHT(E12,1)="X"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,"正确","错误")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*1,"正确","错误")),IF(LEN(E12)=15,"老号，请注意！",IF(LEN(E12)=0,"未填写身份证号码","位数不对！")))</f>
        <v>正确</v>
      </c>
      <c r="AS12" s="116" t="str">
        <f t="shared" ref="AS12:AS20" si="18">IF(SUMPRODUCT(N(E$1:E$6=E12))&gt;1,"重复","不")</f>
        <v>不</v>
      </c>
      <c r="AT12" s="116" t="str">
        <f t="shared" ref="AT12:AT20" si="19"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688</v>
      </c>
      <c r="Q13" s="89">
        <f t="shared" si="10"/>
        <v>1116</v>
      </c>
      <c r="R13" s="70">
        <v>0</v>
      </c>
      <c r="S13" s="90">
        <f>L13+IFERROR(VLOOKUP($E:$E,'（居民）工资表-10月'!$E:$S,15,0),0)</f>
        <v>81200</v>
      </c>
      <c r="T13" s="91">
        <f>5000+IFERROR(VLOOKUP($E:$E,'（居民）工资表-10月'!$E:$T,16,0),0)</f>
        <v>55000</v>
      </c>
      <c r="U13" s="91">
        <f>Q13+IFERROR(VLOOKUP($E:$E,'（居民）工资表-10月'!$E:$U,17,0),0)</f>
        <v>8860.35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R13+IFERROR(VLOOKUP($E:$E,'（居民）工资表-10月'!$E:$AC,25,0),0)</f>
        <v>0</v>
      </c>
      <c r="AD13" s="95">
        <f t="shared" si="12"/>
        <v>17339.65</v>
      </c>
      <c r="AE13" s="96">
        <f>ROUND(MAX((AD13)*{0.03;0.1;0.2;0.25;0.3;0.35;0.45}-{0;2520;16920;31920;52920;85920;181920},0),2)</f>
        <v>520.19</v>
      </c>
      <c r="AF13" s="97">
        <f>IFERROR(VLOOKUP(E:E,'（居民）工资表-10月'!E:AF,28,0)+VLOOKUP(E:E,'（居民）工资表-10月'!E:AG,29,0),0)</f>
        <v>493.67</v>
      </c>
      <c r="AG13" s="97">
        <f t="shared" si="13"/>
        <v>26.52</v>
      </c>
      <c r="AH13" s="107">
        <f t="shared" si="14"/>
        <v>5857.48</v>
      </c>
      <c r="AI13" s="108"/>
      <c r="AJ13" s="107">
        <f t="shared" si="15"/>
        <v>5857.48</v>
      </c>
      <c r="AK13" s="109"/>
      <c r="AL13" s="107">
        <f t="shared" si="16"/>
        <v>5884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688</v>
      </c>
      <c r="Q14" s="89">
        <f t="shared" si="10"/>
        <v>1116</v>
      </c>
      <c r="R14" s="70">
        <v>0</v>
      </c>
      <c r="S14" s="90">
        <f>L14+IFERROR(VLOOKUP($E:$E,'（居民）工资表-10月'!$E:$S,15,0),0)</f>
        <v>84408.7</v>
      </c>
      <c r="T14" s="91">
        <f>5000+IFERROR(VLOOKUP($E:$E,'（居民）工资表-10月'!$E:$T,16,0),0)</f>
        <v>55000</v>
      </c>
      <c r="U14" s="91">
        <f>Q14+IFERROR(VLOOKUP($E:$E,'（居民）工资表-10月'!$E:$U,17,0),0)</f>
        <v>8860.35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R14+IFERROR(VLOOKUP($E:$E,'（居民）工资表-10月'!$E:$AC,25,0),0)</f>
        <v>0</v>
      </c>
      <c r="AD14" s="95">
        <f t="shared" si="12"/>
        <v>20548.35</v>
      </c>
      <c r="AE14" s="96">
        <f>ROUND(MAX((AD14)*{0.03;0.1;0.2;0.25;0.3;0.35;0.45}-{0;2520;16920;31920;52920;85920;181920},0),2)</f>
        <v>616.45</v>
      </c>
      <c r="AF14" s="97">
        <f>IFERROR(VLOOKUP(E:E,'（居民）工资表-10月'!E:AF,28,0)+VLOOKUP(E:E,'（居民）工资表-10月'!E:AG,29,0),0)</f>
        <v>589.93</v>
      </c>
      <c r="AG14" s="97">
        <f t="shared" si="13"/>
        <v>26.5200000000001</v>
      </c>
      <c r="AH14" s="107">
        <f t="shared" si="14"/>
        <v>5857.48</v>
      </c>
      <c r="AI14" s="108"/>
      <c r="AJ14" s="107">
        <f t="shared" si="15"/>
        <v>5857.48</v>
      </c>
      <c r="AK14" s="109"/>
      <c r="AL14" s="107">
        <f t="shared" si="16"/>
        <v>5884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128.68</v>
      </c>
      <c r="O15" s="71">
        <v>20.1</v>
      </c>
      <c r="P15" s="71">
        <v>97</v>
      </c>
      <c r="Q15" s="89">
        <f t="shared" si="10"/>
        <v>567.3</v>
      </c>
      <c r="R15" s="70">
        <v>0</v>
      </c>
      <c r="S15" s="90">
        <f>L15+IFERROR(VLOOKUP($E:$E,'（居民）工资表-10月'!$E:$S,15,0),0)</f>
        <v>14900</v>
      </c>
      <c r="T15" s="91">
        <f>5000+IFERROR(VLOOKUP($E:$E,'（居民）工资表-10月'!$E:$T,16,0),0)</f>
        <v>10000</v>
      </c>
      <c r="U15" s="91">
        <f>Q15+IFERROR(VLOOKUP($E:$E,'（居民）工资表-10月'!$E:$U,17,0),0)</f>
        <v>1318.5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R15+IFERROR(VLOOKUP($E:$E,'（居民）工资表-10月'!$E:$AC,25,0),0)</f>
        <v>0</v>
      </c>
      <c r="AD15" s="95">
        <f t="shared" si="12"/>
        <v>3581.5</v>
      </c>
      <c r="AE15" s="96">
        <f>ROUND(MAX((AD15)*{0.03;0.1;0.2;0.25;0.3;0.35;0.45}-{0;2520;16920;31920;52920;85920;181920},0),2)</f>
        <v>107.45</v>
      </c>
      <c r="AF15" s="97">
        <f>IFERROR(VLOOKUP(E:E,'（居民）工资表-10月'!E:AF,28,0)+VLOOKUP(E:E,'（居民）工资表-10月'!E:AG,29,0),0)</f>
        <v>64.46</v>
      </c>
      <c r="AG15" s="97">
        <f t="shared" si="13"/>
        <v>42.99</v>
      </c>
      <c r="AH15" s="107">
        <f t="shared" si="14"/>
        <v>6389.71</v>
      </c>
      <c r="AI15" s="108"/>
      <c r="AJ15" s="107">
        <f t="shared" si="15"/>
        <v>6389.71</v>
      </c>
      <c r="AK15" s="109"/>
      <c r="AL15" s="107">
        <f t="shared" si="16"/>
        <v>6432.7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90.51</v>
      </c>
      <c r="O16" s="71">
        <v>20.1</v>
      </c>
      <c r="P16" s="71">
        <v>97</v>
      </c>
      <c r="Q16" s="89">
        <f t="shared" si="10"/>
        <v>529.13</v>
      </c>
      <c r="R16" s="70">
        <v>0</v>
      </c>
      <c r="S16" s="90">
        <f>L16+IFERROR(VLOOKUP($E:$E,'（居民）工资表-10月'!$E:$S,15,0),0)</f>
        <v>12920</v>
      </c>
      <c r="T16" s="91">
        <f>5000+IFERROR(VLOOKUP($E:$E,'（居民）工资表-10月'!$E:$T,16,0),0)</f>
        <v>10000</v>
      </c>
      <c r="U16" s="91">
        <f>Q16+IFERROR(VLOOKUP($E:$E,'（居民）工资表-10月'!$E:$U,17,0),0)</f>
        <v>1252.48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R16+IFERROR(VLOOKUP($E:$E,'（居民）工资表-10月'!$E:$AC,25,0),0)</f>
        <v>0</v>
      </c>
      <c r="AD16" s="95">
        <f t="shared" si="12"/>
        <v>1667.52</v>
      </c>
      <c r="AE16" s="96">
        <f>ROUND(MAX((AD16)*{0.03;0.1;0.2;0.25;0.3;0.35;0.45}-{0;2520;16920;31920;52920;85920;181920},0),2)</f>
        <v>50.03</v>
      </c>
      <c r="AF16" s="97">
        <f>IFERROR(VLOOKUP(E:E,'（居民）工资表-10月'!E:AF,28,0)+VLOOKUP(E:E,'（居民）工资表-10月'!E:AG,29,0),0)</f>
        <v>34.1</v>
      </c>
      <c r="AG16" s="97">
        <f t="shared" si="13"/>
        <v>15.93</v>
      </c>
      <c r="AH16" s="107">
        <f t="shared" si="14"/>
        <v>5514.94</v>
      </c>
      <c r="AI16" s="108"/>
      <c r="AJ16" s="107">
        <f t="shared" si="15"/>
        <v>5514.94</v>
      </c>
      <c r="AK16" s="109"/>
      <c r="AL16" s="107">
        <f t="shared" si="16"/>
        <v>5530.87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U16" s="11"/>
      <c r="AV16" s="11"/>
    </row>
    <row r="17" s="12" customFormat="1" ht="18" customHeight="1" spans="1:48">
      <c r="A17" s="36">
        <v>14</v>
      </c>
      <c r="B17" s="37" t="s">
        <v>142</v>
      </c>
      <c r="C17" s="37" t="s">
        <v>211</v>
      </c>
      <c r="D17" s="37" t="s">
        <v>143</v>
      </c>
      <c r="E17" s="326" t="s">
        <v>212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147.6</v>
      </c>
      <c r="N17" s="71">
        <v>90.4</v>
      </c>
      <c r="O17" s="71">
        <v>5.53</v>
      </c>
      <c r="P17" s="71">
        <v>175</v>
      </c>
      <c r="Q17" s="89">
        <f t="shared" si="10"/>
        <v>418.53</v>
      </c>
      <c r="R17" s="70">
        <v>0</v>
      </c>
      <c r="S17" s="90">
        <f>L17+IFERROR(VLOOKUP($E:$E,'（居民）工资表-10月'!$E:$S,15,0),0)</f>
        <v>14620</v>
      </c>
      <c r="T17" s="91">
        <f>5000+IFERROR(VLOOKUP($E:$E,'（居民）工资表-10月'!$E:$T,16,0),0)</f>
        <v>10000</v>
      </c>
      <c r="U17" s="91">
        <f>Q17+IFERROR(VLOOKUP($E:$E,'（居民）工资表-10月'!$E:$U,17,0),0)</f>
        <v>1018.73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R17+IFERROR(VLOOKUP($E:$E,'（居民）工资表-10月'!$E:$AC,25,0),0)</f>
        <v>0</v>
      </c>
      <c r="AD17" s="95">
        <f t="shared" si="12"/>
        <v>3601.27</v>
      </c>
      <c r="AE17" s="96">
        <f>ROUND(MAX((AD17)*{0.03;0.1;0.2;0.25;0.3;0.35;0.45}-{0;2520;16920;31920;52920;85920;181920},0),2)</f>
        <v>108.04</v>
      </c>
      <c r="AF17" s="97">
        <f>IFERROR(VLOOKUP(E:E,'（居民）工资表-10月'!E:AF,28,0)+VLOOKUP(E:E,'（居民）工资表-10月'!E:AG,29,0),0)</f>
        <v>73.79</v>
      </c>
      <c r="AG17" s="97">
        <f t="shared" si="13"/>
        <v>34.25</v>
      </c>
      <c r="AH17" s="107">
        <f t="shared" si="14"/>
        <v>6107.22</v>
      </c>
      <c r="AI17" s="108"/>
      <c r="AJ17" s="107">
        <f t="shared" si="15"/>
        <v>6107.22</v>
      </c>
      <c r="AK17" s="109"/>
      <c r="AL17" s="107">
        <f t="shared" si="16"/>
        <v>6141.47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U17" s="11"/>
      <c r="AV17" s="11"/>
    </row>
    <row r="18" s="12" customFormat="1" ht="18" customHeight="1" spans="1:48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10"/>
        <v>525</v>
      </c>
      <c r="R18" s="70">
        <v>0</v>
      </c>
      <c r="S18" s="90">
        <f>L18+IFERROR(VLOOKUP($E:$E,'（居民）工资表-10月'!$E:$S,15,0),0)</f>
        <v>66800</v>
      </c>
      <c r="T18" s="91">
        <f>5000+IFERROR(VLOOKUP($E:$E,'（居民）工资表-10月'!$E:$T,16,0),0)</f>
        <v>55000</v>
      </c>
      <c r="U18" s="91">
        <f>Q18+IFERROR(VLOOKUP($E:$E,'（居民）工资表-10月'!$E:$U,17,0),0)</f>
        <v>5892.81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R18+IFERROR(VLOOKUP($E:$E,'（居民）工资表-10月'!$E:$AC,25,0),0)</f>
        <v>0</v>
      </c>
      <c r="AD18" s="95">
        <f t="shared" si="12"/>
        <v>5907.19</v>
      </c>
      <c r="AE18" s="96">
        <f>ROUND(MAX((AD18)*{0.03;0.1;0.2;0.25;0.3;0.35;0.45}-{0;2520;16920;31920;52920;85920;181920},0),2)</f>
        <v>177.22</v>
      </c>
      <c r="AF18" s="97">
        <f>IFERROR(VLOOKUP(E:E,'（居民）工资表-10月'!E:AF,28,0)+VLOOKUP(E:E,'（居民）工资表-10月'!E:AG,29,0),0)</f>
        <v>162.97</v>
      </c>
      <c r="AG18" s="97">
        <f t="shared" si="13"/>
        <v>14.25</v>
      </c>
      <c r="AH18" s="107">
        <f t="shared" si="14"/>
        <v>5460.75</v>
      </c>
      <c r="AI18" s="108"/>
      <c r="AJ18" s="107">
        <f t="shared" si="15"/>
        <v>5460.75</v>
      </c>
      <c r="AK18" s="109"/>
      <c r="AL18" s="107">
        <f t="shared" si="16"/>
        <v>5475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U18" s="11"/>
      <c r="AV18" s="11"/>
    </row>
    <row r="19" s="12" customFormat="1" ht="18" customHeight="1" spans="1:48">
      <c r="A19" s="36">
        <v>16</v>
      </c>
      <c r="B19" s="37" t="s">
        <v>142</v>
      </c>
      <c r="C19" s="37" t="s">
        <v>213</v>
      </c>
      <c r="D19" s="37" t="s">
        <v>143</v>
      </c>
      <c r="E19" s="326" t="s">
        <v>214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5425</v>
      </c>
      <c r="M19" s="71">
        <v>337.92</v>
      </c>
      <c r="N19" s="71">
        <v>91.48</v>
      </c>
      <c r="O19" s="71">
        <v>12.67</v>
      </c>
      <c r="P19" s="71">
        <v>100.5</v>
      </c>
      <c r="Q19" s="89">
        <f t="shared" si="10"/>
        <v>542.57</v>
      </c>
      <c r="R19" s="70">
        <v>0</v>
      </c>
      <c r="S19" s="90">
        <f>L19+IFERROR(VLOOKUP($E:$E,'（居民）工资表-10月'!$E:$S,15,0),0)</f>
        <v>10164.43</v>
      </c>
      <c r="T19" s="91">
        <f>5000+IFERROR(VLOOKUP($E:$E,'（居民）工资表-10月'!$E:$T,16,0),0)</f>
        <v>10000</v>
      </c>
      <c r="U19" s="91">
        <f>Q19+IFERROR(VLOOKUP($E:$E,'（居民）工资表-10月'!$E:$U,17,0),0)</f>
        <v>1124.68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R19+IFERROR(VLOOKUP($E:$E,'（居民）工资表-10月'!$E:$AC,25,0),0)</f>
        <v>0</v>
      </c>
      <c r="AD19" s="95">
        <f t="shared" si="12"/>
        <v>-960.25</v>
      </c>
      <c r="AE19" s="96">
        <f>ROUND(MAX((AD19)*{0.03;0.1;0.2;0.25;0.3;0.35;0.45}-{0;2520;16920;31920;52920;85920;181920},0),2)</f>
        <v>0</v>
      </c>
      <c r="AF19" s="97">
        <f>IFERROR(VLOOKUP(E:E,'（居民）工资表-10月'!E:AF,28,0)+VLOOKUP(E:E,'（居民）工资表-10月'!E:AG,29,0),0)</f>
        <v>0</v>
      </c>
      <c r="AG19" s="97">
        <f t="shared" si="13"/>
        <v>0</v>
      </c>
      <c r="AH19" s="107">
        <f t="shared" si="14"/>
        <v>4882.43</v>
      </c>
      <c r="AI19" s="108"/>
      <c r="AJ19" s="107">
        <f t="shared" si="15"/>
        <v>4882.43</v>
      </c>
      <c r="AK19" s="109"/>
      <c r="AL19" s="107">
        <f t="shared" si="16"/>
        <v>4882.43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U19" s="11"/>
      <c r="AV19" s="11"/>
    </row>
    <row r="20" s="12" customFormat="1" ht="18" customHeight="1" spans="1:48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  <c r="AU20" s="11"/>
      <c r="AV20" s="11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SUM(L4:L19)</f>
        <v>132903.8</v>
      </c>
      <c r="M21" s="74">
        <f>SUM(M4:M19)</f>
        <v>5213.7</v>
      </c>
      <c r="N21" s="74">
        <f>SUM(N4:N19)</f>
        <v>1587.08</v>
      </c>
      <c r="O21" s="74">
        <f t="shared" ref="O21:AL21" si="20">SUM(O4:O19)</f>
        <v>280.25</v>
      </c>
      <c r="P21" s="74">
        <f t="shared" si="20"/>
        <v>3617.5</v>
      </c>
      <c r="Q21" s="74">
        <f t="shared" si="20"/>
        <v>10698.53</v>
      </c>
      <c r="R21" s="74">
        <f t="shared" si="20"/>
        <v>0</v>
      </c>
      <c r="S21" s="74">
        <f t="shared" si="20"/>
        <v>1216840.55</v>
      </c>
      <c r="T21" s="74">
        <f t="shared" si="20"/>
        <v>655000</v>
      </c>
      <c r="U21" s="74">
        <f t="shared" si="20"/>
        <v>87593.72</v>
      </c>
      <c r="V21" s="74">
        <f t="shared" si="20"/>
        <v>0</v>
      </c>
      <c r="W21" s="74">
        <f t="shared" si="20"/>
        <v>0</v>
      </c>
      <c r="X21" s="74">
        <f t="shared" si="20"/>
        <v>0</v>
      </c>
      <c r="Y21" s="74">
        <f t="shared" si="20"/>
        <v>0</v>
      </c>
      <c r="Z21" s="74">
        <f t="shared" si="20"/>
        <v>0</v>
      </c>
      <c r="AA21" s="74">
        <f t="shared" si="20"/>
        <v>0</v>
      </c>
      <c r="AB21" s="74">
        <f t="shared" si="20"/>
        <v>0</v>
      </c>
      <c r="AC21" s="74">
        <f t="shared" si="20"/>
        <v>0</v>
      </c>
      <c r="AD21" s="74">
        <f t="shared" si="20"/>
        <v>474246.83</v>
      </c>
      <c r="AE21" s="74">
        <f t="shared" si="20"/>
        <v>44551.74</v>
      </c>
      <c r="AF21" s="74">
        <f t="shared" si="20"/>
        <v>38607.35</v>
      </c>
      <c r="AG21" s="74">
        <f t="shared" si="20"/>
        <v>5944.39</v>
      </c>
      <c r="AH21" s="74">
        <f t="shared" si="20"/>
        <v>116260.88</v>
      </c>
      <c r="AI21" s="74">
        <f t="shared" si="20"/>
        <v>0</v>
      </c>
      <c r="AJ21" s="74">
        <f t="shared" si="20"/>
        <v>116260.88</v>
      </c>
      <c r="AK21" s="74">
        <f t="shared" si="20"/>
        <v>0</v>
      </c>
      <c r="AL21" s="74">
        <f t="shared" si="20"/>
        <v>122205.27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116260.88</v>
      </c>
      <c r="C26" s="48">
        <f>AG21</f>
        <v>5944.39</v>
      </c>
      <c r="D26" s="48">
        <f>AK21</f>
        <v>0</v>
      </c>
      <c r="E26" s="48">
        <f>B26+C26+D26</f>
        <v>122205.27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xmlns:etc="http://www.wps.cn/officeDocument/2017/etCustomData" ref="A3:AT21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2024-09-04T07:04:05Z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2052-12.1.0.17857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