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'（居民）工资表-9月'!$A$3:$AT$21</definedName>
    <definedName name="_xlnm._FilterDatabase" localSheetId="7" hidden="1">'（居民）工资表-10月'!$A$3:$AT$21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'（居民）工资表-10月'!$A$1:$AT$27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<sst xmlns="http://schemas.openxmlformats.org/spreadsheetml/2006/main" count="2192" uniqueCount="255">
  <si>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</si>
  <si>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</si>
  <si>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</si>
  <si>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</si>
  <si>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</si>
  <si>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</si>
  <si>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</si>
  <si>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</si>
  <si>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</si>
  <si>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</si>
  <si>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</si>
  <si>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</si>
  <si>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</si>
  <si>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</si>
  <si>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</si>
  <si>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</si>
  <si>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</si>
  <si>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</si>
  <si>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</si>
  <si>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</si>
  <si>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</si>
  <si>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</si>
  <si>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</si>
  <si>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</si>
  <si>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</si>
  <si>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</si>
  <si>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</si>
  <si>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</si>
  <si>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</si>
  <si>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</si>
  <si>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</si>
  <si>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</si>
  <si>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</si>
  <si>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</si>
  <si>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</si>
  <si>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</si>
  <si>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</si>
  <si>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</si>
  <si>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</si>
  <si>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</si>
  <si>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</si>
  <si>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</si>
  <si>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</si>
  <si>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</si>
  <si>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</si>
  <si>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</si>
  <si>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</si>
  <si>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</si>
  <si>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</si>
  <si>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</si>
  <si>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</si>
  <si>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</si>
  <si>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</si>
  <si>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</si>
  <si>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</si>
  <si>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</si>
  <si>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</si>
  <si>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</si>
  <si>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</si>
  <si>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</si>
  <si>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</si>
  <si>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</si>
  <si>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</si>
  <si>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</si>
  <si>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</si>
  <si>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</si>
  <si>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</si>
  <si>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</si>
  <si>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</si>
  <si>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根据贵公司与我公司所签订的服务协议，请贵公司在2024年8月8日之前按照下列表格内容支付相关款项.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</si>
  <si>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</si>
  <si>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</si>
  <si>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</si>
  <si>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</si>
  <si>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</si>
  <si>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</si>
  <si>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</si>
  <si>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</si>
  <si>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</si>
  <si>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</si>
  <si>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</si>
  <si>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</si>
  <si>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</si>
  <si>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</si>
  <si>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</si>
  <si>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</si>
  <si>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</si>
  <si>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</si>
  <si>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</si>
  <si>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</si>
  <si>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</si>
  <si>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</si>
  <si>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</si>
  <si>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</si>
  <si>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</si>
  <si>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</si>
  <si>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</si>
  <si>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</si>
  <si>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</si>
  <si>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</si>
  <si>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</si>
  <si>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</si>
  <si>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</si>
  <si>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</si>
  <si>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</si>
  <si>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</si>
  <si>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</si>
  <si>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</si>
  <si>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</si>
  <si>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</si>
  <si>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</si>
  <si>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</si>
  <si>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</si>
  <si>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</si>
  <si>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</si>
  <si>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</si>
  <si>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</si>
  <si>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</si>
  <si>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</si>
  <si>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</si>
  <si>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</si>
  <si>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</si>
  <si>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</si>
  <si>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</si>
  <si>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</si>
  <si>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</si>
  <si>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</si>
  <si>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</si>
  <si>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</si>
  <si>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</si>
  <si>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</si>
  <si>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</si>
  <si>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</si>
  <si>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</si>
  <si>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</si>
  <si>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</si>
  <si>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</si>
  <si>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</si>
  <si>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</si>
  <si>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</si>
  <si>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</si>
  <si>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</si>
  <si>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</si>
  <si>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</si>
  <si>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</si>
  <si>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</si>
  <si>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</si>
  <si>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</si>
  <si>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</si>
  <si>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</si>
  <si>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</si>
  <si>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</si>
  <si>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</si>
  <si>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</si>
  <si>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</si>
  <si>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</si>
  <si>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</si>
  <si>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</si>
  <si>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</si>
  <si>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</si>
  <si>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</si>
  <si>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</si>
  <si>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</si>
  <si>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</si>
  <si>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</si>
  <si>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</si>
  <si>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</si>
  <si>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</si>
  <si>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</si>
  <si>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</si>
  <si>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</si>
  <si>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</si>
  <si>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</si>
  <si>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</si>
  <si>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</si>
  <si>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</si>
  <si>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</si>
  <si>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</si>
  <si>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</si>
  <si>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</si>
  <si>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</si>
  <si>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</si>
  <si>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</si>
  <si>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</si>
  <si>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</si>
  <si>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</si>
  <si>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</si>
  <si>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</si>
  <si>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</si>
  <si>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</si>
  <si>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</si>
  <si>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</si>
  <si>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</si>
  <si>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</si>
  <si>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</si>
  <si>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</si>
  <si>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</si>
  <si>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</si>
  <si>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</si>
  <si>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</si>
  <si>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</si>
  <si>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</si>
  <si>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</si>
  <si>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</si>
  <si>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</si>
  <si>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</si>
  <si>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</si>
  <si>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谭江月</t>
  </si>
  <si>
    <t>500228199607193387</t>
  </si>
  <si>
    <t>18297976577</t>
  </si>
  <si>
    <t>杨文</t>
  </si>
  <si>
    <t>430902198512287016</t>
  </si>
  <si>
    <t>周兆平</t>
  </si>
  <si>
    <t>420625199902250033</t>
  </si>
  <si>
    <t>重庆易铭天</t>
  </si>
  <si>
    <t>武汉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</si>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</sst>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E13" sqref="E13:G13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127023.88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127023.88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127023.88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'（居民）工资表-8月'!E25</f>
        <v>127023.88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127023.88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127023.88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127023.88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4216.9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-16.9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40700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4635.68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-5935.68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6639.85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158280.15</v>
      </c>
      <c r="AE6" s="96">
        <f>ROUND(MAX((AD6)*{0.03;0.1;0.2;0.25;0.3;0.35;0.45}-{0;2520;16920;31920;52920;85920;181920},0),2)</f>
        <v>14736.03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61000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3693.97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17306.03</v>
      </c>
      <c r="AE7" s="96">
        <f>ROUND(MAX((AD7)*{0.03;0.1;0.2;0.25;0.3;0.35;0.45}-{0;2520;16920;31920;52920;85920;181920},0),2)</f>
        <v>519.18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5404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35096</v>
      </c>
      <c r="AE8" s="96">
        <f>ROUND(MAX((AD8)*{0.03;0.1;0.2;0.25;0.3;0.35;0.45}-{0;2520;16920;31920;52920;85920;181920},0),2)</f>
        <v>1052.88</v>
      </c>
      <c r="AF8" s="97">
        <f>IFERROR(VLOOKUP(E:E,'（居民）工资表-6月'!E:AF,28,0)+VLOOKUP(E:E,'（居民）工资表-6月'!E:AG,29,0),0)</f>
        <v>851.04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3711.09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6788.91</v>
      </c>
      <c r="AE9" s="96">
        <f>ROUND(MAX((AD9)*{0.03;0.1;0.2;0.25;0.3;0.35;0.45}-{0;2520;16920;31920;52920;85920;181920},0),2)</f>
        <v>203.67</v>
      </c>
      <c r="AF9" s="97">
        <f>IFERROR(VLOOKUP(E:E,'（居民）工资表-6月'!E:AF,28,0)+VLOOKUP(E:E,'（居民）工资表-6月'!E:AG,29,0),0)</f>
        <v>174.47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31680.88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4409.02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-7728.14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60500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21587</v>
      </c>
      <c r="AE11" s="96">
        <f>ROUND(MAX((AD11)*{0.03;0.1;0.2;0.25;0.3;0.35;0.45}-{0;2520;16920;31920;52920;85920;181920},0),2)</f>
        <v>647.61</v>
      </c>
      <c r="AF11" s="97">
        <f>IFERROR(VLOOKUP(E:E,'（居民）工资表-6月'!E:AF,28,0)+VLOOKUP(E:E,'（居民）工资表-6月'!E:AG,29,0),0)</f>
        <v>529.38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50000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5404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9596</v>
      </c>
      <c r="AE12" s="96">
        <f>ROUND(MAX((AD12)*{0.03;0.1;0.2;0.25;0.3;0.35;0.45}-{0;2520;16920;31920;52920;85920;181920},0),2)</f>
        <v>287.88</v>
      </c>
      <c r="AF12" s="97">
        <f>IFERROR(VLOOKUP(E:E,'（居民）工资表-6月'!E:AF,28,0)+VLOOKUP(E:E,'（居民）工资表-6月'!E:AG,29,0),0)</f>
        <v>221.04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51608.7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5404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11204.7</v>
      </c>
      <c r="AE13" s="96">
        <f>ROUND(MAX((AD13)*{0.03;0.1;0.2;0.25;0.3;0.35;0.45}-{0;2520;16920;31920;52920;85920;181920},0),2)</f>
        <v>336.14</v>
      </c>
      <c r="AF13" s="97">
        <f>IFERROR(VLOOKUP(E:E,'（居民）工资表-6月'!E:AF,28,0)+VLOOKUP(E:E,'（居民）工资表-6月'!E:AG,29,0),0)</f>
        <v>239.3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49600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10687</v>
      </c>
      <c r="AE14" s="96">
        <f>ROUND(MAX((AD14)*{0.03;0.1;0.2;0.25;0.3;0.35;0.45}-{0;2520;16920;31920;52920;85920;181920},0),2)</f>
        <v>320.61</v>
      </c>
      <c r="AF14" s="97">
        <f>IFERROR(VLOOKUP(E:E,'（居民）工资表-6月'!E:AF,28,0)+VLOOKUP(E:E,'（居民）工资表-6月'!E:AG,29,0),0)</f>
        <v>259.38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43747.38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3693.97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5053.41</v>
      </c>
      <c r="AE15" s="96">
        <f>ROUND(MAX((AD15)*{0.03;0.1;0.2;0.25;0.3;0.35;0.45}-{0;2520;16920;31920;52920;85920;181920},0),2)</f>
        <v>151.6</v>
      </c>
      <c r="AF15" s="97">
        <f>IFERROR(VLOOKUP(E:E,'（居民）工资表-6月'!E:AF,28,0)+VLOOKUP(E:E,'（居民）工资表-6月'!E:AG,29,0),0)</f>
        <v>118.66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3325</v>
      </c>
      <c r="AE16" s="96">
        <f>ROUND(MAX((AD16)*{0.03;0.1;0.2;0.25;0.3;0.35;0.45}-{0;2520;16920;31920;52920;85920;181920},0),2)</f>
        <v>99.75</v>
      </c>
      <c r="AF16" s="97">
        <f>IFERROR(VLOOKUP(E:E,'（居民）工资表-6月'!E:AF,28,0)+VLOOKUP(E:E,'（居民）工资表-6月'!E:AG,29,0),0)</f>
        <v>85.5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57556.93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4221.68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23335.25</v>
      </c>
      <c r="AE17" s="96">
        <f>ROUND(MAX((AD17)*{0.03;0.1;0.2;0.25;0.3;0.35;0.45}-{0;2520;16920;31920;52920;85920;181920},0),2)</f>
        <v>700.06</v>
      </c>
      <c r="AF17" s="97">
        <f>IFERROR(VLOOKUP(E:E,'（居民）工资表-6月'!E:AF,28,0)+VLOOKUP(E:E,'（居民）工资表-6月'!E:AG,29,0),0)</f>
        <v>565.89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896564.19</v>
      </c>
      <c r="T20" s="74">
        <f t="shared" si="7"/>
        <v>505000</v>
      </c>
      <c r="U20" s="74">
        <f t="shared" si="7"/>
        <v>65698.01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286566.18</v>
      </c>
      <c r="AE20" s="74">
        <f t="shared" si="7"/>
        <v>19055.41</v>
      </c>
      <c r="AF20" s="74">
        <f t="shared" si="7"/>
        <v>16013.36</v>
      </c>
      <c r="AG20" s="74">
        <f t="shared" si="7"/>
        <v>3492</v>
      </c>
      <c r="AH20" s="74">
        <f t="shared" si="7"/>
        <v>129032.26</v>
      </c>
      <c r="AI20" s="74">
        <f t="shared" si="7"/>
        <v>0</v>
      </c>
      <c r="AJ20" s="74">
        <f t="shared" si="7"/>
        <v>129032.26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129032.26</v>
      </c>
      <c r="C25" s="48">
        <f>AG20</f>
        <v>3492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ref="A3:AL2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AE12" activePane="bottomRight" state="frozen"/>
      <selection/>
      <selection pane="topRight"/>
      <selection pane="bottomLeft"/>
      <selection pane="bottomRight" activeCell="AE26" sqref="AE2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4857.39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19142.61</v>
      </c>
      <c r="AE4" s="96">
        <f>ROUND(MAX((AD4)*{0.03;0.1;0.2;0.25;0.3;0.35;0.45}-{0;2520;16920;31920;52920;85920;181920},0),2)</f>
        <v>574.28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143.13</v>
      </c>
      <c r="AH4" s="107">
        <f>ROUND(IF((L4-Q4-AG4)&lt;0,0,(L4-Q4-AG4)),2)</f>
        <v>7216.38</v>
      </c>
      <c r="AI4" s="108"/>
      <c r="AJ4" s="107">
        <f>AH4+AI4</f>
        <v>7216.38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46800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5297.92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1502.08</v>
      </c>
      <c r="AE5" s="96">
        <f>ROUND(MAX((AD5)*{0.03;0.1;0.2;0.25;0.3;0.35;0.45}-{0;2520;16920;31920;52920;85920;181920},0),2)</f>
        <v>45.06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26.26</v>
      </c>
      <c r="AH5" s="107">
        <f>ROUND(IF((L5-Q5-AG5)&lt;0,0,(L5-Q5-AG5)),2)</f>
        <v>5411.5</v>
      </c>
      <c r="AI5" s="108"/>
      <c r="AJ5" s="107">
        <f>AH5+AI5</f>
        <v>5411.5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240480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7603.94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192876.06</v>
      </c>
      <c r="AE6" s="96">
        <f>ROUND(MAX((AD6)*{0.03;0.1;0.2;0.25;0.3;0.35;0.45}-{0;2520;16920;31920;52920;85920;181920},0),2)</f>
        <v>21655.21</v>
      </c>
      <c r="AF6" s="97">
        <f>IFERROR(VLOOKUP(E:E,'（居民）工资表-7月'!E:AF,28,0)+VLOOKUP(E:E,'（居民）工资表-7月'!E:AG,29,0),0)</f>
        <v>14736.03</v>
      </c>
      <c r="AG6" s="97">
        <f t="shared" ref="AG6:AG19" si="3">IF((AE6-AF6)&lt;0,0,AE6-AF6)</f>
        <v>6919.18</v>
      </c>
      <c r="AH6" s="107">
        <f t="shared" ref="AH6:AH19" si="4">ROUND(IF((L6-Q6-AG6)&lt;0,0,(L6-Q6-AG6)),2)</f>
        <v>22176.73</v>
      </c>
      <c r="AI6" s="108"/>
      <c r="AJ6" s="107">
        <f t="shared" ref="AJ6:AJ19" si="5">AH6+AI6</f>
        <v>22176.73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71000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4221.68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26778.32</v>
      </c>
      <c r="AE7" s="96">
        <f>ROUND(MAX((AD7)*{0.03;0.1;0.2;0.25;0.3;0.35;0.45}-{0;2520;16920;31920;52920;85920;181920},0),2)</f>
        <v>803.35</v>
      </c>
      <c r="AF7" s="97">
        <f>IFERROR(VLOOKUP(E:E,'（居民）工资表-7月'!E:AF,28,0)+VLOOKUP(E:E,'（居民）工资表-7月'!E:AG,29,0),0)</f>
        <v>519.18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87000</v>
      </c>
      <c r="T8" s="91">
        <f>5000+IFERROR(VLOOKUP($E:$E,'（居民）工资表-7月'!$E:$T,16,0),0)</f>
        <v>40000</v>
      </c>
      <c r="U8" s="91">
        <f>Q8+IFERROR(VLOOKUP($E:$E,'（居民）工资表-7月'!$E:$U,17,0),0)</f>
        <v>6176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40824</v>
      </c>
      <c r="AE8" s="96">
        <f>ROUND(MAX((AD8)*{0.03;0.1;0.2;0.25;0.3;0.35;0.45}-{0;2520;16920;31920;52920;85920;181920},0),2)</f>
        <v>1562.4</v>
      </c>
      <c r="AF8" s="97">
        <f>IFERROR(VLOOKUP(E:E,'（居民）工资表-7月'!E:AF,28,0)+VLOOKUP(E:E,'（居民）工资表-7月'!E:AG,29,0),0)</f>
        <v>1052.88</v>
      </c>
      <c r="AG8" s="97">
        <f t="shared" si="3"/>
        <v>509.52</v>
      </c>
      <c r="AH8" s="107">
        <f t="shared" si="4"/>
        <v>10218.48</v>
      </c>
      <c r="AI8" s="108"/>
      <c r="AJ8" s="107">
        <f t="shared" si="5"/>
        <v>10218.48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4237.89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7762.11</v>
      </c>
      <c r="AE9" s="96">
        <f>ROUND(MAX((AD9)*{0.03;0.1;0.2;0.25;0.3;0.35;0.45}-{0;2520;16920;31920;52920;85920;181920},0),2)</f>
        <v>232.86</v>
      </c>
      <c r="AF9" s="97">
        <f>IFERROR(VLOOKUP(E:E,'（居民）工资表-7月'!E:AF,28,0)+VLOOKUP(E:E,'（居民）工资表-7月'!E:AG,29,0),0)</f>
        <v>203.67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36121.85</v>
      </c>
      <c r="T10" s="91">
        <f>5000+IFERROR(VLOOKUP($E:$E,'（居民）工资表-7月'!$E:$T,16,0),0)</f>
        <v>40000</v>
      </c>
      <c r="U10" s="91">
        <f>Q10+IFERROR(VLOOKUP($E:$E,'（居民）工资表-7月'!$E:$U,17,0),0)</f>
        <v>5080.39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-8958.54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69500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4472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25028</v>
      </c>
      <c r="AE11" s="96">
        <f>ROUND(MAX((AD11)*{0.03;0.1;0.2;0.25;0.3;0.35;0.45}-{0;2520;16920;31920;52920;85920;181920},0),2)</f>
        <v>750.84</v>
      </c>
      <c r="AF11" s="97">
        <f>IFERROR(VLOOKUP(E:E,'（居民）工资表-7月'!E:AF,28,0)+VLOOKUP(E:E,'（居民）工资表-7月'!E:AG,29,0),0)</f>
        <v>647.61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57500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6176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11324</v>
      </c>
      <c r="AE12" s="96">
        <f>ROUND(MAX((AD12)*{0.03;0.1;0.2;0.25;0.3;0.35;0.45}-{0;2520;16920;31920;52920;85920;181920},0),2)</f>
        <v>339.72</v>
      </c>
      <c r="AF12" s="97">
        <f>IFERROR(VLOOKUP(E:E,'（居民）工资表-7月'!E:AF,28,0)+VLOOKUP(E:E,'（居民）工资表-7月'!E:AG,29,0),0)</f>
        <v>287.88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59608.7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6176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13432.7</v>
      </c>
      <c r="AE13" s="96">
        <f>ROUND(MAX((AD13)*{0.03;0.1;0.2;0.25;0.3;0.35;0.45}-{0;2520;16920;31920;52920;85920;181920},0),2)</f>
        <v>402.98</v>
      </c>
      <c r="AF13" s="97">
        <f>IFERROR(VLOOKUP(E:E,'（居民）工资表-7月'!E:AF,28,0)+VLOOKUP(E:E,'（居民）工资表-7月'!E:AG,29,0),0)</f>
        <v>336.14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55572.73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11659.73</v>
      </c>
      <c r="AE14" s="96">
        <f>ROUND(MAX((AD14)*{0.03;0.1;0.2;0.25;0.3;0.35;0.45}-{0;2520;16920;31920;52920;85920;181920},0),2)</f>
        <v>349.79</v>
      </c>
      <c r="AF14" s="97">
        <f>IFERROR(VLOOKUP(E:E,'（居民）工资表-7月'!E:AF,28,0)+VLOOKUP(E:E,'（居民）工资表-7月'!E:AG,29,0),0)</f>
        <v>320.61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48042.83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4876.57</v>
      </c>
      <c r="AE15" s="96">
        <f>ROUND(MAX((AD15)*{0.03;0.1;0.2;0.25;0.3;0.35;0.45}-{0;2520;16920;31920;52920;85920;181920},0),2)</f>
        <v>146.3</v>
      </c>
      <c r="AF15" s="97">
        <f>IFERROR(VLOOKUP(E:E,'（居民）工资表-7月'!E:AF,28,0)+VLOOKUP(E:E,'（居民）工资表-7月'!E:AG,29,0),0)</f>
        <v>151.6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48000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3800</v>
      </c>
      <c r="AE16" s="96">
        <f>ROUND(MAX((AD16)*{0.03;0.1;0.2;0.25;0.3;0.35;0.45}-{0;2520;16920;31920;52920;85920;181920},0),2)</f>
        <v>114</v>
      </c>
      <c r="AF16" s="97">
        <f>IFERROR(VLOOKUP(E:E,'（居民）工资表-7月'!E:AF,28,0)+VLOOKUP(E:E,'（居民）工资表-7月'!E:AG,29,0),0)</f>
        <v>99.75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67556.93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4749.39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27807.54</v>
      </c>
      <c r="AE17" s="96">
        <f>ROUND(MAX((AD17)*{0.03;0.1;0.2;0.25;0.3;0.35;0.45}-{0;2520;16920;31920;52920;85920;181920},0),2)</f>
        <v>834.23</v>
      </c>
      <c r="AF17" s="97">
        <f>IFERROR(VLOOKUP(E:E,'（居民）工资表-7月'!E:AF,28,0)+VLOOKUP(E:E,'（居民）工资表-7月'!E:AG,29,0),0)</f>
        <v>700.06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1031533.34</v>
      </c>
      <c r="T20" s="74">
        <f t="shared" si="10"/>
        <v>580000</v>
      </c>
      <c r="U20" s="74">
        <f t="shared" si="10"/>
        <v>73643.28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377890.06</v>
      </c>
      <c r="AE20" s="74">
        <f t="shared" si="10"/>
        <v>27812.07</v>
      </c>
      <c r="AF20" s="74">
        <f t="shared" si="10"/>
        <v>19505.36</v>
      </c>
      <c r="AG20" s="74">
        <f t="shared" si="10"/>
        <v>8312.01</v>
      </c>
      <c r="AH20" s="74">
        <f t="shared" si="10"/>
        <v>118711.87</v>
      </c>
      <c r="AI20" s="74">
        <f t="shared" si="10"/>
        <v>0</v>
      </c>
      <c r="AJ20" s="74">
        <f t="shared" si="10"/>
        <v>118711.87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118711.87</v>
      </c>
      <c r="C25" s="48">
        <f>AG20</f>
        <v>8312.01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A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86.35</v>
      </c>
      <c r="O4" s="71">
        <v>11.98</v>
      </c>
      <c r="P4" s="71">
        <v>177</v>
      </c>
      <c r="Q4" s="89">
        <f>ROUND(SUM(M4:P4),2)</f>
        <v>594.79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5452.18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21547.82</v>
      </c>
      <c r="AE4" s="96">
        <f>ROUND(MAX((AD4)*{0.03;0.1;0.2;0.25;0.3;0.35;0.45}-{0;2520;16920;31920;52920;85920;181920},0),2)</f>
        <v>646.43</v>
      </c>
      <c r="AF4" s="97">
        <f>IFERROR(VLOOKUP(E:E,'（居民）工资表-8月'!E:AF,28,0)+VLOOKUP(E:E,'（居民）工资表-8月'!E:AG,29,0),0)</f>
        <v>574.28</v>
      </c>
      <c r="AG4" s="97">
        <f>AE4-AF4</f>
        <v>72.15</v>
      </c>
      <c r="AH4" s="107">
        <f>ROUND(IF((L4-Q4-AG4)&lt;0,0,(L4-Q4-AG4)),2)</f>
        <v>7333.06</v>
      </c>
      <c r="AI4" s="108"/>
      <c r="AJ4" s="107">
        <f>AH4+AI4</f>
        <v>7333.06</v>
      </c>
      <c r="AK4" s="109"/>
      <c r="AL4" s="107">
        <f>AJ4+AG4+AK4</f>
        <v>7405.21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ref="Q5:Q19" si="0">ROUND(SUM(M5:P5),2)</f>
        <v>655.8</v>
      </c>
      <c r="R5" s="70">
        <v>0</v>
      </c>
      <c r="S5" s="90">
        <f>L5+IFERROR(VLOOKUP($E:$E,'（居民）工资表-8月'!$E:$S,15,0),0)</f>
        <v>52500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5953.72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1546.28</v>
      </c>
      <c r="AE5" s="96">
        <f>ROUND(MAX((AD5)*{0.03;0.1;0.2;0.25;0.3;0.35;0.45}-{0;2520;16920;31920;52920;85920;181920},0),2)</f>
        <v>46.39</v>
      </c>
      <c r="AF5" s="97">
        <f>IFERROR(VLOOKUP(E:E,'（居民）工资表-8月'!E:AF,28,0)+VLOOKUP(E:E,'（居民）工资表-8月'!E:AG,29,0),0)</f>
        <v>45.06</v>
      </c>
      <c r="AG5" s="97">
        <f t="shared" ref="AG5:AG19" si="3">AE5-AF5</f>
        <v>1.33</v>
      </c>
      <c r="AH5" s="107">
        <f t="shared" ref="AH5:AH19" si="4">ROUND(IF((L5-Q5-AG5)&lt;0,0,(L5-Q5-AG5)),2)</f>
        <v>5042.87</v>
      </c>
      <c r="AI5" s="108"/>
      <c r="AJ5" s="107">
        <f t="shared" ref="AJ5:AJ19" si="5">AH5+AI5</f>
        <v>5042.87</v>
      </c>
      <c r="AK5" s="109"/>
      <c r="AL5" s="107">
        <f t="shared" ref="AL5:AL19" si="6">AJ5+AG5+AK5</f>
        <v>5044.2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181.3</v>
      </c>
      <c r="Q6" s="89">
        <f t="shared" si="0"/>
        <v>948.85</v>
      </c>
      <c r="R6" s="70">
        <v>0</v>
      </c>
      <c r="S6" s="90">
        <f>L6+IFERROR(VLOOKUP($E:$E,'（居民）工资表-8月'!$E:$S,15,0),0)</f>
        <v>272040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8552.79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218487.21</v>
      </c>
      <c r="AE6" s="96">
        <f>ROUND(MAX((AD6)*{0.03;0.1;0.2;0.25;0.3;0.35;0.45}-{0;2520;16920;31920;52920;85920;181920},0),2)</f>
        <v>26777.44</v>
      </c>
      <c r="AF6" s="97">
        <f>IFERROR(VLOOKUP(E:E,'（居民）工资表-8月'!E:AF,28,0)+VLOOKUP(E:E,'（居民）工资表-8月'!E:AG,29,0),0)</f>
        <v>21655.21</v>
      </c>
      <c r="AG6" s="97">
        <f t="shared" si="3"/>
        <v>5122.23</v>
      </c>
      <c r="AH6" s="107">
        <f t="shared" si="4"/>
        <v>25488.92</v>
      </c>
      <c r="AI6" s="108"/>
      <c r="AJ6" s="107">
        <f t="shared" si="5"/>
        <v>25488.92</v>
      </c>
      <c r="AK6" s="109"/>
      <c r="AL6" s="107">
        <f t="shared" si="6"/>
        <v>30611.15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9600</v>
      </c>
      <c r="M7" s="71">
        <v>306.56</v>
      </c>
      <c r="N7" s="71">
        <v>84.64</v>
      </c>
      <c r="O7" s="71">
        <v>19.16</v>
      </c>
      <c r="P7" s="71">
        <v>97</v>
      </c>
      <c r="Q7" s="89">
        <f t="shared" si="0"/>
        <v>507.36</v>
      </c>
      <c r="R7" s="70">
        <v>0</v>
      </c>
      <c r="S7" s="90">
        <f>L7+IFERROR(VLOOKUP($E:$E,'（居民）工资表-8月'!$E:$S,15,0),0)</f>
        <v>80600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4729.04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30870.96</v>
      </c>
      <c r="AE7" s="96">
        <f>ROUND(MAX((AD7)*{0.03;0.1;0.2;0.25;0.3;0.35;0.45}-{0;2520;16920;31920;52920;85920;181920},0),2)</f>
        <v>926.13</v>
      </c>
      <c r="AF7" s="97">
        <f>IFERROR(VLOOKUP(E:E,'（居民）工资表-8月'!E:AF,28,0)+VLOOKUP(E:E,'（居民）工资表-8月'!E:AG,29,0),0)</f>
        <v>803.35</v>
      </c>
      <c r="AG7" s="97">
        <f t="shared" si="3"/>
        <v>122.78</v>
      </c>
      <c r="AH7" s="107">
        <f t="shared" si="4"/>
        <v>8969.86</v>
      </c>
      <c r="AI7" s="108"/>
      <c r="AJ7" s="107">
        <f t="shared" si="5"/>
        <v>8969.86</v>
      </c>
      <c r="AK7" s="109"/>
      <c r="AL7" s="107">
        <f t="shared" si="6"/>
        <v>9092.64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306.56</v>
      </c>
      <c r="N8" s="71">
        <v>82.64</v>
      </c>
      <c r="O8" s="71">
        <v>19.16</v>
      </c>
      <c r="P8" s="71">
        <v>172</v>
      </c>
      <c r="Q8" s="89">
        <f t="shared" si="0"/>
        <v>580.36</v>
      </c>
      <c r="R8" s="70">
        <v>0</v>
      </c>
      <c r="S8" s="90">
        <f>L8+IFERROR(VLOOKUP($E:$E,'（居民）工资表-8月'!$E:$S,15,0),0)</f>
        <v>98100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6756.36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46343.64</v>
      </c>
      <c r="AE8" s="96">
        <f>ROUND(MAX((AD8)*{0.03;0.1;0.2;0.25;0.3;0.35;0.45}-{0;2520;16920;31920;52920;85920;181920},0),2)</f>
        <v>2114.36</v>
      </c>
      <c r="AF8" s="97">
        <f>IFERROR(VLOOKUP(E:E,'（居民）工资表-8月'!E:AF,28,0)+VLOOKUP(E:E,'（居民）工资表-8月'!E:AG,29,0),0)</f>
        <v>1562.4</v>
      </c>
      <c r="AG8" s="97">
        <f t="shared" si="3"/>
        <v>551.96</v>
      </c>
      <c r="AH8" s="107">
        <f t="shared" si="4"/>
        <v>9967.68</v>
      </c>
      <c r="AI8" s="108"/>
      <c r="AJ8" s="107">
        <f t="shared" si="5"/>
        <v>9967.68</v>
      </c>
      <c r="AK8" s="109"/>
      <c r="AL8" s="107">
        <f t="shared" si="6"/>
        <v>10519.64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86.72</v>
      </c>
      <c r="O9" s="71">
        <v>11.84</v>
      </c>
      <c r="P9" s="71">
        <v>100</v>
      </c>
      <c r="Q9" s="89">
        <f t="shared" si="0"/>
        <v>514.16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4752.05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8747.95</v>
      </c>
      <c r="AE9" s="96">
        <f>ROUND(MAX((AD9)*{0.03;0.1;0.2;0.25;0.3;0.35;0.45}-{0;2520;16920;31920;52920;85920;181920},0),2)</f>
        <v>262.44</v>
      </c>
      <c r="AF9" s="97">
        <f>IFERROR(VLOOKUP(E:E,'（居民）工资表-8月'!E:AF,28,0)+VLOOKUP(E:E,'（居民）工资表-8月'!E:AG,29,0),0)</f>
        <v>232.86</v>
      </c>
      <c r="AG9" s="97">
        <f t="shared" si="3"/>
        <v>29.58</v>
      </c>
      <c r="AH9" s="107">
        <f t="shared" si="4"/>
        <v>5956.26</v>
      </c>
      <c r="AI9" s="108"/>
      <c r="AJ9" s="107">
        <f t="shared" si="5"/>
        <v>5956.26</v>
      </c>
      <c r="AK9" s="109"/>
      <c r="AL9" s="107">
        <f t="shared" si="6"/>
        <v>5985.84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445.36</v>
      </c>
      <c r="N10" s="71">
        <v>116.34</v>
      </c>
      <c r="O10" s="71">
        <v>27.84</v>
      </c>
      <c r="P10" s="71">
        <v>105</v>
      </c>
      <c r="Q10" s="89">
        <f t="shared" si="0"/>
        <v>694.54</v>
      </c>
      <c r="R10" s="70">
        <v>0</v>
      </c>
      <c r="S10" s="90">
        <f>L10+IFERROR(VLOOKUP($E:$E,'（居民）工资表-8月'!$E:$S,15,0),0)</f>
        <v>5500</v>
      </c>
      <c r="T10" s="91">
        <f>5000+IFERROR(VLOOKUP($E:$E,'（居民）工资表-8月'!$E:$T,16,0),0)</f>
        <v>5000</v>
      </c>
      <c r="U10" s="91">
        <f>Q10+IFERROR(VLOOKUP($E:$E,'（居民）工资表-8月'!$E:$U,17,0),0)</f>
        <v>694.54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-194.54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4805.46</v>
      </c>
      <c r="AI10" s="108"/>
      <c r="AJ10" s="107">
        <f t="shared" si="5"/>
        <v>4805.46</v>
      </c>
      <c r="AK10" s="109"/>
      <c r="AL10" s="107">
        <f t="shared" si="6"/>
        <v>4805.46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109</v>
      </c>
      <c r="O11" s="71">
        <v>22</v>
      </c>
      <c r="P11" s="71">
        <v>109</v>
      </c>
      <c r="Q11" s="89">
        <f t="shared" si="0"/>
        <v>592</v>
      </c>
      <c r="R11" s="70">
        <v>0</v>
      </c>
      <c r="S11" s="90">
        <f>L11+IFERROR(VLOOKUP($E:$E,'（居民）工资表-8月'!$E:$S,15,0),0)</f>
        <v>40720.65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5672.39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-9951.74</v>
      </c>
      <c r="AE11" s="96">
        <f>ROUND(MAX((AD11)*{0.03;0.1;0.2;0.25;0.3;0.35;0.45}-{0;2520;16920;31920;52920;85920;181920},0),2)</f>
        <v>0</v>
      </c>
      <c r="AF11" s="97">
        <f>IFERROR(VLOOKUP(E:E,'（居民）工资表-8月'!E:AF,28,0)+VLOOKUP(E:E,'（居民）工资表-8月'!E:AG,29,0),0)</f>
        <v>0</v>
      </c>
      <c r="AG11" s="97">
        <f t="shared" si="3"/>
        <v>0</v>
      </c>
      <c r="AH11" s="107">
        <f t="shared" si="4"/>
        <v>4006.8</v>
      </c>
      <c r="AI11" s="108"/>
      <c r="AJ11" s="107">
        <f t="shared" si="5"/>
        <v>4006.8</v>
      </c>
      <c r="AK11" s="109"/>
      <c r="AL11" s="107">
        <f t="shared" si="6"/>
        <v>4006.8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306.56</v>
      </c>
      <c r="N12" s="71">
        <v>112.49</v>
      </c>
      <c r="O12" s="71">
        <v>19.16</v>
      </c>
      <c r="P12" s="71">
        <v>97</v>
      </c>
      <c r="Q12" s="89">
        <f t="shared" si="0"/>
        <v>535.21</v>
      </c>
      <c r="R12" s="70">
        <v>0</v>
      </c>
      <c r="S12" s="90">
        <f>L12+IFERROR(VLOOKUP($E:$E,'（居民）工资表-8月'!$E:$S,15,0),0)</f>
        <v>80500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5007.21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30492.79</v>
      </c>
      <c r="AE12" s="96">
        <f>ROUND(MAX((AD12)*{0.03;0.1;0.2;0.25;0.3;0.35;0.45}-{0;2520;16920;31920;52920;85920;181920},0),2)</f>
        <v>914.78</v>
      </c>
      <c r="AF12" s="97">
        <f>IFERROR(VLOOKUP(E:E,'（居民）工资表-8月'!E:AF,28,0)+VLOOKUP(E:E,'（居民）工资表-8月'!E:AG,29,0),0)</f>
        <v>750.84</v>
      </c>
      <c r="AG12" s="97">
        <f t="shared" si="3"/>
        <v>163.94</v>
      </c>
      <c r="AH12" s="107">
        <f t="shared" si="4"/>
        <v>10300.85</v>
      </c>
      <c r="AI12" s="108"/>
      <c r="AJ12" s="107">
        <f t="shared" si="5"/>
        <v>10300.85</v>
      </c>
      <c r="AK12" s="109"/>
      <c r="AL12" s="107">
        <f t="shared" si="6"/>
        <v>10464.79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8434.78</v>
      </c>
      <c r="M13" s="71">
        <v>306.56</v>
      </c>
      <c r="N13" s="71">
        <v>82.64</v>
      </c>
      <c r="O13" s="71">
        <v>19.16</v>
      </c>
      <c r="P13" s="71">
        <v>172</v>
      </c>
      <c r="Q13" s="89">
        <f t="shared" si="0"/>
        <v>580.36</v>
      </c>
      <c r="R13" s="70">
        <v>0</v>
      </c>
      <c r="S13" s="90">
        <f>L13+IFERROR(VLOOKUP($E:$E,'（居民）工资表-8月'!$E:$S,15,0),0)</f>
        <v>65934.78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6756.36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14178.42</v>
      </c>
      <c r="AE13" s="96">
        <f>ROUND(MAX((AD13)*{0.03;0.1;0.2;0.25;0.3;0.35;0.45}-{0;2520;16920;31920;52920;85920;181920},0),2)</f>
        <v>425.35</v>
      </c>
      <c r="AF13" s="97">
        <f>IFERROR(VLOOKUP(E:E,'（居民）工资表-8月'!E:AF,28,0)+VLOOKUP(E:E,'（居民）工资表-8月'!E:AG,29,0),0)</f>
        <v>339.72</v>
      </c>
      <c r="AG13" s="97">
        <f t="shared" si="3"/>
        <v>85.63</v>
      </c>
      <c r="AH13" s="107">
        <f t="shared" si="4"/>
        <v>7768.79</v>
      </c>
      <c r="AI13" s="108"/>
      <c r="AJ13" s="107">
        <f t="shared" si="5"/>
        <v>7768.79</v>
      </c>
      <c r="AK13" s="109"/>
      <c r="AL13" s="107">
        <f t="shared" si="6"/>
        <v>7854.42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306.56</v>
      </c>
      <c r="N14" s="71">
        <v>82.64</v>
      </c>
      <c r="O14" s="71">
        <v>19.16</v>
      </c>
      <c r="P14" s="71">
        <v>172</v>
      </c>
      <c r="Q14" s="89">
        <f t="shared" si="0"/>
        <v>580.36</v>
      </c>
      <c r="R14" s="70">
        <v>0</v>
      </c>
      <c r="S14" s="90">
        <f>L14+IFERROR(VLOOKUP($E:$E,'（居民）工资表-8月'!$E:$S,15,0),0)</f>
        <v>69408.7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6756.36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17652.34</v>
      </c>
      <c r="AE14" s="96">
        <f>ROUND(MAX((AD14)*{0.03;0.1;0.2;0.25;0.3;0.35;0.45}-{0;2520;16920;31920;52920;85920;181920},0),2)</f>
        <v>529.57</v>
      </c>
      <c r="AF14" s="97">
        <f>IFERROR(VLOOKUP(E:E,'（居民）工资表-8月'!E:AF,28,0)+VLOOKUP(E:E,'（居民）工资表-8月'!E:AG,29,0),0)</f>
        <v>402.98</v>
      </c>
      <c r="AG14" s="97">
        <f t="shared" si="3"/>
        <v>126.59</v>
      </c>
      <c r="AH14" s="107">
        <f t="shared" si="4"/>
        <v>9093.05</v>
      </c>
      <c r="AI14" s="108"/>
      <c r="AJ14" s="107">
        <f t="shared" si="5"/>
        <v>9093.05</v>
      </c>
      <c r="AK14" s="109"/>
      <c r="AL14" s="107">
        <f t="shared" si="6"/>
        <v>9219.64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7900</v>
      </c>
      <c r="M15" s="71">
        <v>306.56</v>
      </c>
      <c r="N15" s="71">
        <v>112.49</v>
      </c>
      <c r="O15" s="71">
        <v>19.16</v>
      </c>
      <c r="P15" s="71">
        <v>97</v>
      </c>
      <c r="Q15" s="89">
        <f t="shared" si="0"/>
        <v>535.21</v>
      </c>
      <c r="R15" s="70">
        <v>0</v>
      </c>
      <c r="S15" s="90">
        <f>L15+IFERROR(VLOOKUP($E:$E,'（居民）工资表-8月'!$E:$S,15,0),0)</f>
        <v>63472.73</v>
      </c>
      <c r="T15" s="91">
        <f>5000+IFERROR(VLOOKUP($E:$E,'（居民）工资表-8月'!$E:$T,16,0),0)</f>
        <v>45000</v>
      </c>
      <c r="U15" s="91">
        <f>Q15+IFERROR(VLOOKUP($E:$E,'（居民）工资表-8月'!$E:$U,17,0),0)</f>
        <v>4448.21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14024.52</v>
      </c>
      <c r="AE15" s="96">
        <f>ROUND(MAX((AD15)*{0.03;0.1;0.2;0.25;0.3;0.35;0.45}-{0;2520;16920;31920;52920;85920;181920},0),2)</f>
        <v>420.74</v>
      </c>
      <c r="AF15" s="97">
        <f>IFERROR(VLOOKUP(E:E,'（居民）工资表-8月'!E:AF,28,0)+VLOOKUP(E:E,'（居民）工资表-8月'!E:AG,29,0),0)</f>
        <v>349.79</v>
      </c>
      <c r="AG15" s="97">
        <f t="shared" si="3"/>
        <v>70.95</v>
      </c>
      <c r="AH15" s="107">
        <f t="shared" si="4"/>
        <v>7293.84</v>
      </c>
      <c r="AI15" s="108"/>
      <c r="AJ15" s="107">
        <f t="shared" si="5"/>
        <v>7293.84</v>
      </c>
      <c r="AK15" s="109"/>
      <c r="AL15" s="107">
        <f t="shared" si="6"/>
        <v>7364.79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7060</v>
      </c>
      <c r="M16" s="71">
        <v>306.56</v>
      </c>
      <c r="N16" s="71">
        <v>84.64</v>
      </c>
      <c r="O16" s="71">
        <v>19.16</v>
      </c>
      <c r="P16" s="71">
        <v>97</v>
      </c>
      <c r="Q16" s="89">
        <f t="shared" si="0"/>
        <v>507.36</v>
      </c>
      <c r="R16" s="70">
        <v>0</v>
      </c>
      <c r="S16" s="90">
        <f>L16+IFERROR(VLOOKUP($E:$E,'（居民）工资表-8月'!$E:$S,15,0),0)</f>
        <v>55102.83</v>
      </c>
      <c r="T16" s="91">
        <f>5000+IFERROR(VLOOKUP($E:$E,'（居民）工资表-8月'!$E:$T,16,0),0)</f>
        <v>45000</v>
      </c>
      <c r="U16" s="91">
        <f>Q16+IFERROR(VLOOKUP($E:$E,'（居民）工资表-8月'!$E:$U,17,0),0)</f>
        <v>3673.62</v>
      </c>
      <c r="V16" s="70"/>
      <c r="W16" s="129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R16+IFERROR(VLOOKUP($E:$E,'（居民）工资表-8月'!$E:$AC,25,0),0)</f>
        <v>0</v>
      </c>
      <c r="AD16" s="95">
        <f t="shared" si="2"/>
        <v>6429.21</v>
      </c>
      <c r="AE16" s="96">
        <f>ROUND(MAX((AD16)*{0.03;0.1;0.2;0.25;0.3;0.35;0.45}-{0;2520;16920;31920;52920;85920;181920},0),2)</f>
        <v>192.88</v>
      </c>
      <c r="AF16" s="97">
        <f>IFERROR(VLOOKUP(E:E,'（居民）工资表-8月'!E:AF,28,0)+VLOOKUP(E:E,'（居民）工资表-8月'!E:AG,29,0),0)</f>
        <v>151.6</v>
      </c>
      <c r="AG16" s="97">
        <f t="shared" si="3"/>
        <v>41.28</v>
      </c>
      <c r="AH16" s="107">
        <f t="shared" si="4"/>
        <v>6511.36</v>
      </c>
      <c r="AI16" s="108"/>
      <c r="AJ16" s="107">
        <f t="shared" si="5"/>
        <v>6511.36</v>
      </c>
      <c r="AK16" s="109"/>
      <c r="AL16" s="107">
        <f t="shared" si="6"/>
        <v>6552.64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86.72</v>
      </c>
      <c r="O17" s="71">
        <v>11.84</v>
      </c>
      <c r="P17" s="71">
        <v>175</v>
      </c>
      <c r="Q17" s="89">
        <f t="shared" si="0"/>
        <v>589.16</v>
      </c>
      <c r="R17" s="70">
        <v>0</v>
      </c>
      <c r="S17" s="90">
        <f>L17+IFERROR(VLOOKUP($E:$E,'（居民）工资表-8月'!$E:$S,15,0),0)</f>
        <v>8060</v>
      </c>
      <c r="T17" s="91">
        <f>5000+IFERROR(VLOOKUP($E:$E,'（居民）工资表-8月'!$E:$T,16,0),0)</f>
        <v>5000</v>
      </c>
      <c r="U17" s="91">
        <f>Q17+IFERROR(VLOOKUP($E:$E,'（居民）工资表-8月'!$E:$U,17,0),0)</f>
        <v>589.16</v>
      </c>
      <c r="V17" s="70"/>
      <c r="W17" s="129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R17+IFERROR(VLOOKUP($E:$E,'（居民）工资表-8月'!$E:$AC,25,0),0)</f>
        <v>0</v>
      </c>
      <c r="AD17" s="95">
        <f t="shared" si="2"/>
        <v>2470.84</v>
      </c>
      <c r="AE17" s="96">
        <f>ROUND(MAX((AD17)*{0.03;0.1;0.2;0.25;0.3;0.35;0.45}-{0;2520;16920;31920;52920;85920;181920},0),2)</f>
        <v>74.13</v>
      </c>
      <c r="AF17" s="97">
        <f>IFERROR(VLOOKUP(E:E,'（居民）工资表-8月'!E:AF,28,0)+VLOOKUP(E:E,'（居民）工资表-8月'!E:AG,29,0),0)</f>
        <v>0</v>
      </c>
      <c r="AG17" s="97">
        <f t="shared" si="3"/>
        <v>74.13</v>
      </c>
      <c r="AH17" s="107">
        <f t="shared" si="4"/>
        <v>7396.71</v>
      </c>
      <c r="AI17" s="108"/>
      <c r="AJ17" s="107">
        <f t="shared" si="5"/>
        <v>7396.71</v>
      </c>
      <c r="AK17" s="109"/>
      <c r="AL17" s="107">
        <f t="shared" si="6"/>
        <v>7470.84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6600</v>
      </c>
      <c r="M18" s="71">
        <v>306.56</v>
      </c>
      <c r="N18" s="71">
        <v>76.64</v>
      </c>
      <c r="O18" s="71">
        <v>19.16</v>
      </c>
      <c r="P18" s="71">
        <v>103</v>
      </c>
      <c r="Q18" s="89">
        <f t="shared" si="0"/>
        <v>505.36</v>
      </c>
      <c r="R18" s="70">
        <v>0</v>
      </c>
      <c r="S18" s="90">
        <f>L18+IFERROR(VLOOKUP($E:$E,'（居民）工资表-8月'!$E:$S,15,0),0)</f>
        <v>54600</v>
      </c>
      <c r="T18" s="91">
        <f>5000+IFERROR(VLOOKUP($E:$E,'（居民）工资表-8月'!$E:$T,16,0),0)</f>
        <v>45000</v>
      </c>
      <c r="U18" s="91">
        <f>Q18+IFERROR(VLOOKUP($E:$E,'（居民）工资表-8月'!$E:$U,17,0),0)</f>
        <v>4705.36</v>
      </c>
      <c r="V18" s="70"/>
      <c r="W18" s="129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R18+IFERROR(VLOOKUP($E:$E,'（居民）工资表-8月'!$E:$AC,25,0),0)</f>
        <v>0</v>
      </c>
      <c r="AD18" s="95">
        <f t="shared" si="2"/>
        <v>4894.64</v>
      </c>
      <c r="AE18" s="96">
        <f>ROUND(MAX((AD18)*{0.03;0.1;0.2;0.25;0.3;0.35;0.45}-{0;2520;16920;31920;52920;85920;181920},0),2)</f>
        <v>146.84</v>
      </c>
      <c r="AF18" s="97">
        <f>IFERROR(VLOOKUP(E:E,'（居民）工资表-8月'!E:AF,28,0)+VLOOKUP(E:E,'（居民）工资表-8月'!E:AG,29,0),0)</f>
        <v>114</v>
      </c>
      <c r="AG18" s="97">
        <f t="shared" si="3"/>
        <v>32.84</v>
      </c>
      <c r="AH18" s="107">
        <f t="shared" si="4"/>
        <v>6061.8</v>
      </c>
      <c r="AI18" s="108"/>
      <c r="AJ18" s="107">
        <f t="shared" si="5"/>
        <v>6061.8</v>
      </c>
      <c r="AK18" s="109"/>
      <c r="AL18" s="107">
        <f t="shared" si="6"/>
        <v>6094.64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 t="shared" si="8"/>
        <v>不</v>
      </c>
      <c r="AT18" s="116" t="str">
        <f t="shared" si="9"/>
        <v>重复</v>
      </c>
    </row>
    <row r="19" s="12" customFormat="1" ht="18" customHeight="1" spans="1:46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4377.04</v>
      </c>
      <c r="M19" s="71">
        <v>326.16</v>
      </c>
      <c r="N19" s="71">
        <v>88.54</v>
      </c>
      <c r="O19" s="71">
        <v>12.23</v>
      </c>
      <c r="P19" s="71">
        <v>100.5</v>
      </c>
      <c r="Q19" s="89">
        <f t="shared" si="0"/>
        <v>527.43</v>
      </c>
      <c r="R19" s="70">
        <v>0</v>
      </c>
      <c r="S19" s="90">
        <f>L19+IFERROR(VLOOKUP($E:$E,'（居民）工资表-8月'!$E:$S,15,0),0)</f>
        <v>4377.04</v>
      </c>
      <c r="T19" s="91">
        <f>5000+IFERROR(VLOOKUP($E:$E,'（居民）工资表-8月'!$E:$T,16,0),0)</f>
        <v>5000</v>
      </c>
      <c r="U19" s="91">
        <f>Q19+IFERROR(VLOOKUP($E:$E,'（居民）工资表-8月'!$E:$U,17,0),0)</f>
        <v>527.43</v>
      </c>
      <c r="V19" s="70"/>
      <c r="W19" s="129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R19+IFERROR(VLOOKUP($E:$E,'（居民）工资表-8月'!$E:$AC,25,0),0)</f>
        <v>0</v>
      </c>
      <c r="AD19" s="95">
        <f t="shared" si="2"/>
        <v>-1150.39</v>
      </c>
      <c r="AE19" s="96">
        <f>ROUND(MAX((AD19)*{0.03;0.1;0.2;0.25;0.3;0.35;0.45}-{0;2520;16920;31920;52920;85920;181920},0),2)</f>
        <v>0</v>
      </c>
      <c r="AF19" s="97">
        <f>IFERROR(VLOOKUP(E:E,'（居民）工资表-8月'!E:AF,28,0)+VLOOKUP(E:E,'（居民）工资表-8月'!E:AG,29,0),0)</f>
        <v>0</v>
      </c>
      <c r="AG19" s="97">
        <f t="shared" si="3"/>
        <v>0</v>
      </c>
      <c r="AH19" s="107">
        <f t="shared" si="4"/>
        <v>3849.61</v>
      </c>
      <c r="AI19" s="108"/>
      <c r="AJ19" s="107">
        <f t="shared" si="5"/>
        <v>3849.61</v>
      </c>
      <c r="AK19" s="109"/>
      <c r="AL19" s="107">
        <f t="shared" si="6"/>
        <v>3849.61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 t="shared" si="8"/>
        <v>不</v>
      </c>
      <c r="AT19" s="116" t="str">
        <f t="shared" si="9"/>
        <v>重复</v>
      </c>
    </row>
    <row r="20" s="12" customFormat="1" ht="19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9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145790.62</v>
      </c>
      <c r="M21" s="74">
        <f>SUM(M4:M20)</f>
        <v>5534.18</v>
      </c>
      <c r="N21" s="74">
        <f>SUM(N4:N20)</f>
        <v>1552.17</v>
      </c>
      <c r="O21" s="74">
        <f t="shared" ref="O21:AL21" si="10">SUM(O4:O20)</f>
        <v>292.16</v>
      </c>
      <c r="P21" s="74">
        <f t="shared" si="10"/>
        <v>2069.8</v>
      </c>
      <c r="Q21" s="74">
        <f t="shared" si="10"/>
        <v>9448.31</v>
      </c>
      <c r="R21" s="74">
        <f t="shared" si="10"/>
        <v>0</v>
      </c>
      <c r="S21" s="74">
        <f t="shared" si="10"/>
        <v>1081416.73</v>
      </c>
      <c r="T21" s="74">
        <f t="shared" si="10"/>
        <v>600000</v>
      </c>
      <c r="U21" s="74">
        <f t="shared" si="10"/>
        <v>75026.78</v>
      </c>
      <c r="V21" s="74">
        <f t="shared" si="10"/>
        <v>0</v>
      </c>
      <c r="W21" s="74">
        <f t="shared" si="10"/>
        <v>0</v>
      </c>
      <c r="X21" s="74">
        <f t="shared" si="10"/>
        <v>0</v>
      </c>
      <c r="Y21" s="74">
        <f t="shared" si="10"/>
        <v>0</v>
      </c>
      <c r="Z21" s="74">
        <f t="shared" si="10"/>
        <v>0</v>
      </c>
      <c r="AA21" s="74">
        <f t="shared" si="10"/>
        <v>0</v>
      </c>
      <c r="AB21" s="74">
        <f t="shared" si="10"/>
        <v>0</v>
      </c>
      <c r="AC21" s="74">
        <f t="shared" si="10"/>
        <v>0</v>
      </c>
      <c r="AD21" s="74">
        <f t="shared" si="10"/>
        <v>406389.95</v>
      </c>
      <c r="AE21" s="74">
        <f t="shared" si="10"/>
        <v>33477.48</v>
      </c>
      <c r="AF21" s="74">
        <f t="shared" si="10"/>
        <v>26982.09</v>
      </c>
      <c r="AG21" s="74">
        <f t="shared" si="10"/>
        <v>6495.39</v>
      </c>
      <c r="AH21" s="74">
        <f t="shared" si="10"/>
        <v>129846.92</v>
      </c>
      <c r="AI21" s="74">
        <f t="shared" si="10"/>
        <v>0</v>
      </c>
      <c r="AJ21" s="74">
        <f t="shared" si="10"/>
        <v>129846.92</v>
      </c>
      <c r="AK21" s="74">
        <f t="shared" si="10"/>
        <v>0</v>
      </c>
      <c r="AL21" s="74">
        <f t="shared" si="10"/>
        <v>136342.31</v>
      </c>
      <c r="AM21" s="110"/>
      <c r="AN21" s="110"/>
      <c r="AO21" s="110"/>
      <c r="AP21" s="110"/>
      <c r="AQ21" s="110"/>
      <c r="AR21" s="45"/>
      <c r="AS21" s="45"/>
      <c r="AT21" s="118"/>
    </row>
    <row r="22" ht="19" customHeight="1"/>
    <row r="23" ht="19" customHeight="1"/>
    <row r="24" ht="19" customHeight="1" spans="30:30">
      <c r="AD24" s="101"/>
    </row>
    <row r="25" ht="19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9" customHeight="1" spans="2:5">
      <c r="B26" s="48">
        <f>AJ21</f>
        <v>129846.92</v>
      </c>
      <c r="C26" s="48">
        <f>AG21</f>
        <v>6495.39</v>
      </c>
      <c r="D26" s="48">
        <f>AK21</f>
        <v>0</v>
      </c>
      <c r="E26" s="48">
        <f>B26+C26+D26</f>
        <v>136342.31</v>
      </c>
    </row>
    <row r="27" ht="19" customHeight="1" spans="2:5">
      <c r="B27" s="49"/>
      <c r="C27" s="49"/>
      <c r="D27" s="49"/>
      <c r="E27" s="49"/>
    </row>
    <row r="28" s="14" customFormat="1" ht="19" customHeigh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ht="19" customHeigh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G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1" si="0">ROUND(SUM(M4:P4),2)</f>
        <v>588.3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6040.48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-40.48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646.43</v>
      </c>
      <c r="AG4" s="97">
        <f t="shared" ref="AG4:AG11" si="3">IF((AE4-AF4)&lt;0,0,AE4-AF4)</f>
        <v>0</v>
      </c>
      <c r="AH4" s="107">
        <f t="shared" ref="AH4:AH11" si="4">ROUND(IF((L4-Q4-AG4)&lt;0,0,(L4-Q4-AG4)),2)</f>
        <v>7411.7</v>
      </c>
      <c r="AI4" s="108"/>
      <c r="AJ4" s="107">
        <f t="shared" ref="AJ4:AJ11" si="5">AH4+AI4</f>
        <v>7411.7</v>
      </c>
      <c r="AK4" s="109"/>
      <c r="AL4" s="107">
        <f t="shared" ref="AL4:AL11" si="6">AJ4+AG4+AK4</f>
        <v>7411.7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L5+IFERROR(VLOOKUP($E:$E,'（居民）工资表-9月'!$E:$S,15,0),0)</f>
        <v>58200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6609.52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1590.48</v>
      </c>
      <c r="AE5" s="96">
        <f>ROUND(MAX((AD5)*{0.03;0.1;0.2;0.25;0.3;0.35;0.45}-{0;2520;16920;31920;52920;85920;181920},0),2)</f>
        <v>47.71</v>
      </c>
      <c r="AF5" s="97">
        <f>IFERROR(VLOOKUP(E:E,'（居民）工资表-9月'!E:AF,28,0)+VLOOKUP(E:E,'（居民）工资表-9月'!E:AG,29,0),0)</f>
        <v>46.39</v>
      </c>
      <c r="AG5" s="97">
        <f t="shared" si="3"/>
        <v>1.32</v>
      </c>
      <c r="AH5" s="107">
        <f t="shared" si="4"/>
        <v>5042.88</v>
      </c>
      <c r="AI5" s="108"/>
      <c r="AJ5" s="107">
        <f t="shared" si="5"/>
        <v>5042.88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L6+IFERROR(VLOOKUP($E:$E,'（居民）工资表-9月'!$E:$S,15,0),0)</f>
        <v>303600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9501.34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244098.66</v>
      </c>
      <c r="AE6" s="96">
        <f>ROUND(MAX((AD6)*{0.03;0.1;0.2;0.25;0.3;0.35;0.45}-{0;2520;16920;31920;52920;85920;181920},0),2)</f>
        <v>31899.73</v>
      </c>
      <c r="AF6" s="97">
        <f>IFERROR(VLOOKUP(E:E,'（居民）工资表-9月'!E:AF,28,0)+VLOOKUP(E:E,'（居民）工资表-9月'!E:AG,29,0),0)</f>
        <v>26777.44</v>
      </c>
      <c r="AG6" s="97">
        <f t="shared" si="3"/>
        <v>5122.29</v>
      </c>
      <c r="AH6" s="107">
        <f t="shared" si="4"/>
        <v>25489.16</v>
      </c>
      <c r="AI6" s="108"/>
      <c r="AJ6" s="107">
        <f t="shared" si="5"/>
        <v>25489.16</v>
      </c>
      <c r="AK6" s="109"/>
      <c r="AL6" s="107">
        <f t="shared" si="6"/>
        <v>30611.45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9500</v>
      </c>
      <c r="M7" s="71">
        <v>471.12</v>
      </c>
      <c r="N7" s="71">
        <v>125.78</v>
      </c>
      <c r="O7" s="71">
        <v>29.45</v>
      </c>
      <c r="P7" s="71">
        <v>97</v>
      </c>
      <c r="Q7" s="89">
        <f t="shared" si="0"/>
        <v>723.35</v>
      </c>
      <c r="R7" s="70">
        <v>0</v>
      </c>
      <c r="S7" s="90">
        <f>L7+IFERROR(VLOOKUP($E:$E,'（居民）工资表-9月'!$E:$S,15,0),0)</f>
        <v>90100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5452.39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34647.61</v>
      </c>
      <c r="AE7" s="96">
        <f>ROUND(MAX((AD7)*{0.03;0.1;0.2;0.25;0.3;0.35;0.45}-{0;2520;16920;31920;52920;85920;181920},0),2)</f>
        <v>1039.43</v>
      </c>
      <c r="AF7" s="97">
        <f>IFERROR(VLOOKUP(E:E,'（居民）工资表-9月'!E:AF,28,0)+VLOOKUP(E:E,'（居民）工资表-9月'!E:AG,29,0),0)</f>
        <v>926.13</v>
      </c>
      <c r="AG7" s="97">
        <f t="shared" si="3"/>
        <v>113.3</v>
      </c>
      <c r="AH7" s="107">
        <f t="shared" si="4"/>
        <v>8663.35</v>
      </c>
      <c r="AI7" s="108"/>
      <c r="AJ7" s="107">
        <f t="shared" si="5"/>
        <v>8663.35</v>
      </c>
      <c r="AK7" s="109"/>
      <c r="AL7" s="107">
        <f t="shared" si="6"/>
        <v>8776.65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471.12</v>
      </c>
      <c r="N8" s="71">
        <v>123.78</v>
      </c>
      <c r="O8" s="71">
        <v>29.45</v>
      </c>
      <c r="P8" s="71">
        <v>172</v>
      </c>
      <c r="Q8" s="89">
        <f t="shared" si="0"/>
        <v>796.35</v>
      </c>
      <c r="R8" s="70">
        <v>0</v>
      </c>
      <c r="S8" s="90">
        <f>L8+IFERROR(VLOOKUP($E:$E,'（居民）工资表-9月'!$E:$S,15,0),0)</f>
        <v>109200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7552.71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51647.29</v>
      </c>
      <c r="AE8" s="96">
        <f>ROUND(MAX((AD8)*{0.03;0.1;0.2;0.25;0.3;0.35;0.45}-{0;2520;16920;31920;52920;85920;181920},0),2)</f>
        <v>2644.73</v>
      </c>
      <c r="AF8" s="97">
        <f>IFERROR(VLOOKUP(E:E,'（居民）工资表-9月'!E:AF,28,0)+VLOOKUP(E:E,'（居民）工资表-9月'!E:AG,29,0),0)</f>
        <v>2114.36</v>
      </c>
      <c r="AG8" s="97">
        <f t="shared" si="3"/>
        <v>530.37</v>
      </c>
      <c r="AH8" s="107">
        <f t="shared" si="4"/>
        <v>9773.28</v>
      </c>
      <c r="AI8" s="108"/>
      <c r="AJ8" s="107">
        <f t="shared" si="5"/>
        <v>9773.28</v>
      </c>
      <c r="AK8" s="109"/>
      <c r="AL8" s="107">
        <f t="shared" si="6"/>
        <v>10303.65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97.76</v>
      </c>
      <c r="O9" s="71">
        <v>11.84</v>
      </c>
      <c r="P9" s="71">
        <v>100</v>
      </c>
      <c r="Q9" s="89">
        <f t="shared" si="0"/>
        <v>525.2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5277.25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9722.75</v>
      </c>
      <c r="AE9" s="96">
        <f>ROUND(MAX((AD9)*{0.03;0.1;0.2;0.25;0.3;0.35;0.45}-{0;2520;16920;31920;52920;85920;181920},0),2)</f>
        <v>291.68</v>
      </c>
      <c r="AF9" s="97">
        <f>IFERROR(VLOOKUP(E:E,'（居民）工资表-9月'!E:AF,28,0)+VLOOKUP(E:E,'（居民）工资表-9月'!E:AG,29,0),0)</f>
        <v>262.44</v>
      </c>
      <c r="AG9" s="97">
        <f t="shared" si="3"/>
        <v>29.24</v>
      </c>
      <c r="AH9" s="107">
        <f t="shared" si="4"/>
        <v>5945.56</v>
      </c>
      <c r="AI9" s="108"/>
      <c r="AJ9" s="107">
        <f t="shared" si="5"/>
        <v>5945.56</v>
      </c>
      <c r="AK9" s="109"/>
      <c r="AL9" s="107">
        <f t="shared" si="6"/>
        <v>5974.8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L10+IFERROR(VLOOKUP($E:$E,'（居民）工资表-9月'!$E:$S,15,0),0)</f>
        <v>11000</v>
      </c>
      <c r="T10" s="91">
        <f>5000+IFERROR(VLOOKUP($E:$E,'（居民）工资表-9月'!$E:$T,16,0),0)</f>
        <v>10000</v>
      </c>
      <c r="U10" s="91">
        <f>Q10+IFERROR(VLOOKUP($E:$E,'（居民）工资表-9月'!$E:$U,17,0),0)</f>
        <v>1236.93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-236.93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214</v>
      </c>
    </row>
    <row r="11" s="12" customFormat="1" ht="18" customHeight="1" spans="1:49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ref="Q11:Q19" si="10">ROUND(SUM(M11:P11),2)</f>
        <v>593</v>
      </c>
      <c r="R11" s="70">
        <v>0</v>
      </c>
      <c r="S11" s="90">
        <f>L11+IFERROR(VLOOKUP($E:$E,'（居民）工资表-9月'!$E:$S,15,0),0)</f>
        <v>45319.45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6265.39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-10945.94</v>
      </c>
      <c r="AE11" s="96">
        <f>ROUND(MAX((AD11)*{0.03;0.1;0.2;0.25;0.3;0.35;0.45}-{0;2520;16920;31920;52920;85920;181920},0),2)</f>
        <v>0</v>
      </c>
      <c r="AF11" s="97">
        <f>IFERROR(VLOOKUP(E:E,'（居民）工资表-9月'!E:AF,28,0)+VLOOKUP(E:E,'（居民）工资表-9月'!E:AG,29,0),0)</f>
        <v>0</v>
      </c>
      <c r="AG11" s="97">
        <f t="shared" ref="AG11:AG19" si="13">IF((AE11-AF11)&lt;0,0,AE11-AF11)</f>
        <v>0</v>
      </c>
      <c r="AH11" s="107">
        <f t="shared" ref="AH11:AH19" si="14">ROUND(IF((L11-Q11-AG11)&lt;0,0,(L11-Q11-AG11)),2)</f>
        <v>4005.8</v>
      </c>
      <c r="AI11" s="108"/>
      <c r="AJ11" s="107">
        <f t="shared" ref="AJ11:AJ19" si="15">AH11+AI11</f>
        <v>4005.8</v>
      </c>
      <c r="AK11" s="109"/>
      <c r="AL11" s="107">
        <f t="shared" ref="AL11:AL19" si="16">AJ11+AG11+AK11</f>
        <v>4005.8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471.12</v>
      </c>
      <c r="N12" s="71">
        <v>153.63</v>
      </c>
      <c r="O12" s="71">
        <v>29.45</v>
      </c>
      <c r="P12" s="71">
        <v>97</v>
      </c>
      <c r="Q12" s="89">
        <f t="shared" si="10"/>
        <v>751.2</v>
      </c>
      <c r="R12" s="70">
        <v>0</v>
      </c>
      <c r="S12" s="90">
        <f>L12+IFERROR(VLOOKUP($E:$E,'（居民）工资表-9月'!$E:$S,15,0),0)</f>
        <v>91500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5758.41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35741.59</v>
      </c>
      <c r="AE12" s="96">
        <f>ROUND(MAX((AD12)*{0.03;0.1;0.2;0.25;0.3;0.35;0.45}-{0;2520;16920;31920;52920;85920;181920},0),2)</f>
        <v>1072.25</v>
      </c>
      <c r="AF12" s="97">
        <f>IFERROR(VLOOKUP(E:E,'（居民）工资表-9月'!E:AF,28,0)+VLOOKUP(E:E,'（居民）工资表-9月'!E:AG,29,0),0)</f>
        <v>914.78</v>
      </c>
      <c r="AG12" s="97">
        <f t="shared" si="13"/>
        <v>157.47</v>
      </c>
      <c r="AH12" s="107">
        <f t="shared" si="14"/>
        <v>10091.33</v>
      </c>
      <c r="AI12" s="108"/>
      <c r="AJ12" s="107">
        <f t="shared" si="15"/>
        <v>10091.33</v>
      </c>
      <c r="AK12" s="109"/>
      <c r="AL12" s="107">
        <f t="shared" si="16"/>
        <v>10248.8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9200</v>
      </c>
      <c r="M13" s="71">
        <v>471.12</v>
      </c>
      <c r="N13" s="71">
        <v>123.78</v>
      </c>
      <c r="O13" s="71">
        <v>29.45</v>
      </c>
      <c r="P13" s="71">
        <v>172</v>
      </c>
      <c r="Q13" s="89">
        <f t="shared" si="10"/>
        <v>796.35</v>
      </c>
      <c r="R13" s="70">
        <v>0</v>
      </c>
      <c r="S13" s="90">
        <f>L13+IFERROR(VLOOKUP($E:$E,'（居民）工资表-9月'!$E:$S,15,0),0)</f>
        <v>75134.78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7552.71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17582.07</v>
      </c>
      <c r="AE13" s="96">
        <f>ROUND(MAX((AD13)*{0.03;0.1;0.2;0.25;0.3;0.35;0.45}-{0;2520;16920;31920;52920;85920;181920},0),2)</f>
        <v>527.46</v>
      </c>
      <c r="AF13" s="97">
        <f>IFERROR(VLOOKUP(E:E,'（居民）工资表-9月'!E:AF,28,0)+VLOOKUP(E:E,'（居民）工资表-9月'!E:AG,29,0),0)</f>
        <v>425.35</v>
      </c>
      <c r="AG13" s="97">
        <f t="shared" si="13"/>
        <v>102.11</v>
      </c>
      <c r="AH13" s="107">
        <f t="shared" si="14"/>
        <v>8301.54</v>
      </c>
      <c r="AI13" s="108"/>
      <c r="AJ13" s="107">
        <f t="shared" si="15"/>
        <v>8301.54</v>
      </c>
      <c r="AK13" s="109"/>
      <c r="AL13" s="107">
        <f t="shared" si="16"/>
        <v>8403.65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471.12</v>
      </c>
      <c r="N14" s="71">
        <v>123.78</v>
      </c>
      <c r="O14" s="71">
        <v>29.45</v>
      </c>
      <c r="P14" s="71">
        <v>172</v>
      </c>
      <c r="Q14" s="89">
        <f t="shared" si="10"/>
        <v>796.35</v>
      </c>
      <c r="R14" s="70">
        <v>0</v>
      </c>
      <c r="S14" s="90">
        <f>L14+IFERROR(VLOOKUP($E:$E,'（居民）工资表-9月'!$E:$S,15,0),0)</f>
        <v>79208.7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7552.71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21655.99</v>
      </c>
      <c r="AE14" s="96">
        <f>ROUND(MAX((AD14)*{0.03;0.1;0.2;0.25;0.3;0.35;0.45}-{0;2520;16920;31920;52920;85920;181920},0),2)</f>
        <v>649.68</v>
      </c>
      <c r="AF14" s="97">
        <f>IFERROR(VLOOKUP(E:E,'（居民）工资表-9月'!E:AF,28,0)+VLOOKUP(E:E,'（居民）工资表-9月'!E:AG,29,0),0)</f>
        <v>529.57</v>
      </c>
      <c r="AG14" s="97">
        <f t="shared" si="13"/>
        <v>120.11</v>
      </c>
      <c r="AH14" s="107">
        <f t="shared" si="14"/>
        <v>8883.54</v>
      </c>
      <c r="AI14" s="108"/>
      <c r="AJ14" s="107">
        <f t="shared" si="15"/>
        <v>8883.54</v>
      </c>
      <c r="AK14" s="109"/>
      <c r="AL14" s="107">
        <f t="shared" si="16"/>
        <v>9003.65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7900</v>
      </c>
      <c r="M15" s="71">
        <v>471.12</v>
      </c>
      <c r="N15" s="71">
        <v>153.63</v>
      </c>
      <c r="O15" s="71">
        <v>29.45</v>
      </c>
      <c r="P15" s="71">
        <v>97</v>
      </c>
      <c r="Q15" s="89">
        <f t="shared" si="10"/>
        <v>751.2</v>
      </c>
      <c r="R15" s="70">
        <v>0</v>
      </c>
      <c r="S15" s="90">
        <f>L15+IFERROR(VLOOKUP($E:$E,'（居民）工资表-9月'!$E:$S,15,0),0)</f>
        <v>71372.73</v>
      </c>
      <c r="T15" s="91">
        <f>5000+IFERROR(VLOOKUP($E:$E,'（居民）工资表-9月'!$E:$T,16,0),0)</f>
        <v>50000</v>
      </c>
      <c r="U15" s="91">
        <f>Q15+IFERROR(VLOOKUP($E:$E,'（居民）工资表-9月'!$E:$U,17,0),0)</f>
        <v>5199.41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16173.32</v>
      </c>
      <c r="AE15" s="96">
        <f>ROUND(MAX((AD15)*{0.03;0.1;0.2;0.25;0.3;0.35;0.45}-{0;2520;16920;31920;52920;85920;181920},0),2)</f>
        <v>485.2</v>
      </c>
      <c r="AF15" s="97">
        <f>IFERROR(VLOOKUP(E:E,'（居民）工资表-9月'!E:AF,28,0)+VLOOKUP(E:E,'（居民）工资表-9月'!E:AG,29,0),0)</f>
        <v>420.74</v>
      </c>
      <c r="AG15" s="97">
        <f t="shared" si="13"/>
        <v>64.46</v>
      </c>
      <c r="AH15" s="107">
        <f t="shared" si="14"/>
        <v>7084.34</v>
      </c>
      <c r="AI15" s="108"/>
      <c r="AJ15" s="107">
        <f t="shared" si="15"/>
        <v>7084.34</v>
      </c>
      <c r="AK15" s="109"/>
      <c r="AL15" s="107">
        <f t="shared" si="16"/>
        <v>7148.8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6860</v>
      </c>
      <c r="M16" s="71">
        <v>471.12</v>
      </c>
      <c r="N16" s="71">
        <v>125.78</v>
      </c>
      <c r="O16" s="71">
        <v>29.45</v>
      </c>
      <c r="P16" s="71">
        <v>97</v>
      </c>
      <c r="Q16" s="89">
        <f t="shared" si="10"/>
        <v>723.35</v>
      </c>
      <c r="R16" s="70">
        <v>0</v>
      </c>
      <c r="S16" s="90">
        <f>L16+IFERROR(VLOOKUP($E:$E,'（居民）工资表-9月'!$E:$S,15,0),0)</f>
        <v>61962.83</v>
      </c>
      <c r="T16" s="91">
        <f>5000+IFERROR(VLOOKUP($E:$E,'（居民）工资表-9月'!$E:$T,16,0),0)</f>
        <v>50000</v>
      </c>
      <c r="U16" s="91">
        <f>Q16+IFERROR(VLOOKUP($E:$E,'（居民）工资表-9月'!$E:$U,17,0),0)</f>
        <v>4396.97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7565.86</v>
      </c>
      <c r="AE16" s="96">
        <f>ROUND(MAX((AD16)*{0.03;0.1;0.2;0.25;0.3;0.35;0.45}-{0;2520;16920;31920;52920;85920;181920},0),2)</f>
        <v>226.98</v>
      </c>
      <c r="AF16" s="97">
        <f>IFERROR(VLOOKUP(E:E,'（居民）工资表-9月'!E:AF,28,0)+VLOOKUP(E:E,'（居民）工资表-9月'!E:AG,29,0),0)</f>
        <v>192.88</v>
      </c>
      <c r="AG16" s="97">
        <f t="shared" si="13"/>
        <v>34.1</v>
      </c>
      <c r="AH16" s="107">
        <f t="shared" si="14"/>
        <v>6102.55</v>
      </c>
      <c r="AI16" s="108"/>
      <c r="AJ16" s="107">
        <f t="shared" si="15"/>
        <v>6102.55</v>
      </c>
      <c r="AK16" s="109"/>
      <c r="AL16" s="107">
        <f t="shared" si="16"/>
        <v>6136.65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9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97.76</v>
      </c>
      <c r="O17" s="71">
        <v>11.84</v>
      </c>
      <c r="P17" s="71">
        <v>175</v>
      </c>
      <c r="Q17" s="89">
        <f t="shared" si="10"/>
        <v>600.2</v>
      </c>
      <c r="R17" s="70">
        <v>0</v>
      </c>
      <c r="S17" s="90">
        <f>L17+IFERROR(VLOOKUP($E:$E,'（居民）工资表-9月'!$E:$S,15,0),0)</f>
        <v>16120</v>
      </c>
      <c r="T17" s="91">
        <f>5000+IFERROR(VLOOKUP($E:$E,'（居民）工资表-9月'!$E:$T,16,0),0)</f>
        <v>10000</v>
      </c>
      <c r="U17" s="91">
        <f>Q17+IFERROR(VLOOKUP($E:$E,'（居民）工资表-9月'!$E:$U,17,0),0)</f>
        <v>1189.36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R17+IFERROR(VLOOKUP($E:$E,'（居民）工资表-9月'!$E:$AC,25,0),0)</f>
        <v>0</v>
      </c>
      <c r="AD17" s="95">
        <f t="shared" si="12"/>
        <v>4930.64</v>
      </c>
      <c r="AE17" s="96">
        <f>ROUND(MAX((AD17)*{0.03;0.1;0.2;0.25;0.3;0.35;0.45}-{0;2520;16920;31920;52920;85920;181920},0),2)</f>
        <v>147.92</v>
      </c>
      <c r="AF17" s="97">
        <f>IFERROR(VLOOKUP(E:E,'（居民）工资表-9月'!E:AF,28,0)+VLOOKUP(E:E,'（居民）工资表-9月'!E:AG,29,0),0)</f>
        <v>74.13</v>
      </c>
      <c r="AG17" s="97">
        <f t="shared" si="13"/>
        <v>73.79</v>
      </c>
      <c r="AH17" s="107">
        <f t="shared" si="14"/>
        <v>7386.01</v>
      </c>
      <c r="AI17" s="108"/>
      <c r="AJ17" s="107">
        <f t="shared" si="15"/>
        <v>7386.01</v>
      </c>
      <c r="AK17" s="109"/>
      <c r="AL17" s="107">
        <f t="shared" si="16"/>
        <v>7459.8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V17" s="12" t="s">
        <v>157</v>
      </c>
      <c r="AW17" s="12" t="s">
        <v>51</v>
      </c>
    </row>
    <row r="18" s="12" customFormat="1" ht="18" customHeight="1" spans="1:49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6800</v>
      </c>
      <c r="M18" s="71">
        <v>411.28</v>
      </c>
      <c r="N18" s="71">
        <v>102.82</v>
      </c>
      <c r="O18" s="71">
        <v>25.71</v>
      </c>
      <c r="P18" s="71">
        <v>103</v>
      </c>
      <c r="Q18" s="89">
        <f t="shared" si="10"/>
        <v>642.81</v>
      </c>
      <c r="R18" s="70">
        <v>0</v>
      </c>
      <c r="S18" s="90">
        <f>L18+IFERROR(VLOOKUP($E:$E,'（居民）工资表-9月'!$E:$S,15,0),0)</f>
        <v>61400</v>
      </c>
      <c r="T18" s="91">
        <f>5000+IFERROR(VLOOKUP($E:$E,'（居民）工资表-9月'!$E:$T,16,0),0)</f>
        <v>50000</v>
      </c>
      <c r="U18" s="91">
        <f>Q18+IFERROR(VLOOKUP($E:$E,'（居民）工资表-9月'!$E:$U,17,0),0)</f>
        <v>5348.17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R18+IFERROR(VLOOKUP($E:$E,'（居民）工资表-9月'!$E:$AC,25,0),0)</f>
        <v>0</v>
      </c>
      <c r="AD18" s="95">
        <f t="shared" si="12"/>
        <v>6051.83</v>
      </c>
      <c r="AE18" s="96">
        <f>ROUND(MAX((AD18)*{0.03;0.1;0.2;0.25;0.3;0.35;0.45}-{0;2520;16920;31920;52920;85920;181920},0),2)</f>
        <v>181.55</v>
      </c>
      <c r="AF18" s="97">
        <f>IFERROR(VLOOKUP(E:E,'（居民）工资表-9月'!E:AF,28,0)+VLOOKUP(E:E,'（居民）工资表-9月'!E:AG,29,0),0)</f>
        <v>146.84</v>
      </c>
      <c r="AG18" s="97">
        <f t="shared" si="13"/>
        <v>34.71</v>
      </c>
      <c r="AH18" s="107">
        <f t="shared" si="14"/>
        <v>6122.48</v>
      </c>
      <c r="AI18" s="108"/>
      <c r="AJ18" s="107">
        <f t="shared" si="15"/>
        <v>6122.48</v>
      </c>
      <c r="AK18" s="109"/>
      <c r="AL18" s="107">
        <f t="shared" si="16"/>
        <v>6157.19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V18" s="12" t="s">
        <v>157</v>
      </c>
      <c r="AW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4739.43</v>
      </c>
      <c r="M19" s="71">
        <v>373.2</v>
      </c>
      <c r="N19" s="71">
        <v>94.42</v>
      </c>
      <c r="O19" s="71">
        <v>13.99</v>
      </c>
      <c r="P19" s="71">
        <v>100.5</v>
      </c>
      <c r="Q19" s="89">
        <f t="shared" si="10"/>
        <v>582.11</v>
      </c>
      <c r="R19" s="70">
        <v>0</v>
      </c>
      <c r="S19" s="90">
        <f>L19+IFERROR(VLOOKUP($E:$E,'（居民）工资表-9月'!$E:$S,15,0),0)</f>
        <v>9116.47</v>
      </c>
      <c r="T19" s="91">
        <f>5000+IFERROR(VLOOKUP($E:$E,'（居民）工资表-9月'!$E:$T,16,0),0)</f>
        <v>10000</v>
      </c>
      <c r="U19" s="91">
        <f>Q19+IFERROR(VLOOKUP($E:$E,'（居民）工资表-9月'!$E:$U,17,0),0)</f>
        <v>1109.54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R19+IFERROR(VLOOKUP($E:$E,'（居民）工资表-9月'!$E:$AC,25,0),0)</f>
        <v>0</v>
      </c>
      <c r="AD19" s="95">
        <f t="shared" si="12"/>
        <v>-1993.07</v>
      </c>
      <c r="AE19" s="96">
        <f>ROUND(MAX((AD19)*{0.03;0.1;0.2;0.25;0.3;0.35;0.45}-{0;2520;16920;31920;52920;85920;181920},0),2)</f>
        <v>0</v>
      </c>
      <c r="AF19" s="97">
        <f>IFERROR(VLOOKUP(E:E,'（居民）工资表-9月'!E:AF,28,0)+VLOOKUP(E:E,'（居民）工资表-9月'!E:AG,29,0),0)</f>
        <v>0</v>
      </c>
      <c r="AG19" s="97">
        <f t="shared" si="13"/>
        <v>0</v>
      </c>
      <c r="AH19" s="107">
        <f t="shared" si="14"/>
        <v>4157.32</v>
      </c>
      <c r="AI19" s="108"/>
      <c r="AJ19" s="107">
        <f t="shared" si="15"/>
        <v>4157.32</v>
      </c>
      <c r="AK19" s="109"/>
      <c r="AL19" s="107">
        <f t="shared" si="16"/>
        <v>4157.32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V19" s="12" t="s">
        <v>215</v>
      </c>
    </row>
    <row r="20" s="12" customFormat="1" ht="18" customHeight="1" spans="1:46">
      <c r="A20" s="36"/>
      <c r="B20" s="37"/>
      <c r="C20" s="128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146818.23</v>
      </c>
      <c r="M21" s="74">
        <f>SUM(M4:M20)</f>
        <v>6721.94</v>
      </c>
      <c r="N21" s="74">
        <f>SUM(N4:N20)</f>
        <v>1859.82</v>
      </c>
      <c r="O21" s="74">
        <f>SUM(O4:O20)</f>
        <v>365.25</v>
      </c>
      <c r="P21" s="74">
        <f>SUM(P4:P20)</f>
        <v>2069.5</v>
      </c>
      <c r="Q21" s="74">
        <f t="shared" ref="Q21:AL21" si="20">SUM(Q4:Q20)</f>
        <v>11016.51</v>
      </c>
      <c r="R21" s="74">
        <f t="shared" si="20"/>
        <v>0</v>
      </c>
      <c r="S21" s="74">
        <f t="shared" si="20"/>
        <v>1228234.96</v>
      </c>
      <c r="T21" s="74">
        <f t="shared" si="20"/>
        <v>680000</v>
      </c>
      <c r="U21" s="74">
        <f t="shared" si="20"/>
        <v>86043.29</v>
      </c>
      <c r="V21" s="74">
        <f t="shared" si="20"/>
        <v>10000</v>
      </c>
      <c r="W21" s="74">
        <f t="shared" si="20"/>
        <v>0</v>
      </c>
      <c r="X21" s="74">
        <f t="shared" si="20"/>
        <v>10000</v>
      </c>
      <c r="Y21" s="74">
        <f t="shared" si="20"/>
        <v>0</v>
      </c>
      <c r="Z21" s="74">
        <f t="shared" si="20"/>
        <v>4000</v>
      </c>
      <c r="AA21" s="74">
        <f t="shared" si="20"/>
        <v>0</v>
      </c>
      <c r="AB21" s="74">
        <f t="shared" si="20"/>
        <v>24000</v>
      </c>
      <c r="AC21" s="74">
        <f t="shared" si="20"/>
        <v>0</v>
      </c>
      <c r="AD21" s="74">
        <f t="shared" si="20"/>
        <v>438191.67</v>
      </c>
      <c r="AE21" s="74">
        <f t="shared" si="20"/>
        <v>39214.32</v>
      </c>
      <c r="AF21" s="74">
        <f t="shared" si="20"/>
        <v>33477.48</v>
      </c>
      <c r="AG21" s="74">
        <f t="shared" si="20"/>
        <v>6383.27</v>
      </c>
      <c r="AH21" s="74">
        <f t="shared" si="20"/>
        <v>129418.45</v>
      </c>
      <c r="AI21" s="74">
        <f t="shared" si="20"/>
        <v>0</v>
      </c>
      <c r="AJ21" s="74">
        <f t="shared" si="20"/>
        <v>129418.45</v>
      </c>
      <c r="AK21" s="74">
        <f t="shared" si="20"/>
        <v>0</v>
      </c>
      <c r="AL21" s="74">
        <f t="shared" si="20"/>
        <v>135801.72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129418.45</v>
      </c>
      <c r="C26" s="48">
        <f>AG21</f>
        <v>6383.27</v>
      </c>
      <c r="D26" s="48">
        <f>AK21</f>
        <v>0</v>
      </c>
      <c r="E26" s="48">
        <f>B26+C26+D26</f>
        <v>135801.72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4" priority="1"/>
  </conditionalFormatting>
  <conditionalFormatting sqref="B33">
    <cfRule type="duplicateValues" dxfId="4" priority="3" stopIfTrue="1"/>
  </conditionalFormatting>
  <conditionalFormatting sqref="B28:B32">
    <cfRule type="duplicateValues" dxfId="4" priority="4" stopIfTrue="1"/>
  </conditionalFormatting>
  <conditionalFormatting sqref="B36:B37">
    <cfRule type="duplicateValues" dxfId="4" priority="2" stopIfTrue="1"/>
  </conditionalFormatting>
  <conditionalFormatting sqref="C25:C27">
    <cfRule type="duplicateValues" dxfId="4" priority="5" stopIfTrue="1"/>
    <cfRule type="expression" dxfId="5" priority="6" stopIfTrue="1">
      <formula>AND(COUNTIF($B$21:$B$65457,C25)+COUNTIF($B$1:$B$3,C25)&gt;1,NOT(ISBLANK(C25)))</formula>
    </cfRule>
    <cfRule type="expression" dxfId="5" priority="7" stopIfTrue="1">
      <formula>AND(COUNTIF($B$32:$B$65408,C25)+COUNTIF($B$1:$B$31,C25)&gt;1,NOT(ISBLANK(C25)))</formula>
    </cfRule>
    <cfRule type="expression" dxfId="5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2" si="0">ROUND(SUM(M4:P4),2)</f>
        <v>588.3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6628.78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26371.22</v>
      </c>
      <c r="AE4" s="96">
        <f>ROUND(MAX((AD4)*{0.03;0.1;0.2;0.25;0.3;0.35;0.45}-{0;2520;16920;31920;52920;85920;181920},0),2)</f>
        <v>791.14</v>
      </c>
      <c r="AF4" s="97">
        <f>IFERROR(VLOOKUP(E:E,'（居民）工资表-10月'!E:AF,28,0)+VLOOKUP(E:E,'（居民）工资表-10月'!E:AG,29,0),0)</f>
        <v>646.43</v>
      </c>
      <c r="AG4" s="97">
        <f>IF((AE4-AF4)&lt;0,0,AE4-AF4)</f>
        <v>144.71</v>
      </c>
      <c r="AH4" s="107">
        <f t="shared" ref="AH4:AH12" si="3">ROUND(IF((L4-Q4-AG4)&lt;0,0,(L4-Q4-AG4)),2)</f>
        <v>7266.99</v>
      </c>
      <c r="AI4" s="108"/>
      <c r="AJ4" s="107">
        <f t="shared" ref="AJ4:AJ12" si="4">AH4+AI4</f>
        <v>7266.99</v>
      </c>
      <c r="AK4" s="109"/>
      <c r="AL4" s="107">
        <f t="shared" ref="AL4:AL12" si="5">AJ4+AG4+AK4</f>
        <v>7411.7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L5+IFERROR(VLOOKUP($E:$E,'（居民）工资表-10月'!$E:$S,15,0),0)</f>
        <v>63900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7265.32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1634.68</v>
      </c>
      <c r="AE5" s="96">
        <f>ROUND(MAX((AD5)*{0.03;0.1;0.2;0.25;0.3;0.35;0.45}-{0;2520;16920;31920;52920;85920;181920},0),2)</f>
        <v>49.04</v>
      </c>
      <c r="AF5" s="97">
        <f>IFERROR(VLOOKUP(E:E,'（居民）工资表-10月'!E:AF,28,0)+VLOOKUP(E:E,'（居民）工资表-10月'!E:AG,29,0),0)</f>
        <v>47.71</v>
      </c>
      <c r="AG5" s="97">
        <f t="shared" ref="AG5:AG12" si="9">IF((AE5-AF5)&lt;0,0,AE5-AF5)</f>
        <v>1.33</v>
      </c>
      <c r="AH5" s="107">
        <f t="shared" si="3"/>
        <v>5042.87</v>
      </c>
      <c r="AI5" s="108"/>
      <c r="AJ5" s="107">
        <f t="shared" si="4"/>
        <v>5042.87</v>
      </c>
      <c r="AK5" s="109"/>
      <c r="AL5" s="107">
        <f t="shared" si="5"/>
        <v>5044.2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L6+IFERROR(VLOOKUP($E:$E,'（居民）工资表-10月'!$E:$S,15,0),0)</f>
        <v>334160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10449.89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268710.11</v>
      </c>
      <c r="AE6" s="96">
        <f>ROUND(MAX((AD6)*{0.03;0.1;0.2;0.25;0.3;0.35;0.45}-{0;2520;16920;31920;52920;85920;181920},0),2)</f>
        <v>36822.02</v>
      </c>
      <c r="AF6" s="97">
        <f>IFERROR(VLOOKUP(E:E,'（居民）工资表-10月'!E:AF,28,0)+VLOOKUP(E:E,'（居民）工资表-10月'!E:AG,29,0),0)</f>
        <v>31899.73</v>
      </c>
      <c r="AG6" s="97">
        <f t="shared" si="9"/>
        <v>4922.29</v>
      </c>
      <c r="AH6" s="107">
        <f t="shared" si="3"/>
        <v>24689.16</v>
      </c>
      <c r="AI6" s="108"/>
      <c r="AJ6" s="107">
        <f t="shared" si="4"/>
        <v>24689.16</v>
      </c>
      <c r="AK6" s="109"/>
      <c r="AL6" s="107">
        <f t="shared" si="5"/>
        <v>29611.45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90.51</v>
      </c>
      <c r="O7" s="71">
        <v>20.1</v>
      </c>
      <c r="P7" s="71">
        <v>97</v>
      </c>
      <c r="Q7" s="89">
        <f t="shared" si="0"/>
        <v>529.13</v>
      </c>
      <c r="R7" s="70">
        <v>0</v>
      </c>
      <c r="S7" s="90">
        <f>L7+IFERROR(VLOOKUP($E:$E,'（居民）工资表-10月'!$E:$S,15,0),0)</f>
        <v>98100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5981.52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37118.48</v>
      </c>
      <c r="AE7" s="96">
        <f>ROUND(MAX((AD7)*{0.03;0.1;0.2;0.25;0.3;0.35;0.45}-{0;2520;16920;31920;52920;85920;181920},0),2)</f>
        <v>1191.85</v>
      </c>
      <c r="AF7" s="97">
        <f>IFERROR(VLOOKUP(E:E,'（居民）工资表-10月'!E:AF,28,0)+VLOOKUP(E:E,'（居民）工资表-10月'!E:AG,29,0),0)</f>
        <v>1039.43</v>
      </c>
      <c r="AG7" s="97">
        <f t="shared" si="9"/>
        <v>152.42</v>
      </c>
      <c r="AH7" s="107">
        <f t="shared" si="3"/>
        <v>7318.45</v>
      </c>
      <c r="AI7" s="108"/>
      <c r="AJ7" s="107">
        <f t="shared" si="4"/>
        <v>7318.45</v>
      </c>
      <c r="AK7" s="109"/>
      <c r="AL7" s="107">
        <f t="shared" si="5"/>
        <v>7470.87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688</v>
      </c>
      <c r="Q8" s="89">
        <f t="shared" si="0"/>
        <v>1116</v>
      </c>
      <c r="R8" s="70">
        <v>0</v>
      </c>
      <c r="S8" s="90">
        <f>L8+IFERROR(VLOOKUP($E:$E,'（居民）工资表-10月'!$E:$S,15,0),0)</f>
        <v>119700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8668.71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56031.29</v>
      </c>
      <c r="AE8" s="96">
        <f>ROUND(MAX((AD8)*{0.03;0.1;0.2;0.25;0.3;0.35;0.45}-{0;2520;16920;31920;52920;85920;181920},0),2)</f>
        <v>3083.13</v>
      </c>
      <c r="AF8" s="97">
        <f>IFERROR(VLOOKUP(E:E,'（居民）工资表-10月'!E:AF,28,0)+VLOOKUP(E:E,'（居民）工资表-10月'!E:AG,29,0),0)</f>
        <v>2644.73</v>
      </c>
      <c r="AG8" s="97">
        <f t="shared" si="9"/>
        <v>438.4</v>
      </c>
      <c r="AH8" s="107">
        <f t="shared" si="3"/>
        <v>8945.6</v>
      </c>
      <c r="AI8" s="108"/>
      <c r="AJ8" s="107">
        <f t="shared" si="4"/>
        <v>8945.6</v>
      </c>
      <c r="AK8" s="109"/>
      <c r="AL8" s="107">
        <f t="shared" si="5"/>
        <v>9384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147.6</v>
      </c>
      <c r="N9" s="71">
        <v>90.4</v>
      </c>
      <c r="O9" s="71">
        <v>5.53</v>
      </c>
      <c r="P9" s="71">
        <v>100</v>
      </c>
      <c r="Q9" s="89">
        <f t="shared" si="0"/>
        <v>343.53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5620.78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10879.22</v>
      </c>
      <c r="AE9" s="96">
        <f>ROUND(MAX((AD9)*{0.03;0.1;0.2;0.25;0.3;0.35;0.45}-{0;2520;16920;31920;52920;85920;181920},0),2)</f>
        <v>326.38</v>
      </c>
      <c r="AF9" s="97">
        <f>IFERROR(VLOOKUP(E:E,'（居民）工资表-10月'!E:AF,28,0)+VLOOKUP(E:E,'（居民）工资表-10月'!E:AG,29,0),0)</f>
        <v>291.68</v>
      </c>
      <c r="AG9" s="97">
        <f t="shared" si="9"/>
        <v>34.7</v>
      </c>
      <c r="AH9" s="107">
        <f t="shared" si="3"/>
        <v>6121.77</v>
      </c>
      <c r="AI9" s="108"/>
      <c r="AJ9" s="107">
        <f t="shared" si="4"/>
        <v>6121.77</v>
      </c>
      <c r="AK9" s="109"/>
      <c r="AL9" s="107">
        <f t="shared" si="5"/>
        <v>6156.47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L10+IFERROR(VLOOKUP($E:$E,'（居民）工资表-10月'!$E:$S,15,0),0)</f>
        <v>16500</v>
      </c>
      <c r="T10" s="91">
        <f>5000+IFERROR(VLOOKUP($E:$E,'（居民）工资表-10月'!$E:$T,16,0),0)</f>
        <v>15000</v>
      </c>
      <c r="U10" s="91">
        <f>Q10+IFERROR(VLOOKUP($E:$E,'（居民）工资表-10月'!$E:$U,17,0),0)</f>
        <v>1779.32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-279.32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4957.61</v>
      </c>
      <c r="AI10" s="108"/>
      <c r="AJ10" s="107">
        <f t="shared" si="4"/>
        <v>4957.61</v>
      </c>
      <c r="AK10" s="109"/>
      <c r="AL10" s="107">
        <f t="shared" si="5"/>
        <v>4957.61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L11+IFERROR(VLOOKUP($E:$E,'（居民）工资表-10月'!$E:$S,15,0),0)</f>
        <v>49918.25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6858.39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-11940.14</v>
      </c>
      <c r="AE11" s="96">
        <f>ROUND(MAX((AD11)*{0.03;0.1;0.2;0.25;0.3;0.35;0.45}-{0;2520;16920;31920;52920;85920;181920},0),2)</f>
        <v>0</v>
      </c>
      <c r="AF11" s="97">
        <f>IFERROR(VLOOKUP(E:E,'（居民）工资表-10月'!E:AF,28,0)+VLOOKUP(E:E,'（居民）工资表-10月'!E:AG,29,0),0)</f>
        <v>0</v>
      </c>
      <c r="AG11" s="97">
        <f t="shared" si="9"/>
        <v>0</v>
      </c>
      <c r="AH11" s="107">
        <f t="shared" si="3"/>
        <v>4005.8</v>
      </c>
      <c r="AI11" s="108"/>
      <c r="AJ11" s="107">
        <f t="shared" si="4"/>
        <v>4005.8</v>
      </c>
      <c r="AK11" s="109"/>
      <c r="AL11" s="107">
        <f t="shared" si="5"/>
        <v>4005.8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128.68</v>
      </c>
      <c r="O12" s="71">
        <v>20.1</v>
      </c>
      <c r="P12" s="71">
        <v>97</v>
      </c>
      <c r="Q12" s="89">
        <f t="shared" ref="Q12:Q20" si="10">ROUND(SUM(M12:P12),2)</f>
        <v>567.3</v>
      </c>
      <c r="R12" s="70">
        <v>0</v>
      </c>
      <c r="S12" s="90">
        <f>L12+IFERROR(VLOOKUP($E:$E,'（居民）工资表-10月'!$E:$S,15,0),0)</f>
        <v>100000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6325.71</v>
      </c>
      <c r="V12" s="70"/>
      <c r="W12" s="70"/>
      <c r="X12" s="70"/>
      <c r="Y12" s="70"/>
      <c r="Z12" s="70"/>
      <c r="AA12" s="70"/>
      <c r="AB12" s="90">
        <f t="shared" ref="AB12:AB20" si="11">ROUND(SUM(V12:AA12),2)</f>
        <v>0</v>
      </c>
      <c r="AC12" s="90">
        <f>R12+IFERROR(VLOOKUP($E:$E,'（居民）工资表-10月'!$E:$AC,25,0),0)</f>
        <v>0</v>
      </c>
      <c r="AD12" s="95">
        <f t="shared" ref="AD12:AD20" si="12">ROUND(S12-T12-U12-AB12-AC12,2)</f>
        <v>38674.29</v>
      </c>
      <c r="AE12" s="96">
        <f>ROUND(MAX((AD12)*{0.03;0.1;0.2;0.25;0.3;0.35;0.45}-{0;2520;16920;31920;52920;85920;181920},0),2)</f>
        <v>1347.43</v>
      </c>
      <c r="AF12" s="97">
        <f>IFERROR(VLOOKUP(E:E,'（居民）工资表-10月'!E:AF,28,0)+VLOOKUP(E:E,'（居民）工资表-10月'!E:AG,29,0),0)</f>
        <v>1072.25</v>
      </c>
      <c r="AG12" s="97">
        <f t="shared" ref="AG12:AG20" si="13">IF((AE12-AF12)&lt;0,0,AE12-AF12)</f>
        <v>275.18</v>
      </c>
      <c r="AH12" s="107">
        <f t="shared" ref="AH12:AH20" si="14">ROUND(IF((L12-Q12-AG12)&lt;0,0,(L12-Q12-AG12)),2)</f>
        <v>7657.52</v>
      </c>
      <c r="AI12" s="108"/>
      <c r="AJ12" s="107">
        <f t="shared" ref="AJ12:AJ20" si="15">AH12+AI12</f>
        <v>7657.52</v>
      </c>
      <c r="AK12" s="109"/>
      <c r="AL12" s="107">
        <f t="shared" ref="AL12:AL20" si="16">AJ12+AG12+AK12</f>
        <v>7932.7</v>
      </c>
      <c r="AM12" s="109"/>
      <c r="AN12" s="109"/>
      <c r="AO12" s="109"/>
      <c r="AP12" s="109"/>
      <c r="AQ12" s="109"/>
      <c r="AR12" s="116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 t="shared" ref="AS12:AS20" si="18">IF(SUMPRODUCT(N(E$1:E$6=E12))&gt;1,"重复","不")</f>
        <v>不</v>
      </c>
      <c r="AT12" s="116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688</v>
      </c>
      <c r="Q13" s="89">
        <f t="shared" si="10"/>
        <v>1116</v>
      </c>
      <c r="R13" s="70">
        <v>0</v>
      </c>
      <c r="S13" s="90">
        <f>L13+IFERROR(VLOOKUP($E:$E,'（居民）工资表-10月'!$E:$S,15,0),0)</f>
        <v>82134.78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8668.71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R13+IFERROR(VLOOKUP($E:$E,'（居民）工资表-10月'!$E:$AC,25,0),0)</f>
        <v>0</v>
      </c>
      <c r="AD13" s="95">
        <f t="shared" si="12"/>
        <v>18466.07</v>
      </c>
      <c r="AE13" s="96">
        <f>ROUND(MAX((AD13)*{0.03;0.1;0.2;0.25;0.3;0.35;0.45}-{0;2520;16920;31920;52920;85920;181920},0),2)</f>
        <v>553.98</v>
      </c>
      <c r="AF13" s="97">
        <f>IFERROR(VLOOKUP(E:E,'（居民）工资表-10月'!E:AF,28,0)+VLOOKUP(E:E,'（居民）工资表-10月'!E:AG,29,0),0)</f>
        <v>527.46</v>
      </c>
      <c r="AG13" s="97">
        <f t="shared" si="13"/>
        <v>26.52</v>
      </c>
      <c r="AH13" s="107">
        <f t="shared" si="14"/>
        <v>5857.48</v>
      </c>
      <c r="AI13" s="108"/>
      <c r="AJ13" s="107">
        <f t="shared" si="15"/>
        <v>5857.48</v>
      </c>
      <c r="AK13" s="109"/>
      <c r="AL13" s="107">
        <f t="shared" si="16"/>
        <v>5884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688</v>
      </c>
      <c r="Q14" s="89">
        <f t="shared" si="10"/>
        <v>1116</v>
      </c>
      <c r="R14" s="70">
        <v>0</v>
      </c>
      <c r="S14" s="90">
        <f>L14+IFERROR(VLOOKUP($E:$E,'（居民）工资表-10月'!$E:$S,15,0),0)</f>
        <v>86208.7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8668.71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R14+IFERROR(VLOOKUP($E:$E,'（居民）工资表-10月'!$E:$AC,25,0),0)</f>
        <v>0</v>
      </c>
      <c r="AD14" s="95">
        <f t="shared" si="12"/>
        <v>22539.99</v>
      </c>
      <c r="AE14" s="96">
        <f>ROUND(MAX((AD14)*{0.03;0.1;0.2;0.25;0.3;0.35;0.45}-{0;2520;16920;31920;52920;85920;181920},0),2)</f>
        <v>676.2</v>
      </c>
      <c r="AF14" s="97">
        <f>IFERROR(VLOOKUP(E:E,'（居民）工资表-10月'!E:AF,28,0)+VLOOKUP(E:E,'（居民）工资表-10月'!E:AG,29,0),0)</f>
        <v>649.68</v>
      </c>
      <c r="AG14" s="97">
        <f t="shared" si="13"/>
        <v>26.5200000000001</v>
      </c>
      <c r="AH14" s="107">
        <f t="shared" si="14"/>
        <v>5857.48</v>
      </c>
      <c r="AI14" s="108"/>
      <c r="AJ14" s="107">
        <f t="shared" si="15"/>
        <v>5857.48</v>
      </c>
      <c r="AK14" s="109"/>
      <c r="AL14" s="107">
        <f t="shared" si="16"/>
        <v>5884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128.68</v>
      </c>
      <c r="O15" s="71">
        <v>20.1</v>
      </c>
      <c r="P15" s="71">
        <v>97</v>
      </c>
      <c r="Q15" s="89">
        <f t="shared" si="10"/>
        <v>567.3</v>
      </c>
      <c r="R15" s="70">
        <v>0</v>
      </c>
      <c r="S15" s="90">
        <f>L15+IFERROR(VLOOKUP($E:$E,'（居民）工资表-10月'!$E:$S,15,0),0)</f>
        <v>78372.73</v>
      </c>
      <c r="T15" s="91">
        <f>5000+IFERROR(VLOOKUP($E:$E,'（居民）工资表-10月'!$E:$T,16,0),0)</f>
        <v>55000</v>
      </c>
      <c r="U15" s="91">
        <f>Q15+IFERROR(VLOOKUP($E:$E,'（居民）工资表-10月'!$E:$U,17,0),0)</f>
        <v>5766.71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R15+IFERROR(VLOOKUP($E:$E,'（居民）工资表-10月'!$E:$AC,25,0),0)</f>
        <v>0</v>
      </c>
      <c r="AD15" s="95">
        <f t="shared" si="12"/>
        <v>17606.02</v>
      </c>
      <c r="AE15" s="96">
        <f>ROUND(MAX((AD15)*{0.03;0.1;0.2;0.25;0.3;0.35;0.45}-{0;2520;16920;31920;52920;85920;181920},0),2)</f>
        <v>528.18</v>
      </c>
      <c r="AF15" s="97">
        <f>IFERROR(VLOOKUP(E:E,'（居民）工资表-10月'!E:AF,28,0)+VLOOKUP(E:E,'（居民）工资表-10月'!E:AG,29,0),0)</f>
        <v>485.2</v>
      </c>
      <c r="AG15" s="97">
        <f t="shared" si="13"/>
        <v>42.98</v>
      </c>
      <c r="AH15" s="107">
        <f t="shared" si="14"/>
        <v>6389.72</v>
      </c>
      <c r="AI15" s="108"/>
      <c r="AJ15" s="107">
        <f t="shared" si="15"/>
        <v>6389.72</v>
      </c>
      <c r="AK15" s="109"/>
      <c r="AL15" s="107">
        <f t="shared" si="16"/>
        <v>6432.7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90.51</v>
      </c>
      <c r="O16" s="71">
        <v>20.1</v>
      </c>
      <c r="P16" s="71">
        <v>97</v>
      </c>
      <c r="Q16" s="89">
        <f t="shared" si="10"/>
        <v>529.13</v>
      </c>
      <c r="R16" s="70">
        <v>0</v>
      </c>
      <c r="S16" s="90">
        <f>L16+IFERROR(VLOOKUP($E:$E,'（居民）工资表-10月'!$E:$S,15,0),0)</f>
        <v>68022.83</v>
      </c>
      <c r="T16" s="91">
        <f>5000+IFERROR(VLOOKUP($E:$E,'（居民）工资表-10月'!$E:$T,16,0),0)</f>
        <v>55000</v>
      </c>
      <c r="U16" s="91">
        <f>Q16+IFERROR(VLOOKUP($E:$E,'（居民）工资表-10月'!$E:$U,17,0),0)</f>
        <v>4926.1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R16+IFERROR(VLOOKUP($E:$E,'（居民）工资表-10月'!$E:$AC,25,0),0)</f>
        <v>0</v>
      </c>
      <c r="AD16" s="95">
        <f t="shared" si="12"/>
        <v>8096.73</v>
      </c>
      <c r="AE16" s="96">
        <f>ROUND(MAX((AD16)*{0.03;0.1;0.2;0.25;0.3;0.35;0.45}-{0;2520;16920;31920;52920;85920;181920},0),2)</f>
        <v>242.9</v>
      </c>
      <c r="AF16" s="97">
        <f>IFERROR(VLOOKUP(E:E,'（居民）工资表-10月'!E:AF,28,0)+VLOOKUP(E:E,'（居民）工资表-10月'!E:AG,29,0),0)</f>
        <v>226.98</v>
      </c>
      <c r="AG16" s="97">
        <f t="shared" si="13"/>
        <v>15.92</v>
      </c>
      <c r="AH16" s="107">
        <f t="shared" si="14"/>
        <v>5514.95</v>
      </c>
      <c r="AI16" s="108"/>
      <c r="AJ16" s="107">
        <f t="shared" si="15"/>
        <v>5514.95</v>
      </c>
      <c r="AK16" s="109"/>
      <c r="AL16" s="107">
        <f t="shared" si="16"/>
        <v>5530.87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147.6</v>
      </c>
      <c r="N17" s="71">
        <v>90.4</v>
      </c>
      <c r="O17" s="71">
        <v>5.53</v>
      </c>
      <c r="P17" s="71">
        <v>175</v>
      </c>
      <c r="Q17" s="89">
        <f t="shared" si="10"/>
        <v>418.53</v>
      </c>
      <c r="R17" s="70">
        <v>0</v>
      </c>
      <c r="S17" s="90">
        <f>L17+IFERROR(VLOOKUP($E:$E,'（居民）工资表-10月'!$E:$S,15,0),0)</f>
        <v>22680</v>
      </c>
      <c r="T17" s="91">
        <f>5000+IFERROR(VLOOKUP($E:$E,'（居民）工资表-10月'!$E:$T,16,0),0)</f>
        <v>15000</v>
      </c>
      <c r="U17" s="91">
        <f>Q17+IFERROR(VLOOKUP($E:$E,'（居民）工资表-10月'!$E:$U,17,0),0)</f>
        <v>1607.89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R17+IFERROR(VLOOKUP($E:$E,'（居民）工资表-10月'!$E:$AC,25,0),0)</f>
        <v>0</v>
      </c>
      <c r="AD17" s="95">
        <f t="shared" si="12"/>
        <v>6072.11</v>
      </c>
      <c r="AE17" s="96">
        <f>ROUND(MAX((AD17)*{0.03;0.1;0.2;0.25;0.3;0.35;0.45}-{0;2520;16920;31920;52920;85920;181920},0),2)</f>
        <v>182.16</v>
      </c>
      <c r="AF17" s="97">
        <f>IFERROR(VLOOKUP(E:E,'（居民）工资表-10月'!E:AF,28,0)+VLOOKUP(E:E,'（居民）工资表-10月'!E:AG,29,0),0)</f>
        <v>147.92</v>
      </c>
      <c r="AG17" s="97">
        <f t="shared" si="13"/>
        <v>34.24</v>
      </c>
      <c r="AH17" s="107">
        <f t="shared" si="14"/>
        <v>6107.23</v>
      </c>
      <c r="AI17" s="108"/>
      <c r="AJ17" s="107">
        <f t="shared" si="15"/>
        <v>6107.23</v>
      </c>
      <c r="AK17" s="109"/>
      <c r="AL17" s="107">
        <f t="shared" si="16"/>
        <v>6141.47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10"/>
        <v>525</v>
      </c>
      <c r="R18" s="70">
        <v>0</v>
      </c>
      <c r="S18" s="90">
        <f>L18+IFERROR(VLOOKUP($E:$E,'（居民）工资表-10月'!$E:$S,15,0),0)</f>
        <v>67400</v>
      </c>
      <c r="T18" s="91">
        <f>5000+IFERROR(VLOOKUP($E:$E,'（居民）工资表-10月'!$E:$T,16,0),0)</f>
        <v>55000</v>
      </c>
      <c r="U18" s="91">
        <f>Q18+IFERROR(VLOOKUP($E:$E,'（居民）工资表-10月'!$E:$U,17,0),0)</f>
        <v>5873.17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R18+IFERROR(VLOOKUP($E:$E,'（居民）工资表-10月'!$E:$AC,25,0),0)</f>
        <v>0</v>
      </c>
      <c r="AD18" s="95">
        <f t="shared" si="12"/>
        <v>6526.83</v>
      </c>
      <c r="AE18" s="96">
        <f>ROUND(MAX((AD18)*{0.03;0.1;0.2;0.25;0.3;0.35;0.45}-{0;2520;16920;31920;52920;85920;181920},0),2)</f>
        <v>195.8</v>
      </c>
      <c r="AF18" s="97">
        <f>IFERROR(VLOOKUP(E:E,'（居民）工资表-10月'!E:AF,28,0)+VLOOKUP(E:E,'（居民）工资表-10月'!E:AG,29,0),0)</f>
        <v>181.55</v>
      </c>
      <c r="AG18" s="97">
        <f t="shared" si="13"/>
        <v>14.25</v>
      </c>
      <c r="AH18" s="107">
        <f t="shared" si="14"/>
        <v>5460.75</v>
      </c>
      <c r="AI18" s="108"/>
      <c r="AJ18" s="107">
        <f t="shared" si="15"/>
        <v>5460.75</v>
      </c>
      <c r="AK18" s="109"/>
      <c r="AL18" s="107">
        <f t="shared" si="16"/>
        <v>5475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5425</v>
      </c>
      <c r="M19" s="71">
        <v>337.92</v>
      </c>
      <c r="N19" s="71">
        <v>91.48</v>
      </c>
      <c r="O19" s="71">
        <v>12.67</v>
      </c>
      <c r="P19" s="71">
        <v>100.5</v>
      </c>
      <c r="Q19" s="89">
        <f t="shared" si="10"/>
        <v>542.57</v>
      </c>
      <c r="R19" s="70">
        <v>0</v>
      </c>
      <c r="S19" s="90">
        <f>L19+IFERROR(VLOOKUP($E:$E,'（居民）工资表-10月'!$E:$S,15,0),0)</f>
        <v>14541.47</v>
      </c>
      <c r="T19" s="91">
        <f>5000+IFERROR(VLOOKUP($E:$E,'（居民）工资表-10月'!$E:$T,16,0),0)</f>
        <v>15000</v>
      </c>
      <c r="U19" s="91">
        <f>Q19+IFERROR(VLOOKUP($E:$E,'（居民）工资表-10月'!$E:$U,17,0),0)</f>
        <v>1652.11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R19+IFERROR(VLOOKUP($E:$E,'（居民）工资表-10月'!$E:$AC,25,0),0)</f>
        <v>0</v>
      </c>
      <c r="AD19" s="95">
        <f t="shared" si="12"/>
        <v>-2110.64</v>
      </c>
      <c r="AE19" s="96">
        <f>ROUND(MAX((AD19)*{0.03;0.1;0.2;0.25;0.3;0.35;0.45}-{0;2520;16920;31920;52920;85920;181920},0),2)</f>
        <v>0</v>
      </c>
      <c r="AF19" s="97">
        <f>IFERROR(VLOOKUP(E:E,'（居民）工资表-10月'!E:AF,28,0)+VLOOKUP(E:E,'（居民）工资表-10月'!E:AG,29,0),0)</f>
        <v>0</v>
      </c>
      <c r="AG19" s="97">
        <f t="shared" si="13"/>
        <v>0</v>
      </c>
      <c r="AH19" s="107">
        <f t="shared" si="14"/>
        <v>4882.43</v>
      </c>
      <c r="AI19" s="108"/>
      <c r="AJ19" s="107">
        <f t="shared" si="15"/>
        <v>4882.43</v>
      </c>
      <c r="AK19" s="109"/>
      <c r="AL19" s="107">
        <f t="shared" si="16"/>
        <v>4882.43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  <c r="AU20" s="11"/>
      <c r="AV20" s="11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SUM(L4:L19)</f>
        <v>132903.8</v>
      </c>
      <c r="M21" s="74">
        <f>SUM(M4:M19)</f>
        <v>5213.7</v>
      </c>
      <c r="N21" s="74">
        <f>SUM(N4:N19)</f>
        <v>1587.08</v>
      </c>
      <c r="O21" s="74">
        <f t="shared" ref="O21:AL21" si="20">SUM(O4:O19)</f>
        <v>280.25</v>
      </c>
      <c r="P21" s="74">
        <f t="shared" si="20"/>
        <v>3617.5</v>
      </c>
      <c r="Q21" s="74">
        <f t="shared" si="20"/>
        <v>10698.53</v>
      </c>
      <c r="R21" s="74">
        <f t="shared" si="20"/>
        <v>0</v>
      </c>
      <c r="S21" s="74">
        <f t="shared" si="20"/>
        <v>1361138.76</v>
      </c>
      <c r="T21" s="74">
        <f t="shared" si="20"/>
        <v>760000</v>
      </c>
      <c r="U21" s="74">
        <f t="shared" si="20"/>
        <v>96741.82</v>
      </c>
      <c r="V21" s="74">
        <f t="shared" si="20"/>
        <v>0</v>
      </c>
      <c r="W21" s="74">
        <f t="shared" si="20"/>
        <v>0</v>
      </c>
      <c r="X21" s="74">
        <f t="shared" si="20"/>
        <v>0</v>
      </c>
      <c r="Y21" s="74">
        <f t="shared" si="20"/>
        <v>0</v>
      </c>
      <c r="Z21" s="74">
        <f t="shared" si="20"/>
        <v>0</v>
      </c>
      <c r="AA21" s="74">
        <f t="shared" si="20"/>
        <v>0</v>
      </c>
      <c r="AB21" s="74">
        <f t="shared" si="20"/>
        <v>0</v>
      </c>
      <c r="AC21" s="74">
        <f t="shared" si="20"/>
        <v>0</v>
      </c>
      <c r="AD21" s="74">
        <f t="shared" si="20"/>
        <v>504396.94</v>
      </c>
      <c r="AE21" s="74">
        <f t="shared" si="20"/>
        <v>45990.21</v>
      </c>
      <c r="AF21" s="74">
        <f t="shared" si="20"/>
        <v>39860.75</v>
      </c>
      <c r="AG21" s="74">
        <f t="shared" si="20"/>
        <v>6129.46</v>
      </c>
      <c r="AH21" s="74">
        <f t="shared" si="20"/>
        <v>116075.81</v>
      </c>
      <c r="AI21" s="74">
        <f t="shared" si="20"/>
        <v>0</v>
      </c>
      <c r="AJ21" s="74">
        <f t="shared" si="20"/>
        <v>116075.81</v>
      </c>
      <c r="AK21" s="74">
        <f t="shared" si="20"/>
        <v>0</v>
      </c>
      <c r="AL21" s="74">
        <f t="shared" si="20"/>
        <v>122205.27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116075.81</v>
      </c>
      <c r="C26" s="48">
        <f>AG21</f>
        <v>6129.46</v>
      </c>
      <c r="D26" s="48">
        <f>AK21</f>
        <v>0</v>
      </c>
      <c r="E26" s="48">
        <f>B26+C26+D26</f>
        <v>122205.27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127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127" t="s">
        <v>148</v>
      </c>
      <c r="G11" s="39" t="s">
        <v>165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127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7217.08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-17.08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791.14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69600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7921.12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1678.88</v>
      </c>
      <c r="AE5" s="96">
        <f>ROUND(MAX((AD5)*{0.03;0.1;0.2;0.25;0.3;0.35;0.45}-{0;2520;16920;31920;52920;85920;181920},0),2)</f>
        <v>50.37</v>
      </c>
      <c r="AF5" s="97">
        <f>IFERROR(VLOOKUP(E:E,'（居民）工资表-11月'!E:AF,28,0)+VLOOKUP(E:E,'（居民）工资表-11月'!E:AG,29,0),0)</f>
        <v>49.04</v>
      </c>
      <c r="AG5" s="97">
        <f t="shared" si="3"/>
        <v>1.33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364220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11398.44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292821.56</v>
      </c>
      <c r="AE6" s="96">
        <f>ROUND(MAX((AD6)*{0.03;0.1;0.2;0.25;0.3;0.35;0.45}-{0;2520;16920;31920;52920;85920;181920},0),2)</f>
        <v>41644.31</v>
      </c>
      <c r="AF6" s="97">
        <f>IFERROR(VLOOKUP(E:E,'（居民）工资表-11月'!E:AF,28,0)+VLOOKUP(E:E,'（居民）工资表-11月'!E:AG,29,0),0)</f>
        <v>36822.02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107620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6509.23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41110.77</v>
      </c>
      <c r="AE7" s="96">
        <f>ROUND(MAX((AD7)*{0.03;0.1;0.2;0.25;0.3;0.35;0.45}-{0;2520;16920;31920;52920;85920;181920},0),2)</f>
        <v>1591.08</v>
      </c>
      <c r="AF7" s="97">
        <f>IFERROR(VLOOKUP(E:E,'（居民）工资表-11月'!E:AF,28,0)+VLOOKUP(E:E,'（居民）工资表-11月'!E:AG,29,0),0)</f>
        <v>1191.85</v>
      </c>
      <c r="AG7" s="97">
        <f t="shared" si="3"/>
        <v>399.23</v>
      </c>
      <c r="AH7" s="107">
        <f t="shared" si="4"/>
        <v>8593.06</v>
      </c>
      <c r="AI7" s="108"/>
      <c r="AJ7" s="107">
        <f t="shared" si="5"/>
        <v>8593.06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130200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9440.71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60759.29</v>
      </c>
      <c r="AE8" s="96">
        <f>ROUND(MAX((AD8)*{0.03;0.1;0.2;0.25;0.3;0.35;0.45}-{0;2520;16920;31920;52920;85920;181920},0),2)</f>
        <v>3555.93</v>
      </c>
      <c r="AF8" s="97">
        <f>IFERROR(VLOOKUP(E:E,'（居民）工资表-11月'!E:AF,28,0)+VLOOKUP(E:E,'（居民）工资表-11月'!E:AG,29,0),0)</f>
        <v>3083.13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6124.09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11875.91</v>
      </c>
      <c r="AE9" s="96">
        <f>ROUND(MAX((AD9)*{0.03;0.1;0.2;0.25;0.3;0.35;0.45}-{0;2520;16920;31920;52920;85920;181920},0),2)</f>
        <v>356.28</v>
      </c>
      <c r="AF9" s="97">
        <f>IFERROR(VLOOKUP(E:E,'（居民）工资表-11月'!E:AF,28,0)+VLOOKUP(E:E,'（居民）工资表-11月'!E:AG,29,0),0)</f>
        <v>326.38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22000</v>
      </c>
      <c r="T10" s="91">
        <f>5000+IFERROR(VLOOKUP($E:$E,'（居民）工资表-11月'!$E:$T,16,0),0)</f>
        <v>20000</v>
      </c>
      <c r="U10" s="91">
        <f>Q10+IFERROR(VLOOKUP($E:$E,'（居民）工资表-11月'!$E:$U,17,0),0)</f>
        <v>2321.71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-321.71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54081.05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7634.67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-13553.62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108500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6884.71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41615.29</v>
      </c>
      <c r="AE12" s="96">
        <f>ROUND(MAX((AD12)*{0.03;0.1;0.2;0.25;0.3;0.35;0.45}-{0;2520;16920;31920;52920;85920;181920},0),2)</f>
        <v>1641.53</v>
      </c>
      <c r="AF12" s="97">
        <f>IFERROR(VLOOKUP(E:E,'（居民）工资表-11月'!E:AF,28,0)+VLOOKUP(E:E,'（居民）工资表-11月'!E:AG,29,0),0)</f>
        <v>1347.43</v>
      </c>
      <c r="AG12" s="97">
        <f t="shared" si="3"/>
        <v>294.1</v>
      </c>
      <c r="AH12" s="107">
        <f t="shared" si="4"/>
        <v>7646.9</v>
      </c>
      <c r="AI12" s="108"/>
      <c r="AJ12" s="107">
        <f t="shared" si="5"/>
        <v>7646.9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170</v>
      </c>
      <c r="AV12" s="12" t="s">
        <v>171</v>
      </c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89134.78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9440.71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19694.07</v>
      </c>
      <c r="AE13" s="96">
        <f>ROUND(MAX((AD13)*{0.03;0.1;0.2;0.25;0.3;0.35;0.45}-{0;2520;16920;31920;52920;85920;181920},0),2)</f>
        <v>590.82</v>
      </c>
      <c r="AF13" s="97">
        <f>IFERROR(VLOOKUP(E:E,'（居民）工资表-11月'!E:AF,28,0)+VLOOKUP(E:E,'（居民）工资表-11月'!E:AG,29,0),0)</f>
        <v>553.98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93208.7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9440.71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23767.99</v>
      </c>
      <c r="AE14" s="96">
        <f>ROUND(MAX((AD14)*{0.03;0.1;0.2;0.25;0.3;0.35;0.45}-{0;2520;16920;31920;52920;85920;181920},0),2)</f>
        <v>713.04</v>
      </c>
      <c r="AF14" s="97">
        <f>IFERROR(VLOOKUP(E:E,'（居民）工资表-11月'!E:AF,28,0)+VLOOKUP(E:E,'（居民）工资表-11月'!E:AG,29,0),0)</f>
        <v>676.2</v>
      </c>
      <c r="AG14" s="97">
        <f t="shared" si="3"/>
        <v>36.8399999999999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85372.73</v>
      </c>
      <c r="T15" s="91">
        <f>5000+IFERROR(VLOOKUP($E:$E,'（居民）工资表-11月'!$E:$T,16,0),0)</f>
        <v>60000</v>
      </c>
      <c r="U15" s="91">
        <f>Q15+IFERROR(VLOOKUP($E:$E,'（居民）工资表-11月'!$E:$U,17,0),0)</f>
        <v>6325.71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19047.02</v>
      </c>
      <c r="AE15" s="96">
        <f>ROUND(MAX((AD15)*{0.03;0.1;0.2;0.25;0.3;0.35;0.45}-{0;2520;16920;31920;52920;85920;181920},0),2)</f>
        <v>571.41</v>
      </c>
      <c r="AF15" s="97">
        <f>IFERROR(VLOOKUP(E:E,'（居民）工资表-11月'!E:AF,28,0)+VLOOKUP(E:E,'（居民）工资表-11月'!E:AG,29,0),0)</f>
        <v>528.18</v>
      </c>
      <c r="AG15" s="97">
        <f t="shared" si="3"/>
        <v>43.23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74402.83</v>
      </c>
      <c r="T16" s="91">
        <f>5000+IFERROR(VLOOKUP($E:$E,'（居民）工资表-11月'!$E:$T,16,0),0)</f>
        <v>60000</v>
      </c>
      <c r="U16" s="91">
        <f>Q16+IFERROR(VLOOKUP($E:$E,'（居民）工资表-11月'!$E:$U,17,0),0)</f>
        <v>5453.81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8949.02</v>
      </c>
      <c r="AE16" s="96">
        <f>ROUND(MAX((AD16)*{0.03;0.1;0.2;0.25;0.3;0.35;0.45}-{0;2520;16920;31920;52920;85920;181920},0),2)</f>
        <v>268.47</v>
      </c>
      <c r="AF16" s="97">
        <f>IFERROR(VLOOKUP(E:E,'（居民）工资表-11月'!E:AF,28,0)+VLOOKUP(E:E,'（居民）工资表-11月'!E:AG,29,0),0)</f>
        <v>242.9</v>
      </c>
      <c r="AG16" s="97">
        <f t="shared" si="3"/>
        <v>25.57</v>
      </c>
      <c r="AH16" s="107">
        <f t="shared" si="4"/>
        <v>5826.72</v>
      </c>
      <c r="AI16" s="108"/>
      <c r="AJ16" s="107">
        <f t="shared" si="5"/>
        <v>5826.72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210</v>
      </c>
      <c r="D17" s="37" t="s">
        <v>143</v>
      </c>
      <c r="E17" s="326" t="s">
        <v>211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29240</v>
      </c>
      <c r="T17" s="91">
        <f>5000+IFERROR(VLOOKUP($E:$E,'（居民）工资表-11月'!$E:$T,16,0),0)</f>
        <v>20000</v>
      </c>
      <c r="U17" s="91">
        <f>Q17+IFERROR(VLOOKUP($E:$E,'（居民）工资表-11月'!$E:$U,17,0),0)</f>
        <v>2186.2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7053.8</v>
      </c>
      <c r="AE17" s="96">
        <f>ROUND(MAX((AD17)*{0.03;0.1;0.2;0.25;0.3;0.35;0.45}-{0;2520;16920;31920;52920;85920;181920},0),2)</f>
        <v>211.61</v>
      </c>
      <c r="AF17" s="97">
        <f>IFERROR(VLOOKUP(E:E,'（居民）工资表-11月'!E:AF,28,0)+VLOOKUP(E:E,'（居民）工资表-11月'!E:AG,29,0),0)</f>
        <v>182.16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73400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6398.17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7001.83</v>
      </c>
      <c r="AE18" s="96">
        <f>ROUND(MAX((AD18)*{0.03;0.1;0.2;0.25;0.3;0.35;0.45}-{0;2520;16920;31920;52920;85920;181920},0),2)</f>
        <v>210.05</v>
      </c>
      <c r="AF18" s="97">
        <f>IFERROR(VLOOKUP(E:E,'（居民）工资表-11月'!E:AF,28,0)+VLOOKUP(E:E,'（居民）工资表-11月'!E:AG,29,0),0)</f>
        <v>195.8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212</v>
      </c>
      <c r="D19" s="37" t="s">
        <v>143</v>
      </c>
      <c r="E19" s="326" t="s">
        <v>213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21791.47</v>
      </c>
      <c r="T19" s="91">
        <f>5000+IFERROR(VLOOKUP($E:$E,'（居民）工资表-11月'!$E:$T,16,0),0)</f>
        <v>20000</v>
      </c>
      <c r="U19" s="91">
        <f>Q19+IFERROR(VLOOKUP($E:$E,'（居民）工资表-11月'!$E:$U,17,0),0)</f>
        <v>1652.11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139.36</v>
      </c>
      <c r="AE19" s="96">
        <f>ROUND(MAX((AD19)*{0.03;0.1;0.2;0.25;0.3;0.35;0.45}-{0;2520;16920;31920;52920;85920;181920},0),2)</f>
        <v>4.18</v>
      </c>
      <c r="AF19" s="97">
        <f>IFERROR(VLOOKUP(E:E,'（居民）工资表-11月'!E:AF,28,0)+VLOOKUP(E:E,'（居民）工资表-11月'!E:AG,29,0),0)</f>
        <v>0</v>
      </c>
      <c r="AG19" s="97">
        <f t="shared" si="3"/>
        <v>4.18</v>
      </c>
      <c r="AH19" s="107">
        <f t="shared" si="4"/>
        <v>7245.82</v>
      </c>
      <c r="AI19" s="108"/>
      <c r="AJ19" s="107">
        <f t="shared" si="5"/>
        <v>7245.82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1496771.56</v>
      </c>
      <c r="T21" s="74">
        <f t="shared" si="8"/>
        <v>840000</v>
      </c>
      <c r="U21" s="74">
        <f t="shared" si="8"/>
        <v>106349.18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521622.38</v>
      </c>
      <c r="AE21" s="74">
        <f t="shared" si="8"/>
        <v>51409.08</v>
      </c>
      <c r="AF21" s="74">
        <f t="shared" si="8"/>
        <v>45990.21</v>
      </c>
      <c r="AG21" s="74">
        <f t="shared" si="8"/>
        <v>6210.01</v>
      </c>
      <c r="AH21" s="74">
        <f t="shared" si="8"/>
        <v>119815.43</v>
      </c>
      <c r="AI21" s="126">
        <f t="shared" si="8"/>
        <v>0</v>
      </c>
      <c r="AJ21" s="74">
        <f t="shared" si="8"/>
        <v>119815.43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119815.43</v>
      </c>
      <c r="C26" s="48">
        <f>AG21</f>
        <v>6210.01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216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217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218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219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220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221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222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223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224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221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221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224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220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225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220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216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226</v>
      </c>
      <c r="C1" s="1"/>
      <c r="D1" s="1"/>
      <c r="E1" s="1"/>
    </row>
    <row r="2" ht="21" spans="2:2">
      <c r="B2" s="2"/>
    </row>
    <row r="3" ht="27.75" customHeight="1" spans="2:5">
      <c r="B3" s="3" t="s">
        <v>227</v>
      </c>
      <c r="C3" s="4" t="s">
        <v>228</v>
      </c>
      <c r="D3" s="4" t="s">
        <v>229</v>
      </c>
      <c r="E3" s="4" t="s">
        <v>230</v>
      </c>
    </row>
    <row r="4" ht="29.25" customHeight="1" spans="2:5">
      <c r="B4" s="5">
        <v>1</v>
      </c>
      <c r="C4" s="6" t="s">
        <v>231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237</v>
      </c>
      <c r="D10" s="7">
        <v>0.45</v>
      </c>
      <c r="E10" s="8">
        <v>181920</v>
      </c>
    </row>
    <row r="13" ht="57" customHeight="1" spans="2:5">
      <c r="B13" s="1" t="s">
        <v>238</v>
      </c>
      <c r="C13" s="1"/>
      <c r="D13" s="1"/>
      <c r="E13" s="1"/>
    </row>
    <row r="14" ht="21" spans="2:2">
      <c r="B14" s="2"/>
    </row>
    <row r="15" ht="27.75" customHeight="1" spans="2:5">
      <c r="B15" s="3" t="s">
        <v>227</v>
      </c>
      <c r="C15" s="4" t="s">
        <v>239</v>
      </c>
      <c r="D15" s="4" t="s">
        <v>229</v>
      </c>
      <c r="E15" s="4" t="s">
        <v>230</v>
      </c>
    </row>
    <row r="16" ht="29.25" customHeight="1" spans="2:5">
      <c r="B16" s="5">
        <v>1</v>
      </c>
      <c r="C16" s="6" t="s">
        <v>240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242</v>
      </c>
      <c r="D18" s="7">
        <v>0.4</v>
      </c>
      <c r="E18" s="8">
        <v>7000</v>
      </c>
    </row>
    <row r="21" ht="47.25" customHeight="1" spans="2:5">
      <c r="B21" s="1" t="s">
        <v>243</v>
      </c>
      <c r="C21" s="1"/>
      <c r="D21" s="1"/>
      <c r="E21" s="1"/>
    </row>
    <row r="22" ht="21" spans="2:2">
      <c r="B22" s="2"/>
    </row>
    <row r="23" ht="27.75" customHeight="1" spans="2:5">
      <c r="B23" s="3" t="s">
        <v>227</v>
      </c>
      <c r="C23" s="4" t="s">
        <v>244</v>
      </c>
      <c r="D23" s="4" t="s">
        <v>229</v>
      </c>
      <c r="E23" s="4" t="s">
        <v>230</v>
      </c>
    </row>
    <row r="24" ht="29.25" customHeight="1" spans="2:5">
      <c r="B24" s="5">
        <v>1</v>
      </c>
      <c r="C24" s="6" t="s">
        <v>245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251</v>
      </c>
      <c r="D30" s="7">
        <v>0.45</v>
      </c>
      <c r="E30" s="8">
        <v>15160</v>
      </c>
    </row>
    <row r="35" ht="57" customHeight="1" spans="2:5">
      <c r="B35" s="9" t="s">
        <v>252</v>
      </c>
      <c r="C35" s="9"/>
      <c r="D35" s="9"/>
      <c r="E35" s="9"/>
    </row>
    <row r="36" ht="14.25"/>
    <row r="37" ht="21.75" customHeight="1" spans="2:5">
      <c r="B37" s="3" t="s">
        <v>227</v>
      </c>
      <c r="C37" s="4" t="s">
        <v>253</v>
      </c>
      <c r="D37" s="4" t="s">
        <v>254</v>
      </c>
      <c r="E37" s="4" t="s">
        <v>230</v>
      </c>
    </row>
    <row r="38" ht="21.75" customHeight="1" spans="2:5">
      <c r="B38" s="5">
        <v>1</v>
      </c>
      <c r="C38" s="6" t="s">
        <v>245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2024-08-05T05:58:15Z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2052-12.1.0.17147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