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609" firstSheet="1" activeTab="1"/>
  </bookViews>
  <sheets>
    <sheet name="社保" sheetId="27" state="hidden" r:id="rId1"/>
    <sheet name="付款通知" sheetId="26" r:id="rId2"/>
    <sheet name="（居民）工资表-7月" sheetId="20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'（居民）工资表-9月'!$A$3:$AT$21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'（居民）工资表-8月'!$A$3:$AV$20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<sst xmlns="http://schemas.openxmlformats.org/spreadsheetml/2006/main" count="2230" uniqueCount="256">
  <si>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</si>
  <si>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</si>
  <si>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</si>
  <si>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</si>
  <si>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</si>
  <si>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</si>
  <si>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</si>
  <si>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</si>
  <si>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</si>
  <si>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</si>
  <si>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</si>
  <si>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</si>
  <si>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</si>
  <si>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</si>
  <si>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</si>
  <si>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</si>
  <si>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</si>
  <si>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</si>
  <si>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</si>
  <si>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</si>
  <si>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</si>
  <si>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</si>
  <si>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</si>
  <si>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</si>
  <si>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</si>
  <si>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</si>
  <si>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</si>
  <si>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</si>
  <si>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</si>
  <si>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</si>
  <si>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</si>
  <si>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</si>
  <si>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</si>
  <si>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</si>
  <si>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</si>
  <si>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</si>
  <si>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</si>
  <si>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</si>
  <si>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</si>
  <si>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</si>
  <si>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</si>
  <si>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</si>
  <si>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</si>
  <si>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</si>
  <si>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</si>
  <si>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</si>
  <si>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</si>
  <si>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</si>
  <si>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</si>
  <si>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</si>
  <si>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</si>
  <si>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</si>
  <si>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</si>
  <si>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</si>
  <si>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</si>
  <si>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</si>
  <si>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</si>
  <si>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</si>
  <si>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</si>
  <si>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</si>
  <si>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</si>
  <si>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</si>
  <si>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</si>
  <si>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</si>
  <si>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</si>
  <si>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</si>
  <si>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</si>
  <si>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</si>
  <si>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</si>
  <si>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根据贵公司与我公司所签订的服务协议，请贵公司在2024年7月8日之前按照下列表格内容支付相关款项.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</si>
  <si>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</si>
  <si>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</si>
  <si>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</si>
  <si>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</si>
  <si>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</si>
  <si>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</si>
  <si>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</si>
  <si>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</si>
  <si>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</si>
  <si>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</si>
  <si>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</si>
  <si>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</si>
  <si>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</si>
  <si>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</si>
  <si>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</si>
  <si>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</si>
  <si>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</si>
  <si>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</si>
  <si>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</si>
  <si>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</si>
  <si>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</si>
  <si>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</si>
  <si>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</si>
  <si>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</si>
  <si>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</si>
  <si>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</si>
  <si>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</si>
  <si>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</si>
  <si>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</si>
  <si>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</si>
  <si>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</si>
  <si>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</si>
  <si>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</si>
  <si>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</si>
  <si>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</si>
  <si>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</si>
  <si>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</si>
  <si>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</si>
  <si>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</si>
  <si>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</si>
  <si>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</si>
  <si>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</si>
  <si>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</si>
  <si>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</si>
  <si>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</si>
  <si>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</si>
  <si>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</si>
  <si>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</si>
  <si>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</si>
  <si>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</si>
  <si>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</si>
  <si>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</si>
  <si>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</si>
  <si>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</si>
  <si>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</si>
  <si>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</si>
  <si>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</si>
  <si>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</si>
  <si>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</si>
  <si>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</si>
  <si>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</si>
  <si>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</si>
  <si>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</si>
  <si>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</si>
  <si>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</si>
  <si>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</si>
  <si>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</si>
  <si>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</si>
  <si>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</si>
  <si>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</si>
  <si>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</si>
  <si>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</si>
  <si>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</si>
  <si>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</si>
  <si>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</si>
  <si>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</si>
  <si>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</si>
  <si>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</si>
  <si>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</si>
  <si>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</si>
  <si>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</si>
  <si>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</si>
  <si>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</si>
  <si>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</si>
  <si>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</si>
  <si>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</si>
  <si>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</si>
  <si>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</si>
  <si>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</si>
  <si>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</si>
  <si>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</si>
  <si>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</si>
  <si>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</si>
  <si>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</si>
  <si>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</si>
  <si>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</si>
  <si>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</si>
  <si>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</si>
  <si>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</si>
  <si>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</si>
  <si>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</si>
  <si>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</si>
  <si>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</si>
  <si>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</si>
  <si>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</si>
  <si>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</si>
  <si>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</si>
  <si>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</si>
  <si>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</si>
  <si>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</si>
  <si>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</si>
  <si>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</si>
  <si>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</si>
  <si>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</si>
  <si>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</si>
  <si>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</si>
  <si>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</si>
  <si>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</si>
  <si>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</si>
  <si>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</si>
  <si>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</si>
  <si>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</si>
  <si>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</si>
  <si>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</si>
  <si>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</si>
  <si>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</si>
  <si>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</si>
  <si>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</si>
  <si>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</si>
  <si>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</si>
  <si>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</si>
  <si>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</si>
  <si>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</si>
  <si>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</si>
  <si>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</si>
  <si>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</si>
  <si>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</si>
  <si>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谭江月</t>
  </si>
  <si>
    <t>500228199607193387</t>
  </si>
  <si>
    <t>18297976577</t>
  </si>
  <si>
    <t>杨文</t>
  </si>
  <si>
    <t>430902198512287016</t>
  </si>
  <si>
    <t>周兆平</t>
  </si>
  <si>
    <t>420625199902250033</t>
  </si>
  <si>
    <t>武汉</t>
  </si>
  <si>
    <t>武汉乾通</t>
  </si>
  <si>
    <t>重庆易铭天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</si>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</sst>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B6" sqref="B6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132524.26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132524.26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132524.26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'（居民）工资表-7月'!E25</f>
        <v>132524.26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132524.26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132524.26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132524.26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10" activePane="bottomRight" state="frozen"/>
      <selection/>
      <selection pane="topRight"/>
      <selection pane="bottomLeft"/>
      <selection pane="bottomRight" activeCell="G27" sqref="G2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342.66</v>
      </c>
      <c r="N4" s="71">
        <v>76.62</v>
      </c>
      <c r="O4" s="71">
        <v>12.85</v>
      </c>
      <c r="P4" s="71">
        <v>177</v>
      </c>
      <c r="Q4" s="89">
        <f>ROUND(SUM(M4:P4),2)</f>
        <v>609.13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4826.03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19173.97</v>
      </c>
      <c r="AE4" s="96">
        <f>ROUND(MAX((AD4)*{0.03;0.1;0.2;0.25;0.3;0.35;0.45}-{0;2520;16920;31920;52920;85920;181920},0),2)</f>
        <v>575.22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144.07</v>
      </c>
      <c r="AH4" s="107">
        <f>ROUND(IF((L4-Q4-AG4)&lt;0,0,(L4-Q4-AG4)),2)</f>
        <v>7246.8</v>
      </c>
      <c r="AI4" s="108"/>
      <c r="AJ4" s="107">
        <f>AH4+AI4</f>
        <v>7246.8</v>
      </c>
      <c r="AK4" s="109"/>
      <c r="AL4" s="107">
        <f>AJ4+AG4+AK4</f>
        <v>7390.87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478.4</v>
      </c>
      <c r="N5" s="71">
        <v>113.48</v>
      </c>
      <c r="O5" s="71">
        <v>4.6</v>
      </c>
      <c r="P5" s="71">
        <v>115</v>
      </c>
      <c r="Q5" s="89">
        <f>ROUND(SUM(M5:P5),2)</f>
        <v>711.48</v>
      </c>
      <c r="R5" s="70">
        <v>0</v>
      </c>
      <c r="S5" s="90">
        <f>L5+IFERROR(VLOOKUP($E:$E,'（居民）工资表-7月'!$E:$S,15,0),0)</f>
        <v>46400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5347.16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1052.84</v>
      </c>
      <c r="AE5" s="96">
        <f>ROUND(MAX((AD5)*{0.03;0.1;0.2;0.25;0.3;0.35;0.45}-{0;2520;16920;31920;52920;85920;181920},0),2)</f>
        <v>31.59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12.79</v>
      </c>
      <c r="AH5" s="107">
        <f>ROUND(IF((L5-Q5-AG5)&lt;0,0,(L5-Q5-AG5)),2)</f>
        <v>4975.73</v>
      </c>
      <c r="AI5" s="108"/>
      <c r="AJ5" s="107">
        <f>AH5+AI5</f>
        <v>4975.73</v>
      </c>
      <c r="AK5" s="109"/>
      <c r="AL5" s="107">
        <f>AJ5+AG5+AK5</f>
        <v>4988.52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ref="Q6:Q19" si="0">ROUND(SUM(M6:P6),2)</f>
        <v>948.85</v>
      </c>
      <c r="R6" s="70">
        <v>0</v>
      </c>
      <c r="S6" s="90">
        <f>L6+IFERROR(VLOOKUP($E:$E,'（居民）工资表-7月'!$E:$S,15,0),0)</f>
        <v>241980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7588.7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194391.3</v>
      </c>
      <c r="AE6" s="96">
        <f>ROUND(MAX((AD6)*{0.03;0.1;0.2;0.25;0.3;0.35;0.45}-{0;2520;16920;31920;52920;85920;181920},0),2)</f>
        <v>21958.26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7222.23</v>
      </c>
      <c r="AH6" s="107">
        <f t="shared" ref="AH6:AH19" si="4">ROUND(IF((L6-Q6-AG6)&lt;0,0,(L6-Q6-AG6)),2)</f>
        <v>23388.92</v>
      </c>
      <c r="AI6" s="108"/>
      <c r="AJ6" s="107">
        <f t="shared" ref="AJ6:AJ19" si="5">AH6+AI6</f>
        <v>23388.92</v>
      </c>
      <c r="AK6" s="109"/>
      <c r="AL6" s="107">
        <f t="shared" ref="AL6:AL19" si="6">AJ6+AG6+AK6</f>
        <v>30611.15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8500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L7+IFERROR(VLOOKUP($E:$E,'（居民）工资表-7月'!$E:$S,15,0),0)</f>
        <v>69500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4201.33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25298.67</v>
      </c>
      <c r="AE7" s="96">
        <f>ROUND(MAX((AD7)*{0.03;0.1;0.2;0.25;0.3;0.35;0.45}-{0;2520;16920;31920;52920;85920;181920},0),2)</f>
        <v>758.96</v>
      </c>
      <c r="AF7" s="97">
        <f>IFERROR(VLOOKUP(E:E,'（居民）工资表-7月'!E:AF,28,0)+VLOOKUP(E:E,'（居民）工资表-7月'!E:AG,29,0),0)</f>
        <v>519.18</v>
      </c>
      <c r="AG7" s="97">
        <f t="shared" si="3"/>
        <v>239.78</v>
      </c>
      <c r="AH7" s="107">
        <f t="shared" si="4"/>
        <v>7752.86</v>
      </c>
      <c r="AI7" s="108"/>
      <c r="AJ7" s="107">
        <f t="shared" si="5"/>
        <v>7752.86</v>
      </c>
      <c r="AK7" s="109"/>
      <c r="AL7" s="107">
        <f t="shared" si="6"/>
        <v>7992.64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11800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L8+IFERROR(VLOOKUP($E:$E,'（居民）工资表-7月'!$E:$S,15,0),0)</f>
        <v>87300</v>
      </c>
      <c r="T8" s="91">
        <f>5000+IFERROR(VLOOKUP($E:$E,'（居民）工资表-7月'!$E:$T,16,0),0)</f>
        <v>40000</v>
      </c>
      <c r="U8" s="91">
        <f>Q8+IFERROR(VLOOKUP($E:$E,'（居民）工资表-7月'!$E:$U,17,0),0)</f>
        <v>5984.36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41315.64</v>
      </c>
      <c r="AE8" s="96">
        <f>ROUND(MAX((AD8)*{0.03;0.1;0.2;0.25;0.3;0.35;0.45}-{0;2520;16920;31920;52920;85920;181920},0),2)</f>
        <v>1611.56</v>
      </c>
      <c r="AF8" s="97">
        <f>IFERROR(VLOOKUP(E:E,'（居民）工资表-7月'!E:AF,28,0)+VLOOKUP(E:E,'（居民）工资表-7月'!E:AG,29,0),0)</f>
        <v>1052.88</v>
      </c>
      <c r="AG8" s="97">
        <f t="shared" si="3"/>
        <v>558.68</v>
      </c>
      <c r="AH8" s="107">
        <f t="shared" si="4"/>
        <v>10660.96</v>
      </c>
      <c r="AI8" s="108"/>
      <c r="AJ8" s="107">
        <f t="shared" si="5"/>
        <v>10660.96</v>
      </c>
      <c r="AK8" s="109"/>
      <c r="AL8" s="107">
        <f t="shared" si="6"/>
        <v>11219.64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4225.25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7774.75</v>
      </c>
      <c r="AE9" s="96">
        <f>ROUND(MAX((AD9)*{0.03;0.1;0.2;0.25;0.3;0.35;0.45}-{0;2520;16920;31920;52920;85920;181920},0),2)</f>
        <v>233.24</v>
      </c>
      <c r="AF9" s="97">
        <f>IFERROR(VLOOKUP(E:E,'（居民）工资表-7月'!E:AF,28,0)+VLOOKUP(E:E,'（居民）工资表-7月'!E:AG,29,0),0)</f>
        <v>203.67</v>
      </c>
      <c r="AG9" s="97">
        <f t="shared" si="3"/>
        <v>29.57</v>
      </c>
      <c r="AH9" s="107">
        <f t="shared" si="4"/>
        <v>5956.27</v>
      </c>
      <c r="AI9" s="108"/>
      <c r="AJ9" s="107">
        <f t="shared" si="5"/>
        <v>5956.27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L10+IFERROR(VLOOKUP($E:$E,'（居民）工资表-7月'!$E:$S,15,0),0)</f>
        <v>5500</v>
      </c>
      <c r="T10" s="91">
        <f>5000+IFERROR(VLOOKUP($E:$E,'（居民）工资表-7月'!$E:$T,16,0),0)</f>
        <v>5000</v>
      </c>
      <c r="U10" s="91">
        <f>Q10+IFERROR(VLOOKUP($E:$E,'（居民）工资表-7月'!$E:$U,17,0),0)</f>
        <v>525.49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-25.49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L11+IFERROR(VLOOKUP($E:$E,'（居民）工资表-7月'!$E:$S,15,0),0)</f>
        <v>36279.68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5002.02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-8722.34</v>
      </c>
      <c r="AE11" s="96">
        <f>ROUND(MAX((AD11)*{0.03;0.1;0.2;0.25;0.3;0.35;0.45}-{0;2520;16920;31920;52920;85920;181920},0),2)</f>
        <v>0</v>
      </c>
      <c r="AF11" s="97">
        <f>IFERROR(VLOOKUP(E:E,'（居民）工资表-7月'!E:AF,28,0)+VLOOKUP(E:E,'（居民）工资表-7月'!E:AG,29,0),0)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11300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L12+IFERROR(VLOOKUP($E:$E,'（居民）工资表-7月'!$E:$S,15,0),0)</f>
        <v>71800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4448.21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27351.79</v>
      </c>
      <c r="AE12" s="96">
        <f>ROUND(MAX((AD12)*{0.03;0.1;0.2;0.25;0.3;0.35;0.45}-{0;2520;16920;31920;52920;85920;181920},0),2)</f>
        <v>820.55</v>
      </c>
      <c r="AF12" s="97">
        <f>IFERROR(VLOOKUP(E:E,'（居民）工资表-7月'!E:AF,28,0)+VLOOKUP(E:E,'（居民）工资表-7月'!E:AG,29,0),0)</f>
        <v>647.61</v>
      </c>
      <c r="AG12" s="97">
        <f t="shared" si="3"/>
        <v>172.94</v>
      </c>
      <c r="AH12" s="107">
        <f t="shared" si="4"/>
        <v>10591.85</v>
      </c>
      <c r="AI12" s="108"/>
      <c r="AJ12" s="107">
        <f t="shared" si="5"/>
        <v>10591.85</v>
      </c>
      <c r="AK12" s="109"/>
      <c r="AL12" s="107">
        <f t="shared" si="6"/>
        <v>10764.79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8227.27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L13+IFERROR(VLOOKUP($E:$E,'（居民）工资表-7月'!$E:$S,15,0),0)</f>
        <v>58227.27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5984.36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12242.91</v>
      </c>
      <c r="AE13" s="96">
        <f>ROUND(MAX((AD13)*{0.03;0.1;0.2;0.25;0.3;0.35;0.45}-{0;2520;16920;31920;52920;85920;181920},0),2)</f>
        <v>367.29</v>
      </c>
      <c r="AF13" s="97">
        <f>IFERROR(VLOOKUP(E:E,'（居民）工资表-7月'!E:AF,28,0)+VLOOKUP(E:E,'（居民）工资表-7月'!E:AG,29,0),0)</f>
        <v>287.88</v>
      </c>
      <c r="AG13" s="97">
        <f t="shared" si="3"/>
        <v>79.41</v>
      </c>
      <c r="AH13" s="107">
        <f t="shared" si="4"/>
        <v>7567.5</v>
      </c>
      <c r="AI13" s="108"/>
      <c r="AJ13" s="107">
        <f t="shared" si="5"/>
        <v>7567.5</v>
      </c>
      <c r="AK13" s="109"/>
      <c r="AL13" s="107">
        <f t="shared" si="6"/>
        <v>7646.91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11000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L14+IFERROR(VLOOKUP($E:$E,'（居民）工资表-7月'!$E:$S,15,0),0)</f>
        <v>62608.7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5984.36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16624.34</v>
      </c>
      <c r="AE14" s="96">
        <f>ROUND(MAX((AD14)*{0.03;0.1;0.2;0.25;0.3;0.35;0.45}-{0;2520;16920;31920;52920;85920;181920},0),2)</f>
        <v>498.73</v>
      </c>
      <c r="AF14" s="97">
        <f>IFERROR(VLOOKUP(E:E,'（居民）工资表-7月'!E:AF,28,0)+VLOOKUP(E:E,'（居民）工资表-7月'!E:AG,29,0),0)</f>
        <v>336.14</v>
      </c>
      <c r="AG14" s="97">
        <f t="shared" si="3"/>
        <v>162.59</v>
      </c>
      <c r="AH14" s="107">
        <f t="shared" si="4"/>
        <v>10257.05</v>
      </c>
      <c r="AI14" s="108"/>
      <c r="AJ14" s="107">
        <f t="shared" si="5"/>
        <v>10257.05</v>
      </c>
      <c r="AK14" s="109"/>
      <c r="AL14" s="107">
        <f t="shared" si="6"/>
        <v>10419.64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L15+IFERROR(VLOOKUP($E:$E,'（居民）工资表-7月'!$E:$S,15,0),0)</f>
        <v>57500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4448.21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13051.79</v>
      </c>
      <c r="AE15" s="96">
        <f>ROUND(MAX((AD15)*{0.03;0.1;0.2;0.25;0.3;0.35;0.45}-{0;2520;16920;31920;52920;85920;181920},0),2)</f>
        <v>391.55</v>
      </c>
      <c r="AF15" s="97">
        <f>IFERROR(VLOOKUP(E:E,'（居民）工资表-7月'!E:AF,28,0)+VLOOKUP(E:E,'（居民）工资表-7月'!E:AG,29,0),0)</f>
        <v>320.61</v>
      </c>
      <c r="AG15" s="97">
        <f t="shared" si="3"/>
        <v>70.94</v>
      </c>
      <c r="AH15" s="107">
        <f t="shared" si="4"/>
        <v>7293.85</v>
      </c>
      <c r="AI15" s="108"/>
      <c r="AJ15" s="107">
        <f t="shared" si="5"/>
        <v>7293.85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7860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L16+IFERROR(VLOOKUP($E:$E,'（居民）工资表-7月'!$E:$S,15,0),0)</f>
        <v>51607.38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4201.33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7406.05</v>
      </c>
      <c r="AE16" s="96">
        <f>ROUND(MAX((AD16)*{0.03;0.1;0.2;0.25;0.3;0.35;0.45}-{0;2520;16920;31920;52920;85920;181920},0),2)</f>
        <v>222.18</v>
      </c>
      <c r="AF16" s="97">
        <f>IFERROR(VLOOKUP(E:E,'（居民）工资表-7月'!E:AF,28,0)+VLOOKUP(E:E,'（居民）工资表-7月'!E:AG,29,0),0)</f>
        <v>151.6</v>
      </c>
      <c r="AG16" s="97">
        <f t="shared" si="3"/>
        <v>70.58</v>
      </c>
      <c r="AH16" s="107">
        <f t="shared" si="4"/>
        <v>7282.06</v>
      </c>
      <c r="AI16" s="108"/>
      <c r="AJ16" s="107">
        <f t="shared" si="5"/>
        <v>7282.06</v>
      </c>
      <c r="AK16" s="109"/>
      <c r="AL16" s="107">
        <f t="shared" si="6"/>
        <v>7352.64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L17+IFERROR(VLOOKUP($E:$E,'（居民）工资表-7月'!$E:$S,15,0),0)</f>
        <v>6560</v>
      </c>
      <c r="T17" s="91">
        <f>5000+IFERROR(VLOOKUP($E:$E,'（居民）工资表-7月'!$E:$T,16,0),0)</f>
        <v>5000</v>
      </c>
      <c r="U17" s="91">
        <f>Q17+IFERROR(VLOOKUP($E:$E,'（居民）工资表-7月'!$E:$U,17,0),0)</f>
        <v>589.16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970.84</v>
      </c>
      <c r="AE17" s="96">
        <f>ROUND(MAX((AD17)*{0.03;0.1;0.2;0.25;0.3;0.35;0.45}-{0;2520;16920;31920;52920;85920;181920},0),2)</f>
        <v>29.13</v>
      </c>
      <c r="AF17" s="97">
        <f>IFERROR(VLOOKUP(E:E,'（居民）工资表-7月'!E:AF,28,0)+VLOOKUP(E:E,'（居民）工资表-7月'!E:AG,29,0),0)</f>
        <v>0</v>
      </c>
      <c r="AG17" s="97">
        <f t="shared" si="3"/>
        <v>29.13</v>
      </c>
      <c r="AH17" s="107">
        <f t="shared" si="4"/>
        <v>5941.71</v>
      </c>
      <c r="AI17" s="108"/>
      <c r="AJ17" s="107">
        <f t="shared" si="5"/>
        <v>5941.71</v>
      </c>
      <c r="AK17" s="109"/>
      <c r="AL17" s="107">
        <f t="shared" si="6"/>
        <v>5970.84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7800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L18+IFERROR(VLOOKUP($E:$E,'（居民）工资表-7月'!$E:$S,15,0),0)</f>
        <v>49800</v>
      </c>
      <c r="T18" s="91">
        <f>5000+IFERROR(VLOOKUP($E:$E,'（居民）工资表-7月'!$E:$T,16,0),0)</f>
        <v>40000</v>
      </c>
      <c r="U18" s="91">
        <f>Q18+IFERROR(VLOOKUP($E:$E,'（居民）工资表-7月'!$E:$U,17,0),0)</f>
        <v>4180.36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5619.64</v>
      </c>
      <c r="AE18" s="96">
        <f>ROUND(MAX((AD18)*{0.03;0.1;0.2;0.25;0.3;0.35;0.45}-{0;2520;16920;31920;52920;85920;181920},0),2)</f>
        <v>168.59</v>
      </c>
      <c r="AF18" s="97">
        <f>IFERROR(VLOOKUP(E:E,'（居民）工资表-7月'!E:AF,28,0)+VLOOKUP(E:E,'（居民）工资表-7月'!E:AG,29,0),0)</f>
        <v>99.75</v>
      </c>
      <c r="AG18" s="97">
        <f t="shared" si="3"/>
        <v>68.84</v>
      </c>
      <c r="AH18" s="107">
        <f t="shared" si="4"/>
        <v>7225.8</v>
      </c>
      <c r="AI18" s="108"/>
      <c r="AJ18" s="107">
        <f t="shared" si="5"/>
        <v>7225.8</v>
      </c>
      <c r="AK18" s="109"/>
      <c r="AL18" s="107">
        <f t="shared" si="6"/>
        <v>7294.64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3800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L19+IFERROR(VLOOKUP($E:$E,'（居民）工资表-7月'!$E:$S,15,0),0)</f>
        <v>3800</v>
      </c>
      <c r="T19" s="91">
        <f>5000+IFERROR(VLOOKUP($E:$E,'（居民）工资表-7月'!$E:$T,16,0),0)</f>
        <v>5000</v>
      </c>
      <c r="U19" s="91">
        <f>Q19+IFERROR(VLOOKUP($E:$E,'（居民）工资表-7月'!$E:$U,17,0),0)</f>
        <v>527.43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R19+IFERROR(VLOOKUP($E:$E,'（居民）工资表-7月'!$E:$AC,25,0),0)</f>
        <v>0</v>
      </c>
      <c r="AD19" s="95">
        <f t="shared" si="2"/>
        <v>-1727.43</v>
      </c>
      <c r="AE19" s="96">
        <f>ROUND(MAX((AD19)*{0.03;0.1;0.2;0.25;0.3;0.35;0.45}-{0;2520;16920;31920;52920;85920;181920},0),2)</f>
        <v>0</v>
      </c>
      <c r="AF19" s="97">
        <f>IFERROR(VLOOKUP(E:E,'（居民）工资表-7月'!E:AF,28,0)+VLOOKUP(E:E,'（居民）工资表-7月'!E:AG,29,0),0)</f>
        <v>0</v>
      </c>
      <c r="AG19" s="97">
        <f t="shared" si="3"/>
        <v>0</v>
      </c>
      <c r="AH19" s="107">
        <f t="shared" si="4"/>
        <v>3272.57</v>
      </c>
      <c r="AI19" s="108"/>
      <c r="AJ19" s="107">
        <f t="shared" si="5"/>
        <v>3272.57</v>
      </c>
      <c r="AK19" s="109"/>
      <c r="AL19" s="107">
        <f t="shared" si="6"/>
        <v>3272.57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IF(SUMPRODUCT(N(E$1:E$18=E19))&gt;1,"重复","不")</f>
        <v>不</v>
      </c>
      <c r="AT19" s="116" t="str">
        <f>IF(SUMPRODUCT(N(AO$1:AO$18=AO19))&gt;1,"重复","不")</f>
        <v>重复</v>
      </c>
      <c r="AU19" s="12" t="s">
        <v>214</v>
      </c>
      <c r="AV19" s="12" t="s">
        <v>215</v>
      </c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146606.07</v>
      </c>
      <c r="M20" s="74">
        <f>SUM(M4:M19)</f>
        <v>5484.26</v>
      </c>
      <c r="N20" s="74">
        <f>SUM(N4:N19)</f>
        <v>1511.24</v>
      </c>
      <c r="O20" s="74">
        <f t="shared" ref="O20:AL20" si="10">SUM(O4:O19)</f>
        <v>284.98</v>
      </c>
      <c r="P20" s="74">
        <f t="shared" si="10"/>
        <v>2069.8</v>
      </c>
      <c r="Q20" s="74">
        <f t="shared" si="10"/>
        <v>9350.28</v>
      </c>
      <c r="R20" s="74">
        <f t="shared" si="10"/>
        <v>0</v>
      </c>
      <c r="S20" s="74">
        <f t="shared" si="10"/>
        <v>964863.03</v>
      </c>
      <c r="T20" s="74">
        <f t="shared" si="10"/>
        <v>535000</v>
      </c>
      <c r="U20" s="74">
        <f t="shared" si="10"/>
        <v>68063.76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361799.27</v>
      </c>
      <c r="AE20" s="74">
        <f t="shared" si="10"/>
        <v>27666.85</v>
      </c>
      <c r="AF20" s="74">
        <f t="shared" si="10"/>
        <v>18805.3</v>
      </c>
      <c r="AG20" s="74">
        <f t="shared" si="10"/>
        <v>8861.55</v>
      </c>
      <c r="AH20" s="74">
        <f t="shared" si="10"/>
        <v>128394.24</v>
      </c>
      <c r="AI20" s="74">
        <f t="shared" si="10"/>
        <v>0</v>
      </c>
      <c r="AJ20" s="74">
        <f t="shared" si="10"/>
        <v>128394.24</v>
      </c>
      <c r="AK20" s="74">
        <f t="shared" si="10"/>
        <v>0</v>
      </c>
      <c r="AL20" s="74">
        <f t="shared" si="10"/>
        <v>137255.79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128394.24</v>
      </c>
      <c r="C25" s="48">
        <f>AG20</f>
        <v>8861.55</v>
      </c>
      <c r="D25" s="48">
        <f>AK20</f>
        <v>0</v>
      </c>
      <c r="E25" s="48">
        <f>B25+C25+D25</f>
        <v>137255.79</v>
      </c>
    </row>
    <row r="26" spans="2:5">
      <c r="B26" s="49"/>
      <c r="C26" s="49"/>
      <c r="D26" s="49"/>
      <c r="E26" s="49" t="e">
        <f>#REF!</f>
        <v>#REF!</v>
      </c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86.35</v>
      </c>
      <c r="O4" s="71">
        <v>11.98</v>
      </c>
      <c r="P4" s="71">
        <v>177</v>
      </c>
      <c r="Q4" s="89">
        <f>ROUND(SUM(M4:P4),2)</f>
        <v>594.79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5420.82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21579.18</v>
      </c>
      <c r="AE4" s="96">
        <f>ROUND(MAX((AD4)*{0.03;0.1;0.2;0.25;0.3;0.35;0.45}-{0;2520;16920;31920;52920;85920;181920},0),2)</f>
        <v>647.38</v>
      </c>
      <c r="AF4" s="97">
        <f>IFERROR(VLOOKUP(E:E,'（居民）工资表-8月'!E:AF,28,0)+VLOOKUP(E:E,'（居民）工资表-8月'!E:AG,29,0),0)</f>
        <v>575.22</v>
      </c>
      <c r="AG4" s="97">
        <f>AE4-AF4</f>
        <v>72.16</v>
      </c>
      <c r="AH4" s="107">
        <f>ROUND(IF((L4-Q4-AG4)&lt;0,0,(L4-Q4-AG4)),2)</f>
        <v>7333.05</v>
      </c>
      <c r="AI4" s="108"/>
      <c r="AJ4" s="107">
        <f>AH4+AI4</f>
        <v>7333.05</v>
      </c>
      <c r="AK4" s="109"/>
      <c r="AL4" s="107">
        <f>AJ4+AG4+AK4</f>
        <v>7405.21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ref="Q5:Q19" si="0">ROUND(SUM(M5:P5),2)</f>
        <v>655.8</v>
      </c>
      <c r="R5" s="70">
        <v>0</v>
      </c>
      <c r="S5" s="90">
        <f>L5+IFERROR(VLOOKUP($E:$E,'（居民）工资表-8月'!$E:$S,15,0),0)</f>
        <v>52100</v>
      </c>
      <c r="T5" s="91">
        <f>5000+IFERROR(VLOOKUP($E:$E,'（居民）工资表-8月'!$E:$T,16,0),0)</f>
        <v>45000</v>
      </c>
      <c r="U5" s="91">
        <f>Q5+IFERROR(VLOOKUP($E:$E,'（居民）工资表-8月'!$E:$U,17,0),0)</f>
        <v>6002.96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1097.04</v>
      </c>
      <c r="AE5" s="96">
        <f>ROUND(MAX((AD5)*{0.03;0.1;0.2;0.25;0.3;0.35;0.45}-{0;2520;16920;31920;52920;85920;181920},0),2)</f>
        <v>32.91</v>
      </c>
      <c r="AF5" s="97">
        <f>IFERROR(VLOOKUP(E:E,'（居民）工资表-8月'!E:AF,28,0)+VLOOKUP(E:E,'（居民）工资表-8月'!E:AG,29,0),0)</f>
        <v>31.59</v>
      </c>
      <c r="AG5" s="97">
        <f t="shared" ref="AG5:AG19" si="3">AE5-AF5</f>
        <v>1.32</v>
      </c>
      <c r="AH5" s="107">
        <f t="shared" ref="AH5:AH19" si="4">ROUND(IF((L5-Q5-AG5)&lt;0,0,(L5-Q5-AG5)),2)</f>
        <v>5042.88</v>
      </c>
      <c r="AI5" s="108"/>
      <c r="AJ5" s="107">
        <f t="shared" ref="AJ5:AJ19" si="5">AH5+AI5</f>
        <v>5042.88</v>
      </c>
      <c r="AK5" s="109"/>
      <c r="AL5" s="107">
        <f t="shared" ref="AL5:AL19" si="6">AJ5+AG5+AK5</f>
        <v>5044.2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si="0"/>
        <v>948.85</v>
      </c>
      <c r="R6" s="70">
        <v>0</v>
      </c>
      <c r="S6" s="90">
        <f>L6+IFERROR(VLOOKUP($E:$E,'（居民）工资表-8月'!$E:$S,15,0),0)</f>
        <v>273540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8537.55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220002.45</v>
      </c>
      <c r="AE6" s="96">
        <f>ROUND(MAX((AD6)*{0.03;0.1;0.2;0.25;0.3;0.35;0.45}-{0;2520;16920;31920;52920;85920;181920},0),2)</f>
        <v>27080.49</v>
      </c>
      <c r="AF6" s="97">
        <f>IFERROR(VLOOKUP(E:E,'（居民）工资表-8月'!E:AF,28,0)+VLOOKUP(E:E,'（居民）工资表-8月'!E:AG,29,0),0)</f>
        <v>21958.26</v>
      </c>
      <c r="AG6" s="97">
        <f t="shared" si="3"/>
        <v>5122.23</v>
      </c>
      <c r="AH6" s="107">
        <f t="shared" si="4"/>
        <v>25488.92</v>
      </c>
      <c r="AI6" s="108"/>
      <c r="AJ6" s="107">
        <f t="shared" si="5"/>
        <v>25488.92</v>
      </c>
      <c r="AK6" s="109"/>
      <c r="AL6" s="107">
        <f t="shared" si="6"/>
        <v>30611.15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9600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L7+IFERROR(VLOOKUP($E:$E,'（居民）工资表-8月'!$E:$S,15,0),0)</f>
        <v>79100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4708.69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29391.31</v>
      </c>
      <c r="AE7" s="96">
        <f>ROUND(MAX((AD7)*{0.03;0.1;0.2;0.25;0.3;0.35;0.45}-{0;2520;16920;31920;52920;85920;181920},0),2)</f>
        <v>881.74</v>
      </c>
      <c r="AF7" s="97">
        <f>IFERROR(VLOOKUP(E:E,'（居民）工资表-8月'!E:AF,28,0)+VLOOKUP(E:E,'（居民）工资表-8月'!E:AG,29,0),0)</f>
        <v>758.96</v>
      </c>
      <c r="AG7" s="97">
        <f t="shared" si="3"/>
        <v>122.78</v>
      </c>
      <c r="AH7" s="107">
        <f t="shared" si="4"/>
        <v>8969.86</v>
      </c>
      <c r="AI7" s="108"/>
      <c r="AJ7" s="107">
        <f t="shared" si="5"/>
        <v>8969.86</v>
      </c>
      <c r="AK7" s="109"/>
      <c r="AL7" s="107">
        <f t="shared" si="6"/>
        <v>9092.64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L8+IFERROR(VLOOKUP($E:$E,'（居民）工资表-8月'!$E:$S,15,0),0)</f>
        <v>98400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6564.72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46835.28</v>
      </c>
      <c r="AE8" s="96">
        <f>ROUND(MAX((AD8)*{0.03;0.1;0.2;0.25;0.3;0.35;0.45}-{0;2520;16920;31920;52920;85920;181920},0),2)</f>
        <v>2163.53</v>
      </c>
      <c r="AF8" s="97">
        <f>IFERROR(VLOOKUP(E:E,'（居民）工资表-8月'!E:AF,28,0)+VLOOKUP(E:E,'（居民）工资表-8月'!E:AG,29,0),0)</f>
        <v>1611.56</v>
      </c>
      <c r="AG8" s="97">
        <f t="shared" si="3"/>
        <v>551.97</v>
      </c>
      <c r="AH8" s="107">
        <f t="shared" si="4"/>
        <v>9967.67</v>
      </c>
      <c r="AI8" s="108"/>
      <c r="AJ8" s="107">
        <f t="shared" si="5"/>
        <v>9967.67</v>
      </c>
      <c r="AK8" s="109"/>
      <c r="AL8" s="107">
        <f t="shared" si="6"/>
        <v>10519.64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4739.41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8760.59</v>
      </c>
      <c r="AE9" s="96">
        <f>ROUND(MAX((AD9)*{0.03;0.1;0.2;0.25;0.3;0.35;0.45}-{0;2520;16920;31920;52920;85920;181920},0),2)</f>
        <v>262.82</v>
      </c>
      <c r="AF9" s="97">
        <f>IFERROR(VLOOKUP(E:E,'（居民）工资表-8月'!E:AF,28,0)+VLOOKUP(E:E,'（居民）工资表-8月'!E:AG,29,0),0)</f>
        <v>233.24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445.36</v>
      </c>
      <c r="N10" s="71">
        <v>116.34</v>
      </c>
      <c r="O10" s="71">
        <v>27.84</v>
      </c>
      <c r="P10" s="71">
        <v>105</v>
      </c>
      <c r="Q10" s="89">
        <f t="shared" si="0"/>
        <v>694.54</v>
      </c>
      <c r="R10" s="70">
        <v>0</v>
      </c>
      <c r="S10" s="90">
        <f>L10+IFERROR(VLOOKUP($E:$E,'（居民）工资表-8月'!$E:$S,15,0),0)</f>
        <v>11000</v>
      </c>
      <c r="T10" s="91">
        <f>5000+IFERROR(VLOOKUP($E:$E,'（居民）工资表-8月'!$E:$T,16,0),0)</f>
        <v>10000</v>
      </c>
      <c r="U10" s="91">
        <f>Q10+IFERROR(VLOOKUP($E:$E,'（居民）工资表-8月'!$E:$U,17,0),0)</f>
        <v>1220.03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-220.03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4805.46</v>
      </c>
      <c r="AI10" s="108"/>
      <c r="AJ10" s="107">
        <f t="shared" si="5"/>
        <v>4805.46</v>
      </c>
      <c r="AK10" s="109"/>
      <c r="AL10" s="107">
        <f t="shared" si="6"/>
        <v>4805.46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109</v>
      </c>
      <c r="O11" s="71">
        <v>22</v>
      </c>
      <c r="P11" s="71">
        <v>109</v>
      </c>
      <c r="Q11" s="89">
        <f t="shared" si="0"/>
        <v>592</v>
      </c>
      <c r="R11" s="70">
        <v>0</v>
      </c>
      <c r="S11" s="90">
        <f>L11+IFERROR(VLOOKUP($E:$E,'（居民）工资表-8月'!$E:$S,15,0),0)</f>
        <v>40878.48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5594.02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-9715.54</v>
      </c>
      <c r="AE11" s="96">
        <f>ROUND(MAX((AD11)*{0.03;0.1;0.2;0.25;0.3;0.35;0.45}-{0;2520;16920;31920;52920;85920;181920},0),2)</f>
        <v>0</v>
      </c>
      <c r="AF11" s="97">
        <f>IFERROR(VLOOKUP(E:E,'（居民）工资表-8月'!E:AF,28,0)+VLOOKUP(E:E,'（居民）工资表-8月'!E:AG,29,0),0)</f>
        <v>0</v>
      </c>
      <c r="AG11" s="97">
        <f t="shared" si="3"/>
        <v>0</v>
      </c>
      <c r="AH11" s="107">
        <f t="shared" si="4"/>
        <v>4006.8</v>
      </c>
      <c r="AI11" s="108"/>
      <c r="AJ11" s="107">
        <f t="shared" si="5"/>
        <v>4006.8</v>
      </c>
      <c r="AK11" s="109"/>
      <c r="AL11" s="107">
        <f t="shared" si="6"/>
        <v>4006.8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L12+IFERROR(VLOOKUP($E:$E,'（居民）工资表-8月'!$E:$S,15,0),0)</f>
        <v>82800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4983.42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32816.58</v>
      </c>
      <c r="AE12" s="96">
        <f>ROUND(MAX((AD12)*{0.03;0.1;0.2;0.25;0.3;0.35;0.45}-{0;2520;16920;31920;52920;85920;181920},0),2)</f>
        <v>984.5</v>
      </c>
      <c r="AF12" s="97">
        <f>IFERROR(VLOOKUP(E:E,'（居民）工资表-8月'!E:AF,28,0)+VLOOKUP(E:E,'（居民）工资表-8月'!E:AG,29,0),0)</f>
        <v>820.55</v>
      </c>
      <c r="AG12" s="97">
        <f t="shared" si="3"/>
        <v>163.95</v>
      </c>
      <c r="AH12" s="107">
        <f t="shared" si="4"/>
        <v>10300.84</v>
      </c>
      <c r="AI12" s="108"/>
      <c r="AJ12" s="107">
        <f t="shared" si="5"/>
        <v>10300.84</v>
      </c>
      <c r="AK12" s="109"/>
      <c r="AL12" s="107">
        <f t="shared" si="6"/>
        <v>10464.79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8434.78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L13+IFERROR(VLOOKUP($E:$E,'（居民）工资表-8月'!$E:$S,15,0),0)</f>
        <v>66662.05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6564.72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15097.33</v>
      </c>
      <c r="AE13" s="96">
        <f>ROUND(MAX((AD13)*{0.03;0.1;0.2;0.25;0.3;0.35;0.45}-{0;2520;16920;31920;52920;85920;181920},0),2)</f>
        <v>452.92</v>
      </c>
      <c r="AF13" s="97">
        <f>IFERROR(VLOOKUP(E:E,'（居民）工资表-8月'!E:AF,28,0)+VLOOKUP(E:E,'（居民）工资表-8月'!E:AG,29,0),0)</f>
        <v>367.29</v>
      </c>
      <c r="AG13" s="97">
        <f t="shared" si="3"/>
        <v>85.63</v>
      </c>
      <c r="AH13" s="107">
        <f t="shared" si="4"/>
        <v>7768.79</v>
      </c>
      <c r="AI13" s="108"/>
      <c r="AJ13" s="107">
        <f t="shared" si="5"/>
        <v>7768.79</v>
      </c>
      <c r="AK13" s="109"/>
      <c r="AL13" s="107">
        <f t="shared" si="6"/>
        <v>7854.42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L14+IFERROR(VLOOKUP($E:$E,'（居民）工资表-8月'!$E:$S,15,0),0)</f>
        <v>72408.7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6564.72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20843.98</v>
      </c>
      <c r="AE14" s="96">
        <f>ROUND(MAX((AD14)*{0.03;0.1;0.2;0.25;0.3;0.35;0.45}-{0;2520;16920;31920;52920;85920;181920},0),2)</f>
        <v>625.32</v>
      </c>
      <c r="AF14" s="97">
        <f>IFERROR(VLOOKUP(E:E,'（居民）工资表-8月'!E:AF,28,0)+VLOOKUP(E:E,'（居民）工资表-8月'!E:AG,29,0),0)</f>
        <v>498.73</v>
      </c>
      <c r="AG14" s="97">
        <f t="shared" si="3"/>
        <v>126.59</v>
      </c>
      <c r="AH14" s="107">
        <f t="shared" si="4"/>
        <v>9093.05</v>
      </c>
      <c r="AI14" s="108"/>
      <c r="AJ14" s="107">
        <f t="shared" si="5"/>
        <v>9093.05</v>
      </c>
      <c r="AK14" s="109"/>
      <c r="AL14" s="107">
        <f t="shared" si="6"/>
        <v>9219.64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L15+IFERROR(VLOOKUP($E:$E,'（居民）工资表-8月'!$E:$S,15,0),0)</f>
        <v>65400</v>
      </c>
      <c r="T15" s="91">
        <f>5000+IFERROR(VLOOKUP($E:$E,'（居民）工资表-8月'!$E:$T,16,0),0)</f>
        <v>45000</v>
      </c>
      <c r="U15" s="91">
        <f>Q15+IFERROR(VLOOKUP($E:$E,'（居民）工资表-8月'!$E:$U,17,0),0)</f>
        <v>4983.42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15416.58</v>
      </c>
      <c r="AE15" s="96">
        <f>ROUND(MAX((AD15)*{0.03;0.1;0.2;0.25;0.3;0.35;0.45}-{0;2520;16920;31920;52920;85920;181920},0),2)</f>
        <v>462.5</v>
      </c>
      <c r="AF15" s="97">
        <f>IFERROR(VLOOKUP(E:E,'（居民）工资表-8月'!E:AF,28,0)+VLOOKUP(E:E,'（居民）工资表-8月'!E:AG,29,0),0)</f>
        <v>391.55</v>
      </c>
      <c r="AG15" s="97">
        <f t="shared" si="3"/>
        <v>70.95</v>
      </c>
      <c r="AH15" s="107">
        <f t="shared" si="4"/>
        <v>7293.84</v>
      </c>
      <c r="AI15" s="108"/>
      <c r="AJ15" s="107">
        <f t="shared" si="5"/>
        <v>7293.84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7060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L16+IFERROR(VLOOKUP($E:$E,'（居民）工资表-8月'!$E:$S,15,0),0)</f>
        <v>58667.38</v>
      </c>
      <c r="T16" s="91">
        <f>5000+IFERROR(VLOOKUP($E:$E,'（居民）工资表-8月'!$E:$T,16,0),0)</f>
        <v>45000</v>
      </c>
      <c r="U16" s="91">
        <f>Q16+IFERROR(VLOOKUP($E:$E,'（居民）工资表-8月'!$E:$U,17,0),0)</f>
        <v>4708.69</v>
      </c>
      <c r="V16" s="70"/>
      <c r="W16" s="129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R16+IFERROR(VLOOKUP($E:$E,'（居民）工资表-8月'!$E:$AC,25,0),0)</f>
        <v>0</v>
      </c>
      <c r="AD16" s="95">
        <f t="shared" si="2"/>
        <v>8958.69</v>
      </c>
      <c r="AE16" s="96">
        <f>ROUND(MAX((AD16)*{0.03;0.1;0.2;0.25;0.3;0.35;0.45}-{0;2520;16920;31920;52920;85920;181920},0),2)</f>
        <v>268.76</v>
      </c>
      <c r="AF16" s="97">
        <f>IFERROR(VLOOKUP(E:E,'（居民）工资表-8月'!E:AF,28,0)+VLOOKUP(E:E,'（居民）工资表-8月'!E:AG,29,0),0)</f>
        <v>222.18</v>
      </c>
      <c r="AG16" s="97">
        <f t="shared" si="3"/>
        <v>46.58</v>
      </c>
      <c r="AH16" s="107">
        <f t="shared" si="4"/>
        <v>6506.06</v>
      </c>
      <c r="AI16" s="108"/>
      <c r="AJ16" s="107">
        <f t="shared" si="5"/>
        <v>6506.06</v>
      </c>
      <c r="AK16" s="109"/>
      <c r="AL16" s="107">
        <f t="shared" si="6"/>
        <v>6552.64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L17+IFERROR(VLOOKUP($E:$E,'（居民）工资表-8月'!$E:$S,15,0),0)</f>
        <v>14620</v>
      </c>
      <c r="T17" s="91">
        <f>5000+IFERROR(VLOOKUP($E:$E,'（居民）工资表-8月'!$E:$T,16,0),0)</f>
        <v>10000</v>
      </c>
      <c r="U17" s="91">
        <f>Q17+IFERROR(VLOOKUP($E:$E,'（居民）工资表-8月'!$E:$U,17,0),0)</f>
        <v>1178.32</v>
      </c>
      <c r="V17" s="70"/>
      <c r="W17" s="129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R17+IFERROR(VLOOKUP($E:$E,'（居民）工资表-8月'!$E:$AC,25,0),0)</f>
        <v>0</v>
      </c>
      <c r="AD17" s="95">
        <f t="shared" si="2"/>
        <v>3441.68</v>
      </c>
      <c r="AE17" s="96">
        <f>ROUND(MAX((AD17)*{0.03;0.1;0.2;0.25;0.3;0.35;0.45}-{0;2520;16920;31920;52920;85920;181920},0),2)</f>
        <v>103.25</v>
      </c>
      <c r="AF17" s="97">
        <f>IFERROR(VLOOKUP(E:E,'（居民）工资表-8月'!E:AF,28,0)+VLOOKUP(E:E,'（居民）工资表-8月'!E:AG,29,0),0)</f>
        <v>29.13</v>
      </c>
      <c r="AG17" s="97">
        <f t="shared" si="3"/>
        <v>74.12</v>
      </c>
      <c r="AH17" s="107">
        <f t="shared" si="4"/>
        <v>7396.72</v>
      </c>
      <c r="AI17" s="108"/>
      <c r="AJ17" s="107">
        <f t="shared" si="5"/>
        <v>7396.72</v>
      </c>
      <c r="AK17" s="109"/>
      <c r="AL17" s="107">
        <f t="shared" si="6"/>
        <v>7470.84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6600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L18+IFERROR(VLOOKUP($E:$E,'（居民）工资表-8月'!$E:$S,15,0),0)</f>
        <v>56400</v>
      </c>
      <c r="T18" s="91">
        <f>5000+IFERROR(VLOOKUP($E:$E,'（居民）工资表-8月'!$E:$T,16,0),0)</f>
        <v>45000</v>
      </c>
      <c r="U18" s="91">
        <f>Q18+IFERROR(VLOOKUP($E:$E,'（居民）工资表-8月'!$E:$U,17,0),0)</f>
        <v>4685.72</v>
      </c>
      <c r="V18" s="70"/>
      <c r="W18" s="129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R18+IFERROR(VLOOKUP($E:$E,'（居民）工资表-8月'!$E:$AC,25,0),0)</f>
        <v>0</v>
      </c>
      <c r="AD18" s="95">
        <f t="shared" si="2"/>
        <v>6714.28</v>
      </c>
      <c r="AE18" s="96">
        <f>ROUND(MAX((AD18)*{0.03;0.1;0.2;0.25;0.3;0.35;0.45}-{0;2520;16920;31920;52920;85920;181920},0),2)</f>
        <v>201.43</v>
      </c>
      <c r="AF18" s="97">
        <f>IFERROR(VLOOKUP(E:E,'（居民）工资表-8月'!E:AF,28,0)+VLOOKUP(E:E,'（居民）工资表-8月'!E:AG,29,0),0)</f>
        <v>168.59</v>
      </c>
      <c r="AG18" s="97">
        <f t="shared" si="3"/>
        <v>32.84</v>
      </c>
      <c r="AH18" s="107">
        <f t="shared" si="4"/>
        <v>6061.8</v>
      </c>
      <c r="AI18" s="108"/>
      <c r="AJ18" s="107">
        <f t="shared" si="5"/>
        <v>6061.8</v>
      </c>
      <c r="AK18" s="109"/>
      <c r="AL18" s="107">
        <f t="shared" si="6"/>
        <v>6094.64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 t="shared" si="8"/>
        <v>不</v>
      </c>
      <c r="AT18" s="116" t="str">
        <f t="shared" si="9"/>
        <v>重复</v>
      </c>
    </row>
    <row r="19" s="12" customFormat="1" ht="18" customHeight="1" spans="1:46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4377.04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L19+IFERROR(VLOOKUP($E:$E,'（居民）工资表-8月'!$E:$S,15,0),0)</f>
        <v>8177.04</v>
      </c>
      <c r="T19" s="91">
        <f>5000+IFERROR(VLOOKUP($E:$E,'（居民）工资表-8月'!$E:$T,16,0),0)</f>
        <v>10000</v>
      </c>
      <c r="U19" s="91">
        <f>Q19+IFERROR(VLOOKUP($E:$E,'（居民）工资表-8月'!$E:$U,17,0),0)</f>
        <v>1054.86</v>
      </c>
      <c r="V19" s="70"/>
      <c r="W19" s="129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R19+IFERROR(VLOOKUP($E:$E,'（居民）工资表-8月'!$E:$AC,25,0),0)</f>
        <v>0</v>
      </c>
      <c r="AD19" s="95">
        <f t="shared" si="2"/>
        <v>-2877.82</v>
      </c>
      <c r="AE19" s="96">
        <f>ROUND(MAX((AD19)*{0.03;0.1;0.2;0.25;0.3;0.35;0.45}-{0;2520;16920;31920;52920;85920;181920},0),2)</f>
        <v>0</v>
      </c>
      <c r="AF19" s="97">
        <f>IFERROR(VLOOKUP(E:E,'（居民）工资表-8月'!E:AF,28,0)+VLOOKUP(E:E,'（居民）工资表-8月'!E:AG,29,0),0)</f>
        <v>0</v>
      </c>
      <c r="AG19" s="97">
        <f t="shared" si="3"/>
        <v>0</v>
      </c>
      <c r="AH19" s="107">
        <f t="shared" si="4"/>
        <v>3849.61</v>
      </c>
      <c r="AI19" s="108"/>
      <c r="AJ19" s="107">
        <f t="shared" si="5"/>
        <v>3849.61</v>
      </c>
      <c r="AK19" s="109"/>
      <c r="AL19" s="107">
        <f t="shared" si="6"/>
        <v>3849.61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 t="shared" si="8"/>
        <v>不</v>
      </c>
      <c r="AT19" s="116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9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145790.62</v>
      </c>
      <c r="M21" s="74">
        <f>SUM(M4:M20)</f>
        <v>5534.18</v>
      </c>
      <c r="N21" s="74">
        <f>SUM(N4:N20)</f>
        <v>1552.17</v>
      </c>
      <c r="O21" s="74">
        <f t="shared" ref="O21:AL21" si="10">SUM(O4:O20)</f>
        <v>292.16</v>
      </c>
      <c r="P21" s="74">
        <f t="shared" si="10"/>
        <v>2069.8</v>
      </c>
      <c r="Q21" s="74">
        <f t="shared" si="10"/>
        <v>9448.31</v>
      </c>
      <c r="R21" s="74">
        <f t="shared" si="10"/>
        <v>0</v>
      </c>
      <c r="S21" s="74">
        <f t="shared" si="10"/>
        <v>1110653.65</v>
      </c>
      <c r="T21" s="74">
        <f t="shared" si="10"/>
        <v>615000</v>
      </c>
      <c r="U21" s="74">
        <f t="shared" si="10"/>
        <v>77512.07</v>
      </c>
      <c r="V21" s="74">
        <f t="shared" si="10"/>
        <v>0</v>
      </c>
      <c r="W21" s="74">
        <f t="shared" si="10"/>
        <v>0</v>
      </c>
      <c r="X21" s="74">
        <f t="shared" si="10"/>
        <v>0</v>
      </c>
      <c r="Y21" s="74">
        <f t="shared" si="10"/>
        <v>0</v>
      </c>
      <c r="Z21" s="74">
        <f t="shared" si="10"/>
        <v>0</v>
      </c>
      <c r="AA21" s="74">
        <f t="shared" si="10"/>
        <v>0</v>
      </c>
      <c r="AB21" s="74">
        <f t="shared" si="10"/>
        <v>0</v>
      </c>
      <c r="AC21" s="74">
        <f t="shared" si="10"/>
        <v>0</v>
      </c>
      <c r="AD21" s="74">
        <f t="shared" si="10"/>
        <v>418141.58</v>
      </c>
      <c r="AE21" s="74">
        <f t="shared" si="10"/>
        <v>34167.55</v>
      </c>
      <c r="AF21" s="74">
        <f t="shared" si="10"/>
        <v>27666.85</v>
      </c>
      <c r="AG21" s="74">
        <f t="shared" si="10"/>
        <v>6500.7</v>
      </c>
      <c r="AH21" s="74">
        <f t="shared" si="10"/>
        <v>129841.61</v>
      </c>
      <c r="AI21" s="74">
        <f t="shared" si="10"/>
        <v>0</v>
      </c>
      <c r="AJ21" s="74">
        <f t="shared" si="10"/>
        <v>129841.61</v>
      </c>
      <c r="AK21" s="74">
        <f t="shared" si="10"/>
        <v>0</v>
      </c>
      <c r="AL21" s="74">
        <f t="shared" si="10"/>
        <v>136342.31</v>
      </c>
      <c r="AM21" s="110"/>
      <c r="AN21" s="110"/>
      <c r="AO21" s="110"/>
      <c r="AP21" s="110"/>
      <c r="AQ21" s="110"/>
      <c r="AR21" s="45"/>
      <c r="AS21" s="45"/>
      <c r="AT21" s="118"/>
    </row>
    <row r="22" ht="19" customHeight="1"/>
    <row r="23" ht="19" customHeight="1"/>
    <row r="24" ht="19" customHeight="1" spans="30:30">
      <c r="AD24" s="101"/>
    </row>
    <row r="25" ht="19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9" customHeight="1" spans="2:5">
      <c r="B26" s="48">
        <f>AJ21</f>
        <v>129841.61</v>
      </c>
      <c r="C26" s="48">
        <f>AG21</f>
        <v>6500.7</v>
      </c>
      <c r="D26" s="48">
        <f>AK21</f>
        <v>0</v>
      </c>
      <c r="E26" s="48">
        <f>B26+C26+D26</f>
        <v>136342.31</v>
      </c>
    </row>
    <row r="27" ht="19" customHeight="1" spans="2:5">
      <c r="B27" s="49"/>
      <c r="C27" s="49"/>
      <c r="D27" s="49"/>
      <c r="E27" s="49"/>
    </row>
    <row r="28" s="14" customFormat="1" ht="19" customHeigh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ht="19" customHeigh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1" si="0">ROUND(SUM(M4:P4),2)</f>
        <v>588.3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6009.12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-9.12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647.38</v>
      </c>
      <c r="AG4" s="97">
        <f t="shared" ref="AG4:AG11" si="3">IF((AE4-AF4)&lt;0,0,AE4-AF4)</f>
        <v>0</v>
      </c>
      <c r="AH4" s="107">
        <f t="shared" ref="AH4:AH11" si="4">ROUND(IF((L4-Q4-AG4)&lt;0,0,(L4-Q4-AG4)),2)</f>
        <v>7411.7</v>
      </c>
      <c r="AI4" s="108"/>
      <c r="AJ4" s="107">
        <f t="shared" ref="AJ4:AJ11" si="5">AH4+AI4</f>
        <v>7411.7</v>
      </c>
      <c r="AK4" s="109"/>
      <c r="AL4" s="107">
        <f t="shared" ref="AL4:AL11" si="6">AJ4+AG4+AK4</f>
        <v>7411.7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L5+IFERROR(VLOOKUP($E:$E,'（居民）工资表-9月'!$E:$S,15,0),0)</f>
        <v>57800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6658.76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1141.24</v>
      </c>
      <c r="AE5" s="96">
        <f>ROUND(MAX((AD5)*{0.03;0.1;0.2;0.25;0.3;0.35;0.45}-{0;2520;16920;31920;52920;85920;181920},0),2)</f>
        <v>34.24</v>
      </c>
      <c r="AF5" s="97">
        <f>IFERROR(VLOOKUP(E:E,'（居民）工资表-9月'!E:AF,28,0)+VLOOKUP(E:E,'（居民）工资表-9月'!E:AG,29,0),0)</f>
        <v>32.91</v>
      </c>
      <c r="AG5" s="97">
        <f t="shared" si="3"/>
        <v>1.33000000000001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L6+IFERROR(VLOOKUP($E:$E,'（居民）工资表-9月'!$E:$S,15,0),0)</f>
        <v>305100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9486.1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245613.9</v>
      </c>
      <c r="AE6" s="96">
        <f>ROUND(MAX((AD6)*{0.03;0.1;0.2;0.25;0.3;0.35;0.45}-{0;2520;16920;31920;52920;85920;181920},0),2)</f>
        <v>32202.78</v>
      </c>
      <c r="AF6" s="97">
        <f>IFERROR(VLOOKUP(E:E,'（居民）工资表-9月'!E:AF,28,0)+VLOOKUP(E:E,'（居民）工资表-9月'!E:AG,29,0),0)</f>
        <v>27080.49</v>
      </c>
      <c r="AG6" s="97">
        <f t="shared" si="3"/>
        <v>5122.29</v>
      </c>
      <c r="AH6" s="107">
        <f t="shared" si="4"/>
        <v>25489.16</v>
      </c>
      <c r="AI6" s="108"/>
      <c r="AJ6" s="107">
        <f t="shared" si="5"/>
        <v>25489.16</v>
      </c>
      <c r="AK6" s="109"/>
      <c r="AL6" s="107">
        <f t="shared" si="6"/>
        <v>30611.45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9500</v>
      </c>
      <c r="M7" s="71">
        <v>471.12</v>
      </c>
      <c r="N7" s="71">
        <v>125.78</v>
      </c>
      <c r="O7" s="71">
        <v>29.45</v>
      </c>
      <c r="P7" s="71">
        <v>97</v>
      </c>
      <c r="Q7" s="89">
        <f t="shared" si="0"/>
        <v>723.35</v>
      </c>
      <c r="R7" s="70">
        <v>0</v>
      </c>
      <c r="S7" s="90">
        <f>L7+IFERROR(VLOOKUP($E:$E,'（居民）工资表-9月'!$E:$S,15,0),0)</f>
        <v>88600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5432.04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33167.96</v>
      </c>
      <c r="AE7" s="96">
        <f>ROUND(MAX((AD7)*{0.03;0.1;0.2;0.25;0.3;0.35;0.45}-{0;2520;16920;31920;52920;85920;181920},0),2)</f>
        <v>995.04</v>
      </c>
      <c r="AF7" s="97">
        <f>IFERROR(VLOOKUP(E:E,'（居民）工资表-9月'!E:AF,28,0)+VLOOKUP(E:E,'（居民）工资表-9月'!E:AG,29,0),0)</f>
        <v>881.74</v>
      </c>
      <c r="AG7" s="97">
        <f t="shared" si="3"/>
        <v>113.3</v>
      </c>
      <c r="AH7" s="107">
        <f t="shared" si="4"/>
        <v>8663.35</v>
      </c>
      <c r="AI7" s="108"/>
      <c r="AJ7" s="107">
        <f t="shared" si="5"/>
        <v>8663.35</v>
      </c>
      <c r="AK7" s="109"/>
      <c r="AL7" s="107">
        <f t="shared" si="6"/>
        <v>8776.65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471.12</v>
      </c>
      <c r="N8" s="71">
        <v>123.78</v>
      </c>
      <c r="O8" s="71">
        <v>29.45</v>
      </c>
      <c r="P8" s="71">
        <v>172</v>
      </c>
      <c r="Q8" s="89">
        <f t="shared" si="0"/>
        <v>796.35</v>
      </c>
      <c r="R8" s="70">
        <v>0</v>
      </c>
      <c r="S8" s="90">
        <f>L8+IFERROR(VLOOKUP($E:$E,'（居民）工资表-9月'!$E:$S,15,0),0)</f>
        <v>109500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7361.07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52138.93</v>
      </c>
      <c r="AE8" s="96">
        <f>ROUND(MAX((AD8)*{0.03;0.1;0.2;0.25;0.3;0.35;0.45}-{0;2520;16920;31920;52920;85920;181920},0),2)</f>
        <v>2693.89</v>
      </c>
      <c r="AF8" s="97">
        <f>IFERROR(VLOOKUP(E:E,'（居民）工资表-9月'!E:AF,28,0)+VLOOKUP(E:E,'（居民）工资表-9月'!E:AG,29,0),0)</f>
        <v>2163.53</v>
      </c>
      <c r="AG8" s="97">
        <f t="shared" si="3"/>
        <v>530.36</v>
      </c>
      <c r="AH8" s="107">
        <f t="shared" si="4"/>
        <v>9773.29</v>
      </c>
      <c r="AI8" s="108"/>
      <c r="AJ8" s="107">
        <f t="shared" si="5"/>
        <v>9773.29</v>
      </c>
      <c r="AK8" s="109"/>
      <c r="AL8" s="107">
        <f t="shared" si="6"/>
        <v>10303.65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97.76</v>
      </c>
      <c r="O9" s="71">
        <v>11.84</v>
      </c>
      <c r="P9" s="71">
        <v>100</v>
      </c>
      <c r="Q9" s="89">
        <f t="shared" si="0"/>
        <v>525.2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5264.61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9735.39</v>
      </c>
      <c r="AE9" s="96">
        <f>ROUND(MAX((AD9)*{0.03;0.1;0.2;0.25;0.3;0.35;0.45}-{0;2520;16920;31920;52920;85920;181920},0),2)</f>
        <v>292.06</v>
      </c>
      <c r="AF9" s="97">
        <f>IFERROR(VLOOKUP(E:E,'（居民）工资表-9月'!E:AF,28,0)+VLOOKUP(E:E,'（居民）工资表-9月'!E:AG,29,0),0)</f>
        <v>262.82</v>
      </c>
      <c r="AG9" s="97">
        <f t="shared" si="3"/>
        <v>29.24</v>
      </c>
      <c r="AH9" s="107">
        <f t="shared" si="4"/>
        <v>5945.56</v>
      </c>
      <c r="AI9" s="108"/>
      <c r="AJ9" s="107">
        <f t="shared" si="5"/>
        <v>5945.56</v>
      </c>
      <c r="AK9" s="109"/>
      <c r="AL9" s="107">
        <f t="shared" si="6"/>
        <v>5974.8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L10+IFERROR(VLOOKUP($E:$E,'（居民）工资表-9月'!$E:$S,15,0),0)</f>
        <v>16500</v>
      </c>
      <c r="T10" s="91">
        <f>5000+IFERROR(VLOOKUP($E:$E,'（居民）工资表-9月'!$E:$T,16,0),0)</f>
        <v>15000</v>
      </c>
      <c r="U10" s="91">
        <f>Q10+IFERROR(VLOOKUP($E:$E,'（居民）工资表-9月'!$E:$U,17,0),0)</f>
        <v>1762.42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-262.42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216</v>
      </c>
    </row>
    <row r="11" s="12" customFormat="1" ht="18" customHeight="1" spans="1:49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ref="Q11:Q19" si="10">ROUND(SUM(M11:P11),2)</f>
        <v>593</v>
      </c>
      <c r="R11" s="70">
        <v>0</v>
      </c>
      <c r="S11" s="90">
        <f>L11+IFERROR(VLOOKUP($E:$E,'（居民）工资表-9月'!$E:$S,15,0),0)</f>
        <v>45477.28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6187.02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-10709.74</v>
      </c>
      <c r="AE11" s="96">
        <f>ROUND(MAX((AD11)*{0.03;0.1;0.2;0.25;0.3;0.35;0.45}-{0;2520;16920;31920;52920;85920;181920},0),2)</f>
        <v>0</v>
      </c>
      <c r="AF11" s="97">
        <f>IFERROR(VLOOKUP(E:E,'（居民）工资表-9月'!E:AF,28,0)+VLOOKUP(E:E,'（居民）工资表-9月'!E:AG,29,0),0)</f>
        <v>0</v>
      </c>
      <c r="AG11" s="97">
        <f t="shared" ref="AG11:AG19" si="13">IF((AE11-AF11)&lt;0,0,AE11-AF11)</f>
        <v>0</v>
      </c>
      <c r="AH11" s="107">
        <f t="shared" ref="AH11:AH19" si="14">ROUND(IF((L11-Q11-AG11)&lt;0,0,(L11-Q11-AG11)),2)</f>
        <v>4005.8</v>
      </c>
      <c r="AI11" s="108"/>
      <c r="AJ11" s="107">
        <f t="shared" ref="AJ11:AJ19" si="15">AH11+AI11</f>
        <v>4005.8</v>
      </c>
      <c r="AK11" s="109"/>
      <c r="AL11" s="107">
        <f t="shared" ref="AL11:AL19" si="16">AJ11+AG11+AK11</f>
        <v>4005.8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471.12</v>
      </c>
      <c r="N12" s="71">
        <v>153.63</v>
      </c>
      <c r="O12" s="71">
        <v>29.45</v>
      </c>
      <c r="P12" s="71">
        <v>97</v>
      </c>
      <c r="Q12" s="89">
        <f t="shared" si="10"/>
        <v>751.2</v>
      </c>
      <c r="R12" s="70">
        <v>0</v>
      </c>
      <c r="S12" s="90">
        <f>L12+IFERROR(VLOOKUP($E:$E,'（居民）工资表-9月'!$E:$S,15,0),0)</f>
        <v>93800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5734.62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38065.38</v>
      </c>
      <c r="AE12" s="96">
        <f>ROUND(MAX((AD12)*{0.03;0.1;0.2;0.25;0.3;0.35;0.45}-{0;2520;16920;31920;52920;85920;181920},0),2)</f>
        <v>1286.54</v>
      </c>
      <c r="AF12" s="97">
        <f>IFERROR(VLOOKUP(E:E,'（居民）工资表-9月'!E:AF,28,0)+VLOOKUP(E:E,'（居民）工资表-9月'!E:AG,29,0),0)</f>
        <v>984.5</v>
      </c>
      <c r="AG12" s="97">
        <f t="shared" si="13"/>
        <v>302.04</v>
      </c>
      <c r="AH12" s="107">
        <f t="shared" si="14"/>
        <v>9946.76</v>
      </c>
      <c r="AI12" s="108"/>
      <c r="AJ12" s="107">
        <f t="shared" si="15"/>
        <v>9946.76</v>
      </c>
      <c r="AK12" s="109"/>
      <c r="AL12" s="107">
        <f t="shared" si="16"/>
        <v>10248.8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9200</v>
      </c>
      <c r="M13" s="71">
        <v>471.12</v>
      </c>
      <c r="N13" s="71">
        <v>123.78</v>
      </c>
      <c r="O13" s="71">
        <v>29.45</v>
      </c>
      <c r="P13" s="71">
        <v>172</v>
      </c>
      <c r="Q13" s="89">
        <f t="shared" si="10"/>
        <v>796.35</v>
      </c>
      <c r="R13" s="70">
        <v>0</v>
      </c>
      <c r="S13" s="90">
        <f>L13+IFERROR(VLOOKUP($E:$E,'（居民）工资表-9月'!$E:$S,15,0),0)</f>
        <v>75862.05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7361.07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18500.98</v>
      </c>
      <c r="AE13" s="96">
        <f>ROUND(MAX((AD13)*{0.03;0.1;0.2;0.25;0.3;0.35;0.45}-{0;2520;16920;31920;52920;85920;181920},0),2)</f>
        <v>555.03</v>
      </c>
      <c r="AF13" s="97">
        <f>IFERROR(VLOOKUP(E:E,'（居民）工资表-9月'!E:AF,28,0)+VLOOKUP(E:E,'（居民）工资表-9月'!E:AG,29,0),0)</f>
        <v>452.92</v>
      </c>
      <c r="AG13" s="97">
        <f t="shared" si="13"/>
        <v>102.11</v>
      </c>
      <c r="AH13" s="107">
        <f t="shared" si="14"/>
        <v>8301.54</v>
      </c>
      <c r="AI13" s="108"/>
      <c r="AJ13" s="107">
        <f t="shared" si="15"/>
        <v>8301.54</v>
      </c>
      <c r="AK13" s="109"/>
      <c r="AL13" s="107">
        <f t="shared" si="16"/>
        <v>8403.65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471.12</v>
      </c>
      <c r="N14" s="71">
        <v>123.78</v>
      </c>
      <c r="O14" s="71">
        <v>29.45</v>
      </c>
      <c r="P14" s="71">
        <v>172</v>
      </c>
      <c r="Q14" s="89">
        <f t="shared" si="10"/>
        <v>796.35</v>
      </c>
      <c r="R14" s="70">
        <v>0</v>
      </c>
      <c r="S14" s="90">
        <f>L14+IFERROR(VLOOKUP($E:$E,'（居民）工资表-9月'!$E:$S,15,0),0)</f>
        <v>82208.7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7361.07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24847.63</v>
      </c>
      <c r="AE14" s="96">
        <f>ROUND(MAX((AD14)*{0.03;0.1;0.2;0.25;0.3;0.35;0.45}-{0;2520;16920;31920;52920;85920;181920},0),2)</f>
        <v>745.43</v>
      </c>
      <c r="AF14" s="97">
        <f>IFERROR(VLOOKUP(E:E,'（居民）工资表-9月'!E:AF,28,0)+VLOOKUP(E:E,'（居民）工资表-9月'!E:AG,29,0),0)</f>
        <v>625.32</v>
      </c>
      <c r="AG14" s="97">
        <f t="shared" si="13"/>
        <v>120.11</v>
      </c>
      <c r="AH14" s="107">
        <f t="shared" si="14"/>
        <v>8883.54</v>
      </c>
      <c r="AI14" s="108"/>
      <c r="AJ14" s="107">
        <f t="shared" si="15"/>
        <v>8883.54</v>
      </c>
      <c r="AK14" s="109"/>
      <c r="AL14" s="107">
        <f t="shared" si="16"/>
        <v>9003.65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471.12</v>
      </c>
      <c r="N15" s="71">
        <v>153.63</v>
      </c>
      <c r="O15" s="71">
        <v>29.45</v>
      </c>
      <c r="P15" s="71">
        <v>97</v>
      </c>
      <c r="Q15" s="89">
        <f t="shared" si="10"/>
        <v>751.2</v>
      </c>
      <c r="R15" s="70">
        <v>0</v>
      </c>
      <c r="S15" s="90">
        <f>L15+IFERROR(VLOOKUP($E:$E,'（居民）工资表-9月'!$E:$S,15,0),0)</f>
        <v>73300</v>
      </c>
      <c r="T15" s="91">
        <f>5000+IFERROR(VLOOKUP($E:$E,'（居民）工资表-9月'!$E:$T,16,0),0)</f>
        <v>50000</v>
      </c>
      <c r="U15" s="91">
        <f>Q15+IFERROR(VLOOKUP($E:$E,'（居民）工资表-9月'!$E:$U,17,0),0)</f>
        <v>5734.62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17565.38</v>
      </c>
      <c r="AE15" s="96">
        <f>ROUND(MAX((AD15)*{0.03;0.1;0.2;0.25;0.3;0.35;0.45}-{0;2520;16920;31920;52920;85920;181920},0),2)</f>
        <v>526.96</v>
      </c>
      <c r="AF15" s="97">
        <f>IFERROR(VLOOKUP(E:E,'（居民）工资表-9月'!E:AF,28,0)+VLOOKUP(E:E,'（居民）工资表-9月'!E:AG,29,0),0)</f>
        <v>462.5</v>
      </c>
      <c r="AG15" s="97">
        <f t="shared" si="13"/>
        <v>64.46</v>
      </c>
      <c r="AH15" s="107">
        <f t="shared" si="14"/>
        <v>7084.34</v>
      </c>
      <c r="AI15" s="108"/>
      <c r="AJ15" s="107">
        <f t="shared" si="15"/>
        <v>7084.34</v>
      </c>
      <c r="AK15" s="109"/>
      <c r="AL15" s="107">
        <f t="shared" si="16"/>
        <v>7148.8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6860</v>
      </c>
      <c r="M16" s="71">
        <v>471.12</v>
      </c>
      <c r="N16" s="71">
        <v>125.78</v>
      </c>
      <c r="O16" s="71">
        <v>29.45</v>
      </c>
      <c r="P16" s="71">
        <v>97</v>
      </c>
      <c r="Q16" s="89">
        <f t="shared" si="10"/>
        <v>723.35</v>
      </c>
      <c r="R16" s="70">
        <v>0</v>
      </c>
      <c r="S16" s="90">
        <f>L16+IFERROR(VLOOKUP($E:$E,'（居民）工资表-9月'!$E:$S,15,0),0)</f>
        <v>65527.38</v>
      </c>
      <c r="T16" s="91">
        <f>5000+IFERROR(VLOOKUP($E:$E,'（居民）工资表-9月'!$E:$T,16,0),0)</f>
        <v>50000</v>
      </c>
      <c r="U16" s="91">
        <f>Q16+IFERROR(VLOOKUP($E:$E,'（居民）工资表-9月'!$E:$U,17,0),0)</f>
        <v>5432.04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10095.34</v>
      </c>
      <c r="AE16" s="96">
        <f>ROUND(MAX((AD16)*{0.03;0.1;0.2;0.25;0.3;0.35;0.45}-{0;2520;16920;31920;52920;85920;181920},0),2)</f>
        <v>302.86</v>
      </c>
      <c r="AF16" s="97">
        <f>IFERROR(VLOOKUP(E:E,'（居民）工资表-9月'!E:AF,28,0)+VLOOKUP(E:E,'（居民）工资表-9月'!E:AG,29,0),0)</f>
        <v>268.76</v>
      </c>
      <c r="AG16" s="97">
        <f t="shared" si="13"/>
        <v>34.1</v>
      </c>
      <c r="AH16" s="107">
        <f t="shared" si="14"/>
        <v>6102.55</v>
      </c>
      <c r="AI16" s="108"/>
      <c r="AJ16" s="107">
        <f t="shared" si="15"/>
        <v>6102.55</v>
      </c>
      <c r="AK16" s="109"/>
      <c r="AL16" s="107">
        <f t="shared" si="16"/>
        <v>6136.65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97.76</v>
      </c>
      <c r="O17" s="71">
        <v>11.84</v>
      </c>
      <c r="P17" s="71">
        <v>175</v>
      </c>
      <c r="Q17" s="89">
        <f t="shared" si="10"/>
        <v>600.2</v>
      </c>
      <c r="R17" s="70">
        <v>0</v>
      </c>
      <c r="S17" s="90">
        <f>L17+IFERROR(VLOOKUP($E:$E,'（居民）工资表-9月'!$E:$S,15,0),0)</f>
        <v>22680</v>
      </c>
      <c r="T17" s="91">
        <f>5000+IFERROR(VLOOKUP($E:$E,'（居民）工资表-9月'!$E:$T,16,0),0)</f>
        <v>15000</v>
      </c>
      <c r="U17" s="91">
        <f>Q17+IFERROR(VLOOKUP($E:$E,'（居民）工资表-9月'!$E:$U,17,0),0)</f>
        <v>1778.52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R17+IFERROR(VLOOKUP($E:$E,'（居民）工资表-9月'!$E:$AC,25,0),0)</f>
        <v>0</v>
      </c>
      <c r="AD17" s="95">
        <f t="shared" si="12"/>
        <v>5901.48</v>
      </c>
      <c r="AE17" s="96">
        <f>ROUND(MAX((AD17)*{0.03;0.1;0.2;0.25;0.3;0.35;0.45}-{0;2520;16920;31920;52920;85920;181920},0),2)</f>
        <v>177.04</v>
      </c>
      <c r="AF17" s="97">
        <f>IFERROR(VLOOKUP(E:E,'（居民）工资表-9月'!E:AF,28,0)+VLOOKUP(E:E,'（居民）工资表-9月'!E:AG,29,0),0)</f>
        <v>103.25</v>
      </c>
      <c r="AG17" s="97">
        <f t="shared" si="13"/>
        <v>73.79</v>
      </c>
      <c r="AH17" s="107">
        <f t="shared" si="14"/>
        <v>7386.01</v>
      </c>
      <c r="AI17" s="108"/>
      <c r="AJ17" s="107">
        <f t="shared" si="15"/>
        <v>7386.01</v>
      </c>
      <c r="AK17" s="109"/>
      <c r="AL17" s="107">
        <f t="shared" si="16"/>
        <v>7459.8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6800</v>
      </c>
      <c r="M18" s="71">
        <v>411.28</v>
      </c>
      <c r="N18" s="71">
        <v>102.82</v>
      </c>
      <c r="O18" s="71">
        <v>25.71</v>
      </c>
      <c r="P18" s="71">
        <v>103</v>
      </c>
      <c r="Q18" s="89">
        <f t="shared" si="10"/>
        <v>642.81</v>
      </c>
      <c r="R18" s="70">
        <v>0</v>
      </c>
      <c r="S18" s="90">
        <f>L18+IFERROR(VLOOKUP($E:$E,'（居民）工资表-9月'!$E:$S,15,0),0)</f>
        <v>63200</v>
      </c>
      <c r="T18" s="91">
        <f>5000+IFERROR(VLOOKUP($E:$E,'（居民）工资表-9月'!$E:$T,16,0),0)</f>
        <v>50000</v>
      </c>
      <c r="U18" s="91">
        <f>Q18+IFERROR(VLOOKUP($E:$E,'（居民）工资表-9月'!$E:$U,17,0),0)</f>
        <v>5328.53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R18+IFERROR(VLOOKUP($E:$E,'（居民）工资表-9月'!$E:$AC,25,0),0)</f>
        <v>0</v>
      </c>
      <c r="AD18" s="95">
        <f t="shared" si="12"/>
        <v>7871.47</v>
      </c>
      <c r="AE18" s="96">
        <f>ROUND(MAX((AD18)*{0.03;0.1;0.2;0.25;0.3;0.35;0.45}-{0;2520;16920;31920;52920;85920;181920},0),2)</f>
        <v>236.14</v>
      </c>
      <c r="AF18" s="97">
        <f>IFERROR(VLOOKUP(E:E,'（居民）工资表-9月'!E:AF,28,0)+VLOOKUP(E:E,'（居民）工资表-9月'!E:AG,29,0),0)</f>
        <v>201.43</v>
      </c>
      <c r="AG18" s="97">
        <f t="shared" si="13"/>
        <v>34.71</v>
      </c>
      <c r="AH18" s="107">
        <f t="shared" si="14"/>
        <v>6122.48</v>
      </c>
      <c r="AI18" s="108"/>
      <c r="AJ18" s="107">
        <f t="shared" si="15"/>
        <v>6122.48</v>
      </c>
      <c r="AK18" s="109"/>
      <c r="AL18" s="107">
        <f t="shared" si="16"/>
        <v>6157.19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4739.43</v>
      </c>
      <c r="M19" s="71">
        <v>373.2</v>
      </c>
      <c r="N19" s="71">
        <v>94.42</v>
      </c>
      <c r="O19" s="71">
        <v>13.99</v>
      </c>
      <c r="P19" s="71">
        <v>100.5</v>
      </c>
      <c r="Q19" s="89">
        <f t="shared" si="10"/>
        <v>582.11</v>
      </c>
      <c r="R19" s="70">
        <v>0</v>
      </c>
      <c r="S19" s="90">
        <f>L19+IFERROR(VLOOKUP($E:$E,'（居民）工资表-9月'!$E:$S,15,0),0)</f>
        <v>12916.47</v>
      </c>
      <c r="T19" s="91">
        <f>5000+IFERROR(VLOOKUP($E:$E,'（居民）工资表-9月'!$E:$T,16,0),0)</f>
        <v>15000</v>
      </c>
      <c r="U19" s="91">
        <f>Q19+IFERROR(VLOOKUP($E:$E,'（居民）工资表-9月'!$E:$U,17,0),0)</f>
        <v>1636.97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R19+IFERROR(VLOOKUP($E:$E,'（居民）工资表-9月'!$E:$AC,25,0),0)</f>
        <v>0</v>
      </c>
      <c r="AD19" s="95">
        <f t="shared" si="12"/>
        <v>-3720.5</v>
      </c>
      <c r="AE19" s="96">
        <f>ROUND(MAX((AD19)*{0.03;0.1;0.2;0.25;0.3;0.35;0.45}-{0;2520;16920;31920;52920;85920;181920},0),2)</f>
        <v>0</v>
      </c>
      <c r="AF19" s="97">
        <f>IFERROR(VLOOKUP(E:E,'（居民）工资表-9月'!E:AF,28,0)+VLOOKUP(E:E,'（居民）工资表-9月'!E:AG,29,0),0)</f>
        <v>0</v>
      </c>
      <c r="AG19" s="97">
        <f t="shared" si="13"/>
        <v>0</v>
      </c>
      <c r="AH19" s="107">
        <f t="shared" si="14"/>
        <v>4157.32</v>
      </c>
      <c r="AI19" s="108"/>
      <c r="AJ19" s="107">
        <f t="shared" si="15"/>
        <v>4157.32</v>
      </c>
      <c r="AK19" s="109"/>
      <c r="AL19" s="107">
        <f t="shared" si="16"/>
        <v>4157.32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V19" s="12" t="s">
        <v>214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146818.23</v>
      </c>
      <c r="M21" s="74">
        <f>SUM(M4:M20)</f>
        <v>6721.94</v>
      </c>
      <c r="N21" s="74">
        <f>SUM(N4:N20)</f>
        <v>1859.82</v>
      </c>
      <c r="O21" s="74">
        <f>SUM(O4:O20)</f>
        <v>365.25</v>
      </c>
      <c r="P21" s="74">
        <f>SUM(P4:P20)</f>
        <v>2069.5</v>
      </c>
      <c r="Q21" s="74">
        <f t="shared" ref="Q21:AL21" si="20">SUM(Q4:Q20)</f>
        <v>11016.51</v>
      </c>
      <c r="R21" s="74">
        <f t="shared" si="20"/>
        <v>0</v>
      </c>
      <c r="S21" s="74">
        <f t="shared" si="20"/>
        <v>1257471.88</v>
      </c>
      <c r="T21" s="74">
        <f t="shared" si="20"/>
        <v>695000</v>
      </c>
      <c r="U21" s="74">
        <f t="shared" si="20"/>
        <v>88528.58</v>
      </c>
      <c r="V21" s="74">
        <f t="shared" si="20"/>
        <v>10000</v>
      </c>
      <c r="W21" s="74">
        <f t="shared" si="20"/>
        <v>0</v>
      </c>
      <c r="X21" s="74">
        <f t="shared" si="20"/>
        <v>10000</v>
      </c>
      <c r="Y21" s="74">
        <f t="shared" si="20"/>
        <v>0</v>
      </c>
      <c r="Z21" s="74">
        <f t="shared" si="20"/>
        <v>4000</v>
      </c>
      <c r="AA21" s="74">
        <f t="shared" si="20"/>
        <v>0</v>
      </c>
      <c r="AB21" s="74">
        <f t="shared" si="20"/>
        <v>24000</v>
      </c>
      <c r="AC21" s="74">
        <f t="shared" si="20"/>
        <v>0</v>
      </c>
      <c r="AD21" s="74">
        <f t="shared" si="20"/>
        <v>449943.3</v>
      </c>
      <c r="AE21" s="74">
        <f t="shared" si="20"/>
        <v>40048.01</v>
      </c>
      <c r="AF21" s="74">
        <f t="shared" si="20"/>
        <v>34167.55</v>
      </c>
      <c r="AG21" s="74">
        <f t="shared" si="20"/>
        <v>6527.84</v>
      </c>
      <c r="AH21" s="74">
        <f t="shared" si="20"/>
        <v>129273.88</v>
      </c>
      <c r="AI21" s="74">
        <f t="shared" si="20"/>
        <v>0</v>
      </c>
      <c r="AJ21" s="74">
        <f t="shared" si="20"/>
        <v>129273.88</v>
      </c>
      <c r="AK21" s="74">
        <f t="shared" si="20"/>
        <v>0</v>
      </c>
      <c r="AL21" s="74">
        <f t="shared" si="20"/>
        <v>135801.72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129273.88</v>
      </c>
      <c r="C26" s="48">
        <f>AG21</f>
        <v>6527.84</v>
      </c>
      <c r="D26" s="48">
        <f>AK21</f>
        <v>0</v>
      </c>
      <c r="E26" s="48">
        <f>B26+C26+D26</f>
        <v>135801.72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6597.42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26402.58</v>
      </c>
      <c r="AE4" s="96">
        <f>ROUND(MAX((AD4)*{0.03;0.1;0.2;0.25;0.3;0.35;0.45}-{0;2520;16920;31920;52920;85920;181920},0),2)</f>
        <v>792.08</v>
      </c>
      <c r="AF4" s="97">
        <f>IFERROR(VLOOKUP(E:E,'（居民）工资表-10月'!E:AF,28,0)+VLOOKUP(E:E,'（居民）工资表-10月'!E:AG,29,0),0)</f>
        <v>647.38</v>
      </c>
      <c r="AG4" s="97">
        <f>IF((AE4-AF4)&lt;0,0,AE4-AF4)</f>
        <v>144.7</v>
      </c>
      <c r="AH4" s="107">
        <f t="shared" ref="AH4:AH12" si="3">ROUND(IF((L4-Q4-AG4)&lt;0,0,(L4-Q4-AG4)),2)</f>
        <v>7267</v>
      </c>
      <c r="AI4" s="108"/>
      <c r="AJ4" s="107">
        <f t="shared" ref="AJ4:AJ12" si="4">AH4+AI4</f>
        <v>7267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63500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7314.56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1185.44</v>
      </c>
      <c r="AE5" s="96">
        <f>ROUND(MAX((AD5)*{0.03;0.1;0.2;0.25;0.3;0.35;0.45}-{0;2520;16920;31920;52920;85920;181920},0),2)</f>
        <v>35.56</v>
      </c>
      <c r="AF5" s="97">
        <f>IFERROR(VLOOKUP(E:E,'（居民）工资表-10月'!E:AF,28,0)+VLOOKUP(E:E,'（居民）工资表-10月'!E:AG,29,0),0)</f>
        <v>34.24</v>
      </c>
      <c r="AG5" s="97">
        <f t="shared" ref="AG5:AG12" si="9">IF((AE5-AF5)&lt;0,0,AE5-AF5)</f>
        <v>1.32</v>
      </c>
      <c r="AH5" s="107">
        <f t="shared" si="3"/>
        <v>5042.88</v>
      </c>
      <c r="AI5" s="108"/>
      <c r="AJ5" s="107">
        <f t="shared" si="4"/>
        <v>5042.88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335660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10434.65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270225.35</v>
      </c>
      <c r="AE6" s="96">
        <f>ROUND(MAX((AD6)*{0.03;0.1;0.2;0.25;0.3;0.35;0.45}-{0;2520;16920;31920;52920;85920;181920},0),2)</f>
        <v>37125.07</v>
      </c>
      <c r="AF6" s="97">
        <f>IFERROR(VLOOKUP(E:E,'（居民）工资表-10月'!E:AF,28,0)+VLOOKUP(E:E,'（居民）工资表-10月'!E:AG,29,0),0)</f>
        <v>32202.78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96600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5961.17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35638.83</v>
      </c>
      <c r="AE7" s="96">
        <f>ROUND(MAX((AD7)*{0.03;0.1;0.2;0.25;0.3;0.35;0.45}-{0;2520;16920;31920;52920;85920;181920},0),2)</f>
        <v>1069.16</v>
      </c>
      <c r="AF7" s="97">
        <f>IFERROR(VLOOKUP(E:E,'（居民）工资表-10月'!E:AF,28,0)+VLOOKUP(E:E,'（居民）工资表-10月'!E:AG,29,0),0)</f>
        <v>995.04</v>
      </c>
      <c r="AG7" s="97">
        <f t="shared" si="9"/>
        <v>74.1200000000001</v>
      </c>
      <c r="AH7" s="107">
        <f t="shared" si="3"/>
        <v>7396.75</v>
      </c>
      <c r="AI7" s="108"/>
      <c r="AJ7" s="107">
        <f t="shared" si="4"/>
        <v>7396.75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120000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8477.07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56522.93</v>
      </c>
      <c r="AE8" s="96">
        <f>ROUND(MAX((AD8)*{0.03;0.1;0.2;0.25;0.3;0.35;0.45}-{0;2520;16920;31920;52920;85920;181920},0),2)</f>
        <v>3132.29</v>
      </c>
      <c r="AF8" s="97">
        <f>IFERROR(VLOOKUP(E:E,'（居民）工资表-10月'!E:AF,28,0)+VLOOKUP(E:E,'（居民）工资表-10月'!E:AG,29,0),0)</f>
        <v>2693.89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5608.14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10891.86</v>
      </c>
      <c r="AE9" s="96">
        <f>ROUND(MAX((AD9)*{0.03;0.1;0.2;0.25;0.3;0.35;0.45}-{0;2520;16920;31920;52920;85920;181920},0),2)</f>
        <v>326.76</v>
      </c>
      <c r="AF9" s="97">
        <f>IFERROR(VLOOKUP(E:E,'（居民）工资表-10月'!E:AF,28,0)+VLOOKUP(E:E,'（居民）工资表-10月'!E:AG,29,0),0)</f>
        <v>292.06</v>
      </c>
      <c r="AG9" s="97">
        <f t="shared" si="9"/>
        <v>34.7</v>
      </c>
      <c r="AH9" s="107">
        <f t="shared" si="3"/>
        <v>6121.77</v>
      </c>
      <c r="AI9" s="108"/>
      <c r="AJ9" s="107">
        <f t="shared" si="4"/>
        <v>6121.77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22000</v>
      </c>
      <c r="T10" s="91">
        <f>5000+IFERROR(VLOOKUP($E:$E,'（居民）工资表-10月'!$E:$T,16,0),0)</f>
        <v>20000</v>
      </c>
      <c r="U10" s="91">
        <f>Q10+IFERROR(VLOOKUP($E:$E,'（居民）工资表-10月'!$E:$U,17,0),0)</f>
        <v>2304.81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-304.81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50076.08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6780.02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-11703.94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102300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6301.92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40998.08</v>
      </c>
      <c r="AE12" s="96">
        <f>ROUND(MAX((AD12)*{0.03;0.1;0.2;0.25;0.3;0.35;0.45}-{0;2520;16920;31920;52920;85920;181920},0),2)</f>
        <v>1579.81</v>
      </c>
      <c r="AF12" s="97">
        <f>IFERROR(VLOOKUP(E:E,'（居民）工资表-10月'!E:AF,28,0)+VLOOKUP(E:E,'（居民）工资表-10月'!E:AG,29,0),0)</f>
        <v>1286.54</v>
      </c>
      <c r="AG12" s="97">
        <f t="shared" ref="AG12:AG20" si="13">IF((AE12-AF12)&lt;0,0,AE12-AF12)</f>
        <v>293.27</v>
      </c>
      <c r="AH12" s="107">
        <f t="shared" ref="AH12:AH20" si="14">ROUND(IF((L12-Q12-AG12)&lt;0,0,(L12-Q12-AG12)),2)</f>
        <v>7639.43</v>
      </c>
      <c r="AI12" s="108"/>
      <c r="AJ12" s="107">
        <f t="shared" ref="AJ12:AJ20" si="15">AH12+AI12</f>
        <v>7639.43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82862.05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8477.07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19384.98</v>
      </c>
      <c r="AE13" s="96">
        <f>ROUND(MAX((AD13)*{0.03;0.1;0.2;0.25;0.3;0.35;0.45}-{0;2520;16920;31920;52920;85920;181920},0),2)</f>
        <v>581.55</v>
      </c>
      <c r="AF13" s="97">
        <f>IFERROR(VLOOKUP(E:E,'（居民）工资表-10月'!E:AF,28,0)+VLOOKUP(E:E,'（居民）工资表-10月'!E:AG,29,0),0)</f>
        <v>555.03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89208.7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8477.07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25731.63</v>
      </c>
      <c r="AE14" s="96">
        <f>ROUND(MAX((AD14)*{0.03;0.1;0.2;0.25;0.3;0.35;0.45}-{0;2520;16920;31920;52920;85920;181920},0),2)</f>
        <v>771.95</v>
      </c>
      <c r="AF14" s="97">
        <f>IFERROR(VLOOKUP(E:E,'（居民）工资表-10月'!E:AF,28,0)+VLOOKUP(E:E,'（居民）工资表-10月'!E:AG,29,0),0)</f>
        <v>745.43</v>
      </c>
      <c r="AG14" s="97">
        <f t="shared" si="13"/>
        <v>26.5200000000001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80300</v>
      </c>
      <c r="T15" s="91">
        <f>5000+IFERROR(VLOOKUP($E:$E,'（居民）工资表-10月'!$E:$T,16,0),0)</f>
        <v>55000</v>
      </c>
      <c r="U15" s="91">
        <f>Q15+IFERROR(VLOOKUP($E:$E,'（居民）工资表-10月'!$E:$U,17,0),0)</f>
        <v>6301.92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18998.08</v>
      </c>
      <c r="AE15" s="96">
        <f>ROUND(MAX((AD15)*{0.03;0.1;0.2;0.25;0.3;0.35;0.45}-{0;2520;16920;31920;52920;85920;181920},0),2)</f>
        <v>569.94</v>
      </c>
      <c r="AF15" s="97">
        <f>IFERROR(VLOOKUP(E:E,'（居民）工资表-10月'!E:AF,28,0)+VLOOKUP(E:E,'（居民）工资表-10月'!E:AG,29,0),0)</f>
        <v>526.96</v>
      </c>
      <c r="AG15" s="97">
        <f t="shared" si="13"/>
        <v>42.98</v>
      </c>
      <c r="AH15" s="107">
        <f t="shared" si="14"/>
        <v>6389.72</v>
      </c>
      <c r="AI15" s="108"/>
      <c r="AJ15" s="107">
        <f t="shared" si="15"/>
        <v>6389.72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71587.38</v>
      </c>
      <c r="T16" s="91">
        <f>5000+IFERROR(VLOOKUP($E:$E,'（居民）工资表-10月'!$E:$T,16,0),0)</f>
        <v>55000</v>
      </c>
      <c r="U16" s="91">
        <f>Q16+IFERROR(VLOOKUP($E:$E,'（居民）工资表-10月'!$E:$U,17,0),0)</f>
        <v>5961.17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10626.21</v>
      </c>
      <c r="AE16" s="96">
        <f>ROUND(MAX((AD16)*{0.03;0.1;0.2;0.25;0.3;0.35;0.45}-{0;2520;16920;31920;52920;85920;181920},0),2)</f>
        <v>318.79</v>
      </c>
      <c r="AF16" s="97">
        <f>IFERROR(VLOOKUP(E:E,'（居民）工资表-10月'!E:AF,28,0)+VLOOKUP(E:E,'（居民）工资表-10月'!E:AG,29,0),0)</f>
        <v>302.86</v>
      </c>
      <c r="AG16" s="97">
        <f t="shared" si="13"/>
        <v>15.93</v>
      </c>
      <c r="AH16" s="107">
        <f t="shared" si="14"/>
        <v>5514.94</v>
      </c>
      <c r="AI16" s="108"/>
      <c r="AJ16" s="107">
        <f t="shared" si="15"/>
        <v>5514.94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29240</v>
      </c>
      <c r="T17" s="91">
        <f>5000+IFERROR(VLOOKUP($E:$E,'（居民）工资表-10月'!$E:$T,16,0),0)</f>
        <v>20000</v>
      </c>
      <c r="U17" s="91">
        <f>Q17+IFERROR(VLOOKUP($E:$E,'（居民）工资表-10月'!$E:$U,17,0),0)</f>
        <v>2197.05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7042.95</v>
      </c>
      <c r="AE17" s="96">
        <f>ROUND(MAX((AD17)*{0.03;0.1;0.2;0.25;0.3;0.35;0.45}-{0;2520;16920;31920;52920;85920;181920},0),2)</f>
        <v>211.29</v>
      </c>
      <c r="AF17" s="97">
        <f>IFERROR(VLOOKUP(E:E,'（居民）工资表-10月'!E:AF,28,0)+VLOOKUP(E:E,'（居民）工资表-10月'!E:AG,29,0),0)</f>
        <v>177.04</v>
      </c>
      <c r="AG17" s="97">
        <f t="shared" si="13"/>
        <v>34.25</v>
      </c>
      <c r="AH17" s="107">
        <f t="shared" si="14"/>
        <v>6107.22</v>
      </c>
      <c r="AI17" s="108"/>
      <c r="AJ17" s="107">
        <f t="shared" si="15"/>
        <v>6107.22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69200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5853.53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8346.47</v>
      </c>
      <c r="AE18" s="96">
        <f>ROUND(MAX((AD18)*{0.03;0.1;0.2;0.25;0.3;0.35;0.45}-{0;2520;16920;31920;52920;85920;181920},0),2)</f>
        <v>250.39</v>
      </c>
      <c r="AF18" s="97">
        <f>IFERROR(VLOOKUP(E:E,'（居民）工资表-10月'!E:AF,28,0)+VLOOKUP(E:E,'（居民）工资表-10月'!E:AG,29,0),0)</f>
        <v>236.14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18341.47</v>
      </c>
      <c r="T19" s="91">
        <f>5000+IFERROR(VLOOKUP($E:$E,'（居民）工资表-10月'!$E:$T,16,0),0)</f>
        <v>20000</v>
      </c>
      <c r="U19" s="91">
        <f>Q19+IFERROR(VLOOKUP($E:$E,'（居民）工资表-10月'!$E:$U,17,0),0)</f>
        <v>2179.54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-3838.07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1390375.68</v>
      </c>
      <c r="T21" s="74">
        <f t="shared" si="20"/>
        <v>775000</v>
      </c>
      <c r="U21" s="74">
        <f t="shared" si="20"/>
        <v>99227.11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516148.57</v>
      </c>
      <c r="AE21" s="74">
        <f t="shared" si="20"/>
        <v>46764.64</v>
      </c>
      <c r="AF21" s="74">
        <f t="shared" si="20"/>
        <v>40695.39</v>
      </c>
      <c r="AG21" s="74">
        <f t="shared" si="20"/>
        <v>6069.25</v>
      </c>
      <c r="AH21" s="74">
        <f t="shared" si="20"/>
        <v>116136.02</v>
      </c>
      <c r="AI21" s="74">
        <f t="shared" si="20"/>
        <v>0</v>
      </c>
      <c r="AJ21" s="74">
        <f t="shared" si="20"/>
        <v>116136.02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116136.02</v>
      </c>
      <c r="C26" s="48">
        <f>AG21</f>
        <v>6069.25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127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7185.72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14.28</v>
      </c>
      <c r="AE4" s="96">
        <f>ROUND(MAX((AD4)*{0.03;0.1;0.2;0.25;0.3;0.35;0.45}-{0;2520;16920;31920;52920;85920;181920},0),2)</f>
        <v>0.43</v>
      </c>
      <c r="AF4" s="97">
        <f>IFERROR(VLOOKUP(E:E,'（居民）工资表-11月'!E:AF,28,0)+VLOOKUP(E:E,'（居民）工资表-11月'!E:AG,29,0),0)</f>
        <v>792.08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69200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7970.36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1229.64</v>
      </c>
      <c r="AE5" s="96">
        <f>ROUND(MAX((AD5)*{0.03;0.1;0.2;0.25;0.3;0.35;0.45}-{0;2520;16920;31920;52920;85920;181920},0),2)</f>
        <v>36.89</v>
      </c>
      <c r="AF5" s="97">
        <f>IFERROR(VLOOKUP(E:E,'（居民）工资表-11月'!E:AF,28,0)+VLOOKUP(E:E,'（居民）工资表-11月'!E:AG,29,0),0)</f>
        <v>35.56</v>
      </c>
      <c r="AG5" s="97">
        <f t="shared" si="3"/>
        <v>1.33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365720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11383.2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294336.8</v>
      </c>
      <c r="AE6" s="96">
        <f>ROUND(MAX((AD6)*{0.03;0.1;0.2;0.25;0.3;0.35;0.45}-{0;2520;16920;31920;52920;85920;181920},0),2)</f>
        <v>41947.36</v>
      </c>
      <c r="AF6" s="97">
        <f>IFERROR(VLOOKUP(E:E,'（居民）工资表-11月'!E:AF,28,0)+VLOOKUP(E:E,'（居民）工资表-11月'!E:AG,29,0),0)</f>
        <v>37125.07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106120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6488.88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39631.12</v>
      </c>
      <c r="AE7" s="96">
        <f>ROUND(MAX((AD7)*{0.03;0.1;0.2;0.25;0.3;0.35;0.45}-{0;2520;16920;31920;52920;85920;181920},0),2)</f>
        <v>1443.11</v>
      </c>
      <c r="AF7" s="97">
        <f>IFERROR(VLOOKUP(E:E,'（居民）工资表-11月'!E:AF,28,0)+VLOOKUP(E:E,'（居民）工资表-11月'!E:AG,29,0),0)</f>
        <v>1069.16</v>
      </c>
      <c r="AG7" s="97">
        <f t="shared" si="3"/>
        <v>373.95</v>
      </c>
      <c r="AH7" s="107">
        <f t="shared" si="4"/>
        <v>8618.34</v>
      </c>
      <c r="AI7" s="108"/>
      <c r="AJ7" s="107">
        <f t="shared" si="5"/>
        <v>8618.34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130500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9249.07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61250.93</v>
      </c>
      <c r="AE8" s="96">
        <f>ROUND(MAX((AD8)*{0.03;0.1;0.2;0.25;0.3;0.35;0.45}-{0;2520;16920;31920;52920;85920;181920},0),2)</f>
        <v>3605.09</v>
      </c>
      <c r="AF8" s="97">
        <f>IFERROR(VLOOKUP(E:E,'（居民）工资表-11月'!E:AF,28,0)+VLOOKUP(E:E,'（居民）工资表-11月'!E:AG,29,0),0)</f>
        <v>3132.29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6111.45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11888.55</v>
      </c>
      <c r="AE9" s="96">
        <f>ROUND(MAX((AD9)*{0.03;0.1;0.2;0.25;0.3;0.35;0.45}-{0;2520;16920;31920;52920;85920;181920},0),2)</f>
        <v>356.66</v>
      </c>
      <c r="AF9" s="97">
        <f>IFERROR(VLOOKUP(E:E,'（居民）工资表-11月'!E:AF,28,0)+VLOOKUP(E:E,'（居民）工资表-11月'!E:AG,29,0),0)</f>
        <v>326.76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27500</v>
      </c>
      <c r="T10" s="91">
        <f>5000+IFERROR(VLOOKUP($E:$E,'（居民）工资表-11月'!$E:$T,16,0),0)</f>
        <v>25000</v>
      </c>
      <c r="U10" s="91">
        <f>Q10+IFERROR(VLOOKUP($E:$E,'（居民）工资表-11月'!$E:$U,17,0),0)</f>
        <v>2847.2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-347.2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54238.88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7556.3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-13317.42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110800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6860.92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43939.08</v>
      </c>
      <c r="AE12" s="96">
        <f>ROUND(MAX((AD12)*{0.03;0.1;0.2;0.25;0.3;0.35;0.45}-{0;2520;16920;31920;52920;85920;181920},0),2)</f>
        <v>1873.91</v>
      </c>
      <c r="AF12" s="97">
        <f>IFERROR(VLOOKUP(E:E,'（居民）工资表-11月'!E:AF,28,0)+VLOOKUP(E:E,'（居民）工资表-11月'!E:AG,29,0),0)</f>
        <v>1579.81</v>
      </c>
      <c r="AG12" s="97">
        <f t="shared" si="3"/>
        <v>294.1</v>
      </c>
      <c r="AH12" s="107">
        <f t="shared" si="4"/>
        <v>7646.9</v>
      </c>
      <c r="AI12" s="108"/>
      <c r="AJ12" s="107">
        <f t="shared" si="5"/>
        <v>7646.9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170</v>
      </c>
      <c r="AV12" s="12" t="s">
        <v>171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89862.05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9249.07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20612.98</v>
      </c>
      <c r="AE13" s="96">
        <f>ROUND(MAX((AD13)*{0.03;0.1;0.2;0.25;0.3;0.35;0.45}-{0;2520;16920;31920;52920;85920;181920},0),2)</f>
        <v>618.39</v>
      </c>
      <c r="AF13" s="97">
        <f>IFERROR(VLOOKUP(E:E,'（居民）工资表-11月'!E:AF,28,0)+VLOOKUP(E:E,'（居民）工资表-11月'!E:AG,29,0),0)</f>
        <v>581.55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96208.7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9249.07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26959.63</v>
      </c>
      <c r="AE14" s="96">
        <f>ROUND(MAX((AD14)*{0.03;0.1;0.2;0.25;0.3;0.35;0.45}-{0;2520;16920;31920;52920;85920;181920},0),2)</f>
        <v>808.79</v>
      </c>
      <c r="AF14" s="97">
        <f>IFERROR(VLOOKUP(E:E,'（居民）工资表-11月'!E:AF,28,0)+VLOOKUP(E:E,'（居民）工资表-11月'!E:AG,29,0),0)</f>
        <v>771.95</v>
      </c>
      <c r="AG14" s="97">
        <f t="shared" si="3"/>
        <v>36.8399999999999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87300</v>
      </c>
      <c r="T15" s="91">
        <f>5000+IFERROR(VLOOKUP($E:$E,'（居民）工资表-11月'!$E:$T,16,0),0)</f>
        <v>60000</v>
      </c>
      <c r="U15" s="91">
        <f>Q15+IFERROR(VLOOKUP($E:$E,'（居民）工资表-11月'!$E:$U,17,0),0)</f>
        <v>6860.92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20439.08</v>
      </c>
      <c r="AE15" s="96">
        <f>ROUND(MAX((AD15)*{0.03;0.1;0.2;0.25;0.3;0.35;0.45}-{0;2520;16920;31920;52920;85920;181920},0),2)</f>
        <v>613.17</v>
      </c>
      <c r="AF15" s="97">
        <f>IFERROR(VLOOKUP(E:E,'（居民）工资表-11月'!E:AF,28,0)+VLOOKUP(E:E,'（居民）工资表-11月'!E:AG,29,0),0)</f>
        <v>569.94</v>
      </c>
      <c r="AG15" s="97">
        <f t="shared" si="3"/>
        <v>43.2299999999999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77967.38</v>
      </c>
      <c r="T16" s="91">
        <f>5000+IFERROR(VLOOKUP($E:$E,'（居民）工资表-11月'!$E:$T,16,0),0)</f>
        <v>60000</v>
      </c>
      <c r="U16" s="91">
        <f>Q16+IFERROR(VLOOKUP($E:$E,'（居民）工资表-11月'!$E:$U,17,0),0)</f>
        <v>6488.88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11478.5</v>
      </c>
      <c r="AE16" s="96">
        <f>ROUND(MAX((AD16)*{0.03;0.1;0.2;0.25;0.3;0.35;0.45}-{0;2520;16920;31920;52920;85920;181920},0),2)</f>
        <v>344.36</v>
      </c>
      <c r="AF16" s="97">
        <f>IFERROR(VLOOKUP(E:E,'（居民）工资表-11月'!E:AF,28,0)+VLOOKUP(E:E,'（居民）工资表-11月'!E:AG,29,0),0)</f>
        <v>318.79</v>
      </c>
      <c r="AG16" s="97">
        <f t="shared" si="3"/>
        <v>25.57</v>
      </c>
      <c r="AH16" s="107">
        <f t="shared" si="4"/>
        <v>5826.72</v>
      </c>
      <c r="AI16" s="108"/>
      <c r="AJ16" s="107">
        <f t="shared" si="5"/>
        <v>5826.72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35800</v>
      </c>
      <c r="T17" s="91">
        <f>5000+IFERROR(VLOOKUP($E:$E,'（居民）工资表-11月'!$E:$T,16,0),0)</f>
        <v>25000</v>
      </c>
      <c r="U17" s="91">
        <f>Q17+IFERROR(VLOOKUP($E:$E,'（居民）工资表-11月'!$E:$U,17,0),0)</f>
        <v>2775.36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8024.64</v>
      </c>
      <c r="AE17" s="96">
        <f>ROUND(MAX((AD17)*{0.03;0.1;0.2;0.25;0.3;0.35;0.45}-{0;2520;16920;31920;52920;85920;181920},0),2)</f>
        <v>240.74</v>
      </c>
      <c r="AF17" s="97">
        <f>IFERROR(VLOOKUP(E:E,'（居民）工资表-11月'!E:AF,28,0)+VLOOKUP(E:E,'（居民）工资表-11月'!E:AG,29,0),0)</f>
        <v>211.29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75200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6378.53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8821.47</v>
      </c>
      <c r="AE18" s="96">
        <f>ROUND(MAX((AD18)*{0.03;0.1;0.2;0.25;0.3;0.35;0.45}-{0;2520;16920;31920;52920;85920;181920},0),2)</f>
        <v>264.64</v>
      </c>
      <c r="AF18" s="97">
        <f>IFERROR(VLOOKUP(E:E,'（居民）工资表-11月'!E:AF,28,0)+VLOOKUP(E:E,'（居民）工资表-11月'!E:AG,29,0),0)</f>
        <v>250.39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25591.47</v>
      </c>
      <c r="T19" s="91">
        <f>5000+IFERROR(VLOOKUP($E:$E,'（居民）工资表-11月'!$E:$T,16,0),0)</f>
        <v>25000</v>
      </c>
      <c r="U19" s="91">
        <f>Q19+IFERROR(VLOOKUP($E:$E,'（居民）工资表-11月'!$E:$U,17,0),0)</f>
        <v>2179.54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-1588.07</v>
      </c>
      <c r="AE19" s="96">
        <f>ROUND(MAX((AD19)*{0.03;0.1;0.2;0.25;0.3;0.35;0.45}-{0;2520;16920;31920;52920;85920;181920},0),2)</f>
        <v>0</v>
      </c>
      <c r="AF19" s="97">
        <f>IFERROR(VLOOKUP(E:E,'（居民）工资表-11月'!E:AF,28,0)+VLOOKUP(E:E,'（居民）工资表-11月'!E:AG,29,0),0)</f>
        <v>0</v>
      </c>
      <c r="AG19" s="97">
        <f t="shared" si="3"/>
        <v>0</v>
      </c>
      <c r="AH19" s="107">
        <f t="shared" si="4"/>
        <v>7250</v>
      </c>
      <c r="AI19" s="108"/>
      <c r="AJ19" s="107">
        <f t="shared" si="5"/>
        <v>7250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1526008.48</v>
      </c>
      <c r="T21" s="74">
        <f t="shared" si="8"/>
        <v>855000</v>
      </c>
      <c r="U21" s="74">
        <f t="shared" si="8"/>
        <v>108834.47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533374.01</v>
      </c>
      <c r="AE21" s="74">
        <f t="shared" si="8"/>
        <v>52153.54</v>
      </c>
      <c r="AF21" s="74">
        <f t="shared" si="8"/>
        <v>46764.64</v>
      </c>
      <c r="AG21" s="74">
        <f t="shared" si="8"/>
        <v>6180.55</v>
      </c>
      <c r="AH21" s="74">
        <f t="shared" si="8"/>
        <v>119844.89</v>
      </c>
      <c r="AI21" s="126">
        <f t="shared" si="8"/>
        <v>0</v>
      </c>
      <c r="AJ21" s="74">
        <f t="shared" si="8"/>
        <v>119844.89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119844.89</v>
      </c>
      <c r="C26" s="48">
        <f>AG21</f>
        <v>6180.55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217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218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219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220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221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222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223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224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225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222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222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225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221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226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221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217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227</v>
      </c>
      <c r="C1" s="1"/>
      <c r="D1" s="1"/>
      <c r="E1" s="1"/>
    </row>
    <row r="2" ht="21" spans="2:2">
      <c r="B2" s="2"/>
    </row>
    <row r="3" ht="27.75" customHeight="1" spans="2:5">
      <c r="B3" s="3" t="s">
        <v>228</v>
      </c>
      <c r="C3" s="4" t="s">
        <v>229</v>
      </c>
      <c r="D3" s="4" t="s">
        <v>230</v>
      </c>
      <c r="E3" s="4" t="s">
        <v>231</v>
      </c>
    </row>
    <row r="4" ht="29.25" customHeight="1" spans="2:5">
      <c r="B4" s="5">
        <v>1</v>
      </c>
      <c r="C4" s="6" t="s">
        <v>232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238</v>
      </c>
      <c r="D10" s="7">
        <v>0.45</v>
      </c>
      <c r="E10" s="8">
        <v>181920</v>
      </c>
    </row>
    <row r="13" ht="57" customHeight="1" spans="2:5">
      <c r="B13" s="1" t="s">
        <v>239</v>
      </c>
      <c r="C13" s="1"/>
      <c r="D13" s="1"/>
      <c r="E13" s="1"/>
    </row>
    <row r="14" ht="21" spans="2:2">
      <c r="B14" s="2"/>
    </row>
    <row r="15" ht="27.75" customHeight="1" spans="2:5">
      <c r="B15" s="3" t="s">
        <v>228</v>
      </c>
      <c r="C15" s="4" t="s">
        <v>240</v>
      </c>
      <c r="D15" s="4" t="s">
        <v>230</v>
      </c>
      <c r="E15" s="4" t="s">
        <v>231</v>
      </c>
    </row>
    <row r="16" ht="29.25" customHeight="1" spans="2:5">
      <c r="B16" s="5">
        <v>1</v>
      </c>
      <c r="C16" s="6" t="s">
        <v>241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243</v>
      </c>
      <c r="D18" s="7">
        <v>0.4</v>
      </c>
      <c r="E18" s="8">
        <v>7000</v>
      </c>
    </row>
    <row r="21" ht="47.25" customHeight="1" spans="2:5">
      <c r="B21" s="1" t="s">
        <v>244</v>
      </c>
      <c r="C21" s="1"/>
      <c r="D21" s="1"/>
      <c r="E21" s="1"/>
    </row>
    <row r="22" ht="21" spans="2:2">
      <c r="B22" s="2"/>
    </row>
    <row r="23" ht="27.75" customHeight="1" spans="2:5">
      <c r="B23" s="3" t="s">
        <v>228</v>
      </c>
      <c r="C23" s="4" t="s">
        <v>245</v>
      </c>
      <c r="D23" s="4" t="s">
        <v>230</v>
      </c>
      <c r="E23" s="4" t="s">
        <v>231</v>
      </c>
    </row>
    <row r="24" ht="29.25" customHeight="1" spans="2:5">
      <c r="B24" s="5">
        <v>1</v>
      </c>
      <c r="C24" s="6" t="s">
        <v>246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252</v>
      </c>
      <c r="D30" s="7">
        <v>0.45</v>
      </c>
      <c r="E30" s="8">
        <v>15160</v>
      </c>
    </row>
    <row r="35" ht="57" customHeight="1" spans="2:5">
      <c r="B35" s="9" t="s">
        <v>253</v>
      </c>
      <c r="C35" s="9"/>
      <c r="D35" s="9"/>
      <c r="E35" s="9"/>
    </row>
    <row r="36" ht="14.25"/>
    <row r="37" ht="21.75" customHeight="1" spans="2:5">
      <c r="B37" s="3" t="s">
        <v>228</v>
      </c>
      <c r="C37" s="4" t="s">
        <v>254</v>
      </c>
      <c r="D37" s="4" t="s">
        <v>255</v>
      </c>
      <c r="E37" s="4" t="s">
        <v>231</v>
      </c>
    </row>
    <row r="38" ht="21.75" customHeight="1" spans="2:5">
      <c r="B38" s="5">
        <v>1</v>
      </c>
      <c r="C38" s="6" t="s">
        <v>246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2024-07-02T03:52:24Z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2052-12.1.0.16929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