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609" firstSheet="1" activeTab="4"/>
  </bookViews>
  <sheets>
    <sheet name="社保" sheetId="27" state="hidden" r:id="rId1"/>
    <sheet name="付款通知" sheetId="26" r:id="rId2"/>
    <sheet name="（居民）工资表-7月" sheetId="20" state="hidden" r:id="rId3"/>
    <sheet name="（居民）工资表-5月" sheetId="18" state="hidden" r:id="rId4"/>
    <sheet name="（居民）工资表-6月" sheetId="19" r:id="rId5"/>
    <sheet name="（居民）工资表-8月" sheetId="21" state="hidden" r:id="rId6"/>
    <sheet name="（居民）工资表-9月" sheetId="22" state="hidden" r:id="rId7"/>
    <sheet name="（居民）工资表-10月" sheetId="23" state="hidden" r:id="rId8"/>
    <sheet name="（居民）工资表-11月" sheetId="24" state="hidden" r:id="rId9"/>
    <sheet name="（居民）工资表-1月" sheetId="1" state="hidden" r:id="rId10"/>
    <sheet name="（居民）工资表-12月" sheetId="25" state="hidden" r:id="rId11"/>
    <sheet name="（居民）工资表-2月" sheetId="15" state="hidden" r:id="rId12"/>
    <sheet name="（居民）工资表-3月" sheetId="16" state="hidden" r:id="rId13"/>
    <sheet name="（居民）工资表-4月" sheetId="17" state="hidden" r:id="rId14"/>
    <sheet name="Sheet1" sheetId="14" state="hidden" r:id="rId15"/>
  </sheets>
  <externalReferences>
    <externalReference r:id="rId17"/>
    <externalReference r:id="rId18"/>
  </externalReferences>
  <definedNames>
    <definedName name="_xlnm._FilterDatabase" localSheetId="2" hidden="1">'（居民）工资表-7月'!$A$3:$AL$20</definedName>
    <definedName name="_xlnm._FilterDatabase" localSheetId="3" hidden="1">'（居民）工资表-5月'!$A$3:$AT$20</definedName>
    <definedName name="_xlnm._FilterDatabase" localSheetId="6" hidden="1">'（居民）工资表-9月'!$A$3:$AT$21</definedName>
    <definedName name="_xlnm._FilterDatabase" localSheetId="7" hidden="1">'（居民）工资表-10月'!$A$3:$AT$21</definedName>
    <definedName name="_xlnm._FilterDatabase" localSheetId="8" hidden="1">'（居民）工资表-11月'!$A$3:$AT$21</definedName>
    <definedName name="_xlnm._FilterDatabase" localSheetId="10" hidden="1">'（居民）工资表-12月'!$A$3:$AT$21</definedName>
    <definedName name="_xlnm._FilterDatabase" localSheetId="11" hidden="1">'（居民）工资表-2月'!$A$3:$AT$20</definedName>
    <definedName name="_xlnm._FilterDatabase" localSheetId="12" hidden="1">'（居民）工资表-3月'!$A$3:$AT$19</definedName>
    <definedName name="_xlnm._FilterDatabase" localSheetId="13" hidden="1">'（居民）工资表-4月'!$A$3:$AT$20</definedName>
    <definedName name="_xlnm._FilterDatabase" localSheetId="5" hidden="1">'（居民）工资表-8月'!$A$3:$AV$20</definedName>
    <definedName name="_xlnm._FilterDatabase" localSheetId="4" hidden="1">'（居民）工资表-6月'!$A$3:$AV$18</definedName>
    <definedName name="_xlnm._FilterDatabase" localSheetId="9" hidden="1">'（居民）工资表-1月'!$A$3:$AV$19</definedName>
    <definedName name="_xlnm.Print_Area" localSheetId="7">'（居民）工资表-10月'!$A$1:$AT$27</definedName>
    <definedName name="_xlnm.Print_Area" localSheetId="8">'（居民）工资表-11月'!$A$1:$AT$27</definedName>
    <definedName name="_xlnm.Print_Area" localSheetId="10">'（居民）工资表-12月'!$A$1:$AT$27</definedName>
    <definedName name="_xlnm.Print_Area" localSheetId="9">'（居民）工资表-1月'!$A$1:$AT$25</definedName>
    <definedName name="_xlnm.Print_Area" localSheetId="11">'（居民）工资表-2月'!$A$1:$AT$25</definedName>
    <definedName name="_xlnm.Print_Area" localSheetId="12">'（居民）工资表-3月'!$A$1:$AT$25</definedName>
    <definedName name="_xlnm.Print_Area" localSheetId="13">'（居民）工资表-4月'!$A$1:$AT$26</definedName>
    <definedName name="_xlnm.Print_Area" localSheetId="3">'（居民）工资表-5月'!$A$1:$AT$26</definedName>
    <definedName name="_xlnm.Print_Area" localSheetId="4">'（居民）工资表-6月'!$A$1:$AT$26</definedName>
    <definedName name="_xlnm.Print_Area" localSheetId="2">'（居民）工资表-7月'!$A$1:$AL$26</definedName>
    <definedName name="_xlnm.Print_Area" localSheetId="5">'（居民）工资表-8月'!$A$1:$AT$26</definedName>
    <definedName name="_xlnm.Print_Area" localSheetId="6">'（居民）工资表-9月'!$A$1:$AT$27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<sst xmlns="http://schemas.openxmlformats.org/spreadsheetml/2006/main" count="2238" uniqueCount="256">
  <si>
    <t>序号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</si>
  <si>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</si>
  <si>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</si>
  <si>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</si>
  <si>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</si>
  <si>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</si>
  <si>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</si>
  <si>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</si>
  <si>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</si>
  <si>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</si>
  <si>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</si>
  <si>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</si>
  <si>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</si>
  <si>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</si>
  <si>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</si>
  <si>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</si>
  <si>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</si>
  <si>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</si>
  <si>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</si>
  <si>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</si>
  <si>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</si>
  <si>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</si>
  <si>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</si>
  <si>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</si>
  <si>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备注</t>
  </si>
  <si>
    <t>缴纳基数</t>
  </si>
  <si>
    <t>公司比例</t>
  </si>
  <si>
    <t>公司金额</t>
  </si>
  <si>
    <t>个人比例</t>
  </si>
  <si>
    <t>个人金额</t>
  </si>
  <si>
    <t>比例</t>
  </si>
  <si>
    <t>金额</t>
  </si>
  <si>
    <t>公司</t>
  </si>
  <si>
    <t>个人</t>
  </si>
  <si>
    <t>社保公司</t>
  </si>
  <si>
    <t>社保个人</t>
  </si>
  <si>
    <t>公积金公司</t>
  </si>
  <si>
    <t>公积金个人</t>
  </si>
  <si>
    <t>小计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</si>
  <si>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</si>
  <si>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</si>
  <si>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</si>
  <si>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</si>
  <si>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</si>
  <si>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</si>
  <si>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</si>
  <si>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</si>
  <si>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</si>
  <si>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</si>
  <si>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</si>
  <si>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</si>
  <si>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</si>
  <si>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</si>
  <si>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</si>
  <si>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</si>
  <si>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</si>
  <si>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</si>
  <si>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</si>
  <si>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</si>
  <si>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</si>
  <si>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</si>
  <si>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</si>
  <si>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</si>
  <si>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</si>
  <si>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</si>
  <si>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</si>
  <si>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</si>
  <si>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付款通知书</t>
  </si>
  <si>
    <t>尊敬的客户：北京创联致信科技有限公司</t>
  </si>
  <si>
    <t>根据贵公司与我公司所签订的服务协议，请贵公司在2024年4月8日之前按照下列表格内容支付相关款项.</t>
  </si>
  <si>
    <t>本 期 应 付 款 汇 总 结 算 明 细</t>
  </si>
  <si>
    <t>汇款信息：</t>
  </si>
  <si>
    <t>本期应付款合计（小写）：</t>
  </si>
  <si>
    <t/>
  </si>
  <si>
    <t>账户全称：</t>
  </si>
  <si>
    <t>北京易才博普奥管理顾问有限公司</t>
  </si>
  <si>
    <t>本期应付款合计（大写）：</t>
  </si>
  <si>
    <t>开户银行：</t>
  </si>
  <si>
    <t>广发银行北京国寿金融中心支行</t>
  </si>
  <si>
    <t>本期款项合计：</t>
  </si>
  <si>
    <t>尾数调整：</t>
  </si>
  <si>
    <t>银行账号：</t>
  </si>
  <si>
    <t>137501516010000088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</si>
  <si>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</si>
  <si>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</si>
  <si>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</si>
  <si>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</si>
  <si>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</si>
  <si>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</si>
  <si>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费用列项</t>
  </si>
  <si>
    <t>费用明细</t>
  </si>
  <si>
    <t>人次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</si>
  <si>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</si>
  <si>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</si>
  <si>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工资(应税工资:实发+个税+残障金)</t>
  </si>
  <si>
    <t>社   保(企业+个人)</t>
  </si>
  <si>
    <t>正常月</t>
  </si>
  <si>
    <t>公积金(企业+个人)</t>
  </si>
  <si>
    <t>人事管理费用</t>
  </si>
  <si>
    <t>服务费（含税）</t>
  </si>
  <si>
    <t>税金</t>
  </si>
  <si>
    <t>合计:</t>
  </si>
  <si>
    <t>开票金额: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</si>
  <si>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</si>
  <si>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</si>
  <si>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</si>
  <si>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</si>
  <si>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</si>
  <si>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</si>
  <si>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</si>
  <si>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</si>
  <si>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</si>
  <si>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</si>
  <si>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</si>
  <si>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</si>
  <si>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</si>
  <si>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</si>
  <si>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</si>
  <si>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</si>
  <si>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</si>
  <si>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</si>
  <si>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</si>
  <si>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</si>
  <si>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</si>
  <si>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</si>
  <si>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</si>
  <si>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</si>
  <si>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</si>
  <si>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</si>
  <si>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</si>
  <si>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</si>
  <si>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</si>
  <si>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</si>
  <si>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</si>
  <si>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</si>
  <si>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</si>
  <si>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</si>
  <si>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</si>
  <si>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</si>
  <si>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</si>
  <si>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</si>
  <si>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</si>
  <si>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创联致信（上月工资上月社保账单费用）</t>
  </si>
  <si>
    <t>身份证</t>
  </si>
  <si>
    <t>男</t>
  </si>
  <si>
    <t>长春</t>
  </si>
  <si>
    <t>梁敏霞</t>
  </si>
  <si>
    <t>440883199611084547</t>
  </si>
  <si>
    <t>女</t>
  </si>
  <si>
    <t>冯玉</t>
  </si>
  <si>
    <t>370724197703022770</t>
  </si>
  <si>
    <t>13564614685</t>
  </si>
  <si>
    <t>上海</t>
  </si>
  <si>
    <t>傲云</t>
  </si>
  <si>
    <t>徐明龙</t>
  </si>
  <si>
    <t>340311199902251816</t>
  </si>
  <si>
    <t>15255242118</t>
  </si>
  <si>
    <t>合肥</t>
  </si>
  <si>
    <t>陈佳文</t>
  </si>
  <si>
    <t>34122719960403561X</t>
  </si>
  <si>
    <t>龙治旺</t>
  </si>
  <si>
    <t>43070219881009051X</t>
  </si>
  <si>
    <t>长沙</t>
  </si>
  <si>
    <t>谭江月</t>
  </si>
  <si>
    <t>500228199607193387</t>
  </si>
  <si>
    <t>18297976577</t>
  </si>
  <si>
    <t>重庆</t>
  </si>
  <si>
    <t>重庆外商</t>
  </si>
  <si>
    <t>孙海娟</t>
  </si>
  <si>
    <t>150428198211155123</t>
  </si>
  <si>
    <t>13875812115</t>
  </si>
  <si>
    <t>天津</t>
  </si>
  <si>
    <t>天津易铭天</t>
  </si>
  <si>
    <t>汤祥文</t>
  </si>
  <si>
    <t>340222198505126017</t>
  </si>
  <si>
    <t>杨旭</t>
  </si>
  <si>
    <t>341202199607081913</t>
  </si>
  <si>
    <t>任志伟</t>
  </si>
  <si>
    <t>341221199109161530</t>
  </si>
  <si>
    <t>朱必丰</t>
  </si>
  <si>
    <t>64222319950423161X</t>
  </si>
  <si>
    <t>18409625963</t>
  </si>
  <si>
    <t>周阳阳</t>
  </si>
  <si>
    <t>34031119950415085X</t>
  </si>
  <si>
    <t>杨文</t>
  </si>
  <si>
    <t>430902198512287016</t>
  </si>
  <si>
    <t>张莉</t>
  </si>
  <si>
    <t>340122198910212909</t>
  </si>
  <si>
    <t>周兆平</t>
  </si>
  <si>
    <t>420625199902250033</t>
  </si>
  <si>
    <t>武汉</t>
  </si>
  <si>
    <t>武汉乾通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</si>
  <si>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</si>
  <si>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</si>
  <si>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</si>
  <si>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</si>
  <si>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</si>
  <si>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</si>
  <si>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</si>
  <si>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</si>
  <si>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</si>
  <si>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</si>
  <si>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</si>
  <si>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</si>
  <si>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</si>
  <si>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</si>
  <si>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</si>
  <si>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</si>
  <si>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</si>
  <si>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</si>
  <si>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</si>
  <si>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</si>
  <si>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倪绍帅</t>
  </si>
  <si>
    <t>341225199804264377</t>
  </si>
  <si>
    <t>吕阳</t>
  </si>
  <si>
    <t>420704199405100011</t>
  </si>
  <si>
    <t>重庆易铭天</t>
  </si>
  <si>
    <t>残障金</t>
  </si>
  <si>
    <t>吉林省-四平市</t>
  </si>
  <si>
    <t>广东省-广州市</t>
  </si>
  <si>
    <t>上海市-上海市</t>
  </si>
  <si>
    <t>安徽省-蚌埠市</t>
  </si>
  <si>
    <t>安徽省-阜阳市</t>
  </si>
  <si>
    <t>湖南省-常德市</t>
  </si>
  <si>
    <t>天津市-天津市</t>
  </si>
  <si>
    <t>安徽省-芜湖市</t>
  </si>
  <si>
    <t>安徽省-合肥市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</si>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</sst>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.00_ "/>
    <numFmt numFmtId="178" formatCode="0.00_);[Red]\(0.00\)"/>
    <numFmt numFmtId="179" formatCode="#,##0_);[Red]\(#,##0\)"/>
    <numFmt numFmtId="180" formatCode="#,##0.00_);[Red]\(#,##0.00\)"/>
    <numFmt numFmtId="181" formatCode="0_);[Red]\(0\)"/>
    <numFmt numFmtId="182" formatCode="&quot;$&quot;0_ "/>
    <numFmt numFmtId="183" formatCode="&quot;$&quot;#,##0_ ;[Red]\-&quot;$&quot;#,##0_ "/>
    <numFmt numFmtId="184" formatCode="General\ &quot;年&quot;"/>
    <numFmt numFmtId="185" formatCode="0.00_);\(0.00\)"/>
    <numFmt numFmtId="186" formatCode="0.00;[Red]0.00"/>
  </numFmts>
  <fonts count="1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b/>
      <sz val="10"/>
      <color indexed="8"/>
      <name val="微软雅黑"/>
      <charset val="134"/>
    </font>
    <font>
      <b/>
      <sz val="10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微软雅黑"/>
      <charset val="134"/>
    </font>
    <font>
      <i/>
      <sz val="11"/>
      <color indexed="0"/>
      <name val="微软雅黑"/>
      <charset val="134"/>
    </font>
    <font>
      <b/>
      <sz val="12"/>
      <color indexed="0"/>
      <name val="宋体"/>
      <charset val="134"/>
    </font>
    <font>
      <sz val="12"/>
      <color indexed="0"/>
      <name val="微软雅黑"/>
      <charset val="134"/>
    </font>
    <font>
      <b/>
      <sz val="11"/>
      <color indexed="8"/>
      <name val="微软雅黑"/>
      <charset val="134"/>
    </font>
    <font>
      <b/>
      <sz val="11"/>
      <color indexed="8"/>
      <name val="宋体"/>
      <charset val="134"/>
    </font>
    <font>
      <b/>
      <sz val="11"/>
      <name val="微软雅黑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6"/>
      <name val="Arial"/>
      <charset val="134"/>
    </font>
    <font>
      <sz val="6"/>
      <color rgb="FFFF0000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rgb="FFFF0000"/>
      <name val="SimSun"/>
      <charset val="134"/>
    </font>
    <font>
      <sz val="10"/>
      <color rgb="FFFF0000"/>
      <name val="宋体"/>
      <charset val="134"/>
      <scheme val="minor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0"/>
      <name val="Geneva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u/>
      <sz val="10"/>
      <color indexed="12"/>
      <name val="新細明體"/>
      <charset val="134"/>
    </font>
    <font>
      <sz val="12"/>
      <name val="Times New Roman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0" fillId="10" borderId="45" applyNumberFormat="0" applyFon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46" applyNumberFormat="0" applyFill="0" applyAlignment="0" applyProtection="0">
      <alignment vertical="center"/>
    </xf>
    <xf numFmtId="0" fontId="88" fillId="0" borderId="46" applyNumberFormat="0" applyFill="0" applyAlignment="0" applyProtection="0">
      <alignment vertical="center"/>
    </xf>
    <xf numFmtId="0" fontId="89" fillId="0" borderId="47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11" borderId="48" applyNumberFormat="0" applyAlignment="0" applyProtection="0">
      <alignment vertical="center"/>
    </xf>
    <xf numFmtId="0" fontId="91" fillId="12" borderId="49" applyNumberFormat="0" applyAlignment="0" applyProtection="0">
      <alignment vertical="center"/>
    </xf>
    <xf numFmtId="0" fontId="92" fillId="12" borderId="48" applyNumberFormat="0" applyAlignment="0" applyProtection="0">
      <alignment vertical="center"/>
    </xf>
    <xf numFmtId="0" fontId="93" fillId="13" borderId="50" applyNumberFormat="0" applyAlignment="0" applyProtection="0">
      <alignment vertical="center"/>
    </xf>
    <xf numFmtId="0" fontId="94" fillId="0" borderId="51" applyNumberFormat="0" applyFill="0" applyAlignment="0" applyProtection="0">
      <alignment vertical="center"/>
    </xf>
    <xf numFmtId="0" fontId="95" fillId="0" borderId="52" applyNumberFormat="0" applyFill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8" fillId="16" borderId="0" applyNumberFormat="0" applyBorder="0" applyAlignment="0" applyProtection="0">
      <alignment vertical="center"/>
    </xf>
    <xf numFmtId="0" fontId="99" fillId="17" borderId="0" applyNumberFormat="0" applyBorder="0" applyAlignment="0" applyProtection="0">
      <alignment vertical="center"/>
    </xf>
    <xf numFmtId="0" fontId="100" fillId="18" borderId="0" applyNumberFormat="0" applyBorder="0" applyAlignment="0" applyProtection="0">
      <alignment vertical="center"/>
    </xf>
    <xf numFmtId="0" fontId="100" fillId="19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1" borderId="0" applyNumberFormat="0" applyBorder="0" applyAlignment="0" applyProtection="0">
      <alignment vertical="center"/>
    </xf>
    <xf numFmtId="0" fontId="100" fillId="22" borderId="0" applyNumberFormat="0" applyBorder="0" applyAlignment="0" applyProtection="0">
      <alignment vertical="center"/>
    </xf>
    <xf numFmtId="0" fontId="100" fillId="23" borderId="0" applyNumberFormat="0" applyBorder="0" applyAlignment="0" applyProtection="0">
      <alignment vertical="center"/>
    </xf>
    <xf numFmtId="0" fontId="99" fillId="24" borderId="0" applyNumberFormat="0" applyBorder="0" applyAlignment="0" applyProtection="0">
      <alignment vertical="center"/>
    </xf>
    <xf numFmtId="0" fontId="99" fillId="25" borderId="0" applyNumberFormat="0" applyBorder="0" applyAlignment="0" applyProtection="0">
      <alignment vertical="center"/>
    </xf>
    <xf numFmtId="0" fontId="100" fillId="26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99" fillId="28" borderId="0" applyNumberFormat="0" applyBorder="0" applyAlignment="0" applyProtection="0">
      <alignment vertical="center"/>
    </xf>
    <xf numFmtId="0" fontId="99" fillId="29" borderId="0" applyNumberFormat="0" applyBorder="0" applyAlignment="0" applyProtection="0">
      <alignment vertical="center"/>
    </xf>
    <xf numFmtId="0" fontId="100" fillId="30" borderId="0" applyNumberFormat="0" applyBorder="0" applyAlignment="0" applyProtection="0">
      <alignment vertical="center"/>
    </xf>
    <xf numFmtId="0" fontId="100" fillId="31" borderId="0" applyNumberFormat="0" applyBorder="0" applyAlignment="0" applyProtection="0">
      <alignment vertical="center"/>
    </xf>
    <xf numFmtId="0" fontId="99" fillId="32" borderId="0" applyNumberFormat="0" applyBorder="0" applyAlignment="0" applyProtection="0">
      <alignment vertical="center"/>
    </xf>
    <xf numFmtId="0" fontId="99" fillId="33" borderId="0" applyNumberFormat="0" applyBorder="0" applyAlignment="0" applyProtection="0">
      <alignment vertical="center"/>
    </xf>
    <xf numFmtId="0" fontId="100" fillId="3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99" fillId="35" borderId="0" applyNumberFormat="0" applyBorder="0" applyAlignment="0" applyProtection="0">
      <alignment vertical="center"/>
    </xf>
    <xf numFmtId="0" fontId="99" fillId="36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100" fillId="38" borderId="0" applyNumberFormat="0" applyBorder="0" applyAlignment="0" applyProtection="0">
      <alignment vertical="center"/>
    </xf>
    <xf numFmtId="0" fontId="99" fillId="39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39" fillId="0" borderId="0">
      <alignment vertical="center"/>
    </xf>
    <xf numFmtId="0" fontId="103" fillId="0" borderId="54" applyNumberFormat="0" applyFill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104" fillId="0" borderId="0"/>
    <xf numFmtId="0" fontId="105" fillId="41" borderId="56" applyNumberFormat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4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7" fillId="0" borderId="0"/>
    <xf numFmtId="0" fontId="6" fillId="46" borderId="57" applyNumberFormat="0" applyFon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4" fillId="0" borderId="0">
      <alignment vertical="center"/>
    </xf>
    <xf numFmtId="0" fontId="6" fillId="46" borderId="57" applyNumberFormat="0" applyFont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4" fillId="0" borderId="0">
      <alignment vertical="center"/>
    </xf>
    <xf numFmtId="0" fontId="102" fillId="41" borderId="53" applyNumberFormat="0" applyAlignment="0" applyProtection="0">
      <alignment vertical="center"/>
    </xf>
    <xf numFmtId="0" fontId="104" fillId="0" borderId="0"/>
    <xf numFmtId="0" fontId="108" fillId="51" borderId="58" applyNumberForma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39" fillId="0" borderId="0"/>
    <xf numFmtId="0" fontId="6" fillId="45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39" fillId="0" borderId="0"/>
    <xf numFmtId="0" fontId="110" fillId="0" borderId="0" applyNumberFormat="0" applyFill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9" fillId="0" borderId="0"/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04" fillId="0" borderId="0">
      <alignment vertical="center"/>
    </xf>
    <xf numFmtId="0" fontId="111" fillId="53" borderId="0" applyNumberFormat="0" applyBorder="0" applyAlignment="0" applyProtection="0">
      <alignment vertical="center"/>
    </xf>
    <xf numFmtId="0" fontId="39" fillId="0" borderId="0"/>
    <xf numFmtId="0" fontId="6" fillId="42" borderId="0" applyNumberFormat="0" applyBorder="0" applyAlignment="0" applyProtection="0">
      <alignment vertical="center"/>
    </xf>
    <xf numFmtId="0" fontId="104" fillId="0" borderId="0"/>
    <xf numFmtId="0" fontId="101" fillId="5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/>
    <xf numFmtId="0" fontId="6" fillId="42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13" fillId="56" borderId="56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/>
    <xf numFmtId="0" fontId="6" fillId="8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4" fillId="0" borderId="0"/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176" fontId="104" fillId="0" borderId="0"/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10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4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177" fontId="6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111" fillId="53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6" fillId="0" borderId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7" fillId="0" borderId="0"/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43" fontId="104" fillId="0" borderId="0" applyFon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176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4" fillId="0" borderId="0">
      <alignment vertical="center"/>
    </xf>
    <xf numFmtId="0" fontId="104" fillId="0" borderId="0"/>
    <xf numFmtId="0" fontId="104" fillId="0" borderId="0">
      <alignment vertical="center"/>
    </xf>
    <xf numFmtId="0" fontId="104" fillId="0" borderId="0">
      <alignment vertical="center"/>
    </xf>
    <xf numFmtId="0" fontId="6" fillId="0" borderId="0">
      <alignment vertical="center"/>
    </xf>
    <xf numFmtId="0" fontId="101" fillId="5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19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113" fillId="56" borderId="56" applyNumberFormat="0" applyAlignment="0" applyProtection="0">
      <alignment vertical="center"/>
    </xf>
    <xf numFmtId="0" fontId="104" fillId="0" borderId="0">
      <alignment vertical="center"/>
    </xf>
    <xf numFmtId="0" fontId="117" fillId="0" borderId="0"/>
    <xf numFmtId="0" fontId="113" fillId="56" borderId="56" applyNumberFormat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113" fillId="56" borderId="56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101" fillId="49" borderId="0" applyNumberFormat="0" applyBorder="0" applyAlignment="0" applyProtection="0">
      <alignment vertical="center"/>
    </xf>
    <xf numFmtId="0" fontId="6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6" fillId="0" borderId="0">
      <alignment vertical="center"/>
    </xf>
    <xf numFmtId="0" fontId="6" fillId="0" borderId="0">
      <alignment vertical="center"/>
    </xf>
    <xf numFmtId="0" fontId="109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6" fillId="0" borderId="0">
      <alignment vertical="center"/>
    </xf>
    <xf numFmtId="0" fontId="113" fillId="56" borderId="56" applyNumberFormat="0" applyAlignment="0" applyProtection="0">
      <alignment vertical="center"/>
    </xf>
    <xf numFmtId="0" fontId="104" fillId="0" borderId="0"/>
    <xf numFmtId="0" fontId="39" fillId="0" borderId="0">
      <alignment vertical="center"/>
    </xf>
    <xf numFmtId="0" fontId="101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104" fillId="0" borderId="0"/>
    <xf numFmtId="0" fontId="39" fillId="0" borderId="0"/>
    <xf numFmtId="0" fontId="52" fillId="0" borderId="55" applyNumberFormat="0" applyFill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17" fillId="0" borderId="0"/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7" fillId="0" borderId="0"/>
    <xf numFmtId="0" fontId="113" fillId="56" borderId="56" applyNumberFormat="0" applyAlignment="0" applyProtection="0">
      <alignment vertical="center"/>
    </xf>
    <xf numFmtId="0" fontId="107" fillId="0" borderId="0"/>
    <xf numFmtId="0" fontId="113" fillId="56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26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38" fontId="104" fillId="0" borderId="0" applyFont="0" applyFill="0" applyBorder="0" applyAlignment="0" applyProtection="0">
      <alignment vertical="center"/>
    </xf>
    <xf numFmtId="0" fontId="121" fillId="0" borderId="0"/>
    <xf numFmtId="0" fontId="39" fillId="0" borderId="0"/>
    <xf numFmtId="0" fontId="107" fillId="0" borderId="0"/>
    <xf numFmtId="0" fontId="107" fillId="0" borderId="0"/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</cellStyleXfs>
  <cellXfs count="3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12" applyBorder="1">
      <alignment vertical="center"/>
    </xf>
    <xf numFmtId="0" fontId="7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Fill="1">
      <alignment vertical="center"/>
    </xf>
    <xf numFmtId="0" fontId="6" fillId="0" borderId="0" xfId="312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12">
      <alignment vertical="center"/>
    </xf>
    <xf numFmtId="0" fontId="6" fillId="0" borderId="0" xfId="312" applyNumberFormat="1">
      <alignment vertical="center"/>
    </xf>
    <xf numFmtId="0" fontId="6" fillId="0" borderId="0" xfId="312" applyNumberFormat="1" applyAlignment="1">
      <alignment horizontal="center" vertical="center"/>
    </xf>
    <xf numFmtId="14" fontId="6" fillId="0" borderId="0" xfId="312" applyNumberFormat="1">
      <alignment vertical="center"/>
    </xf>
    <xf numFmtId="178" fontId="6" fillId="0" borderId="0" xfId="312" applyNumberFormat="1">
      <alignment vertical="center"/>
    </xf>
    <xf numFmtId="179" fontId="8" fillId="0" borderId="0" xfId="108" applyNumberFormat="1" applyFont="1" applyFill="1" applyBorder="1" applyAlignment="1" applyProtection="1">
      <alignment vertical="center"/>
    </xf>
    <xf numFmtId="179" fontId="9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horizontal="center" vertical="top"/>
    </xf>
    <xf numFmtId="0" fontId="6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NumberFormat="1" applyBorder="1" applyAlignment="1">
      <alignment horizontal="center" vertical="center"/>
    </xf>
    <xf numFmtId="179" fontId="11" fillId="3" borderId="5" xfId="108" applyNumberFormat="1" applyFont="1" applyFill="1" applyBorder="1" applyAlignment="1" applyProtection="1">
      <alignment horizontal="center" vertical="center"/>
    </xf>
    <xf numFmtId="179" fontId="8" fillId="3" borderId="5" xfId="108" applyNumberFormat="1" applyFont="1" applyFill="1" applyBorder="1" applyAlignment="1" applyProtection="1">
      <alignment horizontal="center" vertical="center"/>
    </xf>
    <xf numFmtId="0" fontId="8" fillId="3" borderId="5" xfId="108" applyNumberFormat="1" applyFont="1" applyFill="1" applyBorder="1" applyAlignment="1" applyProtection="1">
      <alignment horizontal="center" vertical="center" wrapText="1"/>
    </xf>
    <xf numFmtId="0" fontId="12" fillId="3" borderId="5" xfId="407" applyNumberFormat="1" applyFont="1" applyFill="1" applyBorder="1" applyAlignment="1" applyProtection="1">
      <alignment horizontal="center" vertical="center" wrapText="1"/>
    </xf>
    <xf numFmtId="0" fontId="13" fillId="3" borderId="5" xfId="407" applyNumberFormat="1" applyFont="1" applyFill="1" applyBorder="1" applyAlignment="1" applyProtection="1">
      <alignment horizontal="center" vertical="center" wrapText="1"/>
    </xf>
    <xf numFmtId="179" fontId="11" fillId="3" borderId="6" xfId="108" applyNumberFormat="1" applyFont="1" applyFill="1" applyBorder="1" applyAlignment="1" applyProtection="1">
      <alignment horizontal="center" vertical="center"/>
    </xf>
    <xf numFmtId="179" fontId="8" fillId="3" borderId="6" xfId="108" applyNumberFormat="1" applyFont="1" applyFill="1" applyBorder="1" applyAlignment="1" applyProtection="1">
      <alignment horizontal="center" vertical="center"/>
    </xf>
    <xf numFmtId="0" fontId="8" fillId="3" borderId="6" xfId="108" applyNumberFormat="1" applyFont="1" applyFill="1" applyBorder="1" applyAlignment="1" applyProtection="1">
      <alignment horizontal="center" vertical="center" wrapText="1"/>
    </xf>
    <xf numFmtId="0" fontId="12" fillId="3" borderId="6" xfId="407" applyNumberFormat="1" applyFont="1" applyFill="1" applyBorder="1" applyAlignment="1" applyProtection="1">
      <alignment horizontal="center" vertical="center" wrapText="1"/>
    </xf>
    <xf numFmtId="0" fontId="13" fillId="3" borderId="6" xfId="407" applyNumberFormat="1" applyFont="1" applyFill="1" applyBorder="1" applyAlignment="1" applyProtection="1">
      <alignment horizontal="center" vertical="center" wrapText="1"/>
    </xf>
    <xf numFmtId="179" fontId="14" fillId="0" borderId="6" xfId="312" applyNumberFormat="1" applyFont="1" applyFill="1" applyBorder="1" applyAlignment="1" applyProtection="1">
      <alignment horizontal="center" vertical="center"/>
    </xf>
    <xf numFmtId="0" fontId="15" fillId="0" borderId="7" xfId="312" applyFont="1" applyFill="1" applyBorder="1" applyAlignment="1">
      <alignment horizontal="center" vertical="center" wrapText="1"/>
    </xf>
    <xf numFmtId="49" fontId="16" fillId="4" borderId="8" xfId="312" applyNumberFormat="1" applyFont="1" applyFill="1" applyBorder="1" applyAlignment="1">
      <alignment horizontal="center" vertical="center" wrapText="1"/>
    </xf>
    <xf numFmtId="0" fontId="6" fillId="0" borderId="7" xfId="312" applyNumberFormat="1" applyFill="1" applyBorder="1" applyAlignment="1">
      <alignment horizontal="center" vertical="center"/>
    </xf>
    <xf numFmtId="0" fontId="6" fillId="0" borderId="8" xfId="312" applyFill="1" applyBorder="1">
      <alignment vertical="center"/>
    </xf>
    <xf numFmtId="179" fontId="14" fillId="4" borderId="6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top" shrinkToFit="1"/>
    </xf>
    <xf numFmtId="0" fontId="16" fillId="4" borderId="7" xfId="312" applyNumberFormat="1" applyFont="1" applyFill="1" applyBorder="1" applyAlignment="1">
      <alignment horizontal="center" vertical="center" shrinkToFit="1"/>
    </xf>
    <xf numFmtId="0" fontId="6" fillId="4" borderId="7" xfId="312" applyNumberFormat="1" applyFont="1" applyFill="1" applyBorder="1" applyAlignment="1" applyProtection="1">
      <alignment horizontal="center" vertical="center" shrinkToFit="1"/>
    </xf>
    <xf numFmtId="0" fontId="6" fillId="4" borderId="7" xfId="312" applyNumberFormat="1" applyFill="1" applyBorder="1" applyAlignment="1">
      <alignment horizontal="center" vertical="center" shrinkToFit="1"/>
    </xf>
    <xf numFmtId="0" fontId="6" fillId="3" borderId="7" xfId="312" applyFont="1" applyFill="1" applyBorder="1" applyAlignment="1">
      <alignment horizontal="center" vertical="center"/>
    </xf>
    <xf numFmtId="178" fontId="6" fillId="4" borderId="7" xfId="312" applyNumberFormat="1" applyFont="1" applyFill="1" applyBorder="1" applyAlignment="1">
      <alignment horizontal="center" vertical="center"/>
    </xf>
    <xf numFmtId="180" fontId="6" fillId="0" borderId="0" xfId="312" applyNumberFormat="1" applyFont="1" applyBorder="1" applyAlignment="1">
      <alignment horizontal="center" vertical="center"/>
    </xf>
    <xf numFmtId="180" fontId="6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12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12" applyNumberFormat="1" applyBorder="1">
      <alignment vertical="center"/>
    </xf>
    <xf numFmtId="179" fontId="10" fillId="0" borderId="0" xfId="108" applyNumberFormat="1" applyFont="1" applyFill="1" applyBorder="1" applyAlignment="1" applyProtection="1">
      <alignment horizontal="center" vertical="center"/>
    </xf>
    <xf numFmtId="177" fontId="24" fillId="5" borderId="0" xfId="312" applyNumberFormat="1" applyFont="1" applyFill="1" applyBorder="1" applyAlignment="1">
      <alignment horizontal="center" vertical="center"/>
    </xf>
    <xf numFmtId="14" fontId="12" fillId="3" borderId="5" xfId="407" applyNumberFormat="1" applyFont="1" applyFill="1" applyBorder="1" applyAlignment="1" applyProtection="1">
      <alignment horizontal="center" vertical="center" wrapText="1"/>
    </xf>
    <xf numFmtId="0" fontId="12" fillId="3" borderId="8" xfId="407" applyNumberFormat="1" applyFont="1" applyFill="1" applyBorder="1" applyAlignment="1" applyProtection="1">
      <alignment horizontal="center" vertical="center" wrapText="1"/>
    </xf>
    <xf numFmtId="0" fontId="12" fillId="3" borderId="9" xfId="407" applyNumberFormat="1" applyFont="1" applyFill="1" applyBorder="1" applyAlignment="1" applyProtection="1">
      <alignment horizontal="center" vertical="center" wrapText="1"/>
    </xf>
    <xf numFmtId="0" fontId="12" fillId="3" borderId="10" xfId="407" applyNumberFormat="1" applyFont="1" applyFill="1" applyBorder="1" applyAlignment="1" applyProtection="1">
      <alignment horizontal="center" vertical="center" wrapText="1"/>
    </xf>
    <xf numFmtId="14" fontId="12" fillId="3" borderId="6" xfId="407" applyNumberFormat="1" applyFont="1" applyFill="1" applyBorder="1" applyAlignment="1" applyProtection="1">
      <alignment horizontal="center" vertical="center" wrapText="1"/>
    </xf>
    <xf numFmtId="0" fontId="12" fillId="3" borderId="7" xfId="407" applyNumberFormat="1" applyFont="1" applyFill="1" applyBorder="1" applyAlignment="1" applyProtection="1">
      <alignment horizontal="center" vertical="center" wrapText="1"/>
    </xf>
    <xf numFmtId="14" fontId="6" fillId="0" borderId="8" xfId="312" applyNumberFormat="1" applyFill="1" applyBorder="1">
      <alignment vertical="center"/>
    </xf>
    <xf numFmtId="177" fontId="14" fillId="0" borderId="7" xfId="312" applyNumberFormat="1" applyFont="1" applyFill="1" applyBorder="1">
      <alignment vertical="center"/>
    </xf>
    <xf numFmtId="177" fontId="14" fillId="0" borderId="7" xfId="312" applyNumberFormat="1" applyFont="1" applyFill="1" applyBorder="1" applyAlignment="1">
      <alignment horizontal="center" vertical="center"/>
    </xf>
    <xf numFmtId="0" fontId="6" fillId="4" borderId="8" xfId="312" applyNumberFormat="1" applyFont="1" applyFill="1" applyBorder="1" applyAlignment="1" applyProtection="1">
      <alignment horizontal="center" vertical="center" shrinkToFit="1"/>
    </xf>
    <xf numFmtId="14" fontId="6" fillId="4" borderId="8" xfId="312" applyNumberFormat="1" applyFont="1" applyFill="1" applyBorder="1" applyAlignment="1" applyProtection="1">
      <alignment horizontal="center" vertical="center" shrinkToFit="1"/>
    </xf>
    <xf numFmtId="180" fontId="17" fillId="4" borderId="7" xfId="312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1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1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7" fontId="0" fillId="0" borderId="0" xfId="312" applyNumberFormat="1" applyFont="1" applyFill="1" applyBorder="1" applyAlignment="1">
      <alignment horizontal="left" vertical="center"/>
    </xf>
    <xf numFmtId="178" fontId="13" fillId="3" borderId="5" xfId="407" applyNumberFormat="1" applyFont="1" applyFill="1" applyBorder="1" applyAlignment="1" applyProtection="1">
      <alignment horizontal="center" vertical="center" wrapText="1"/>
    </xf>
    <xf numFmtId="0" fontId="13" fillId="3" borderId="8" xfId="407" applyNumberFormat="1" applyFont="1" applyFill="1" applyBorder="1" applyAlignment="1" applyProtection="1">
      <alignment horizontal="center" vertical="center" wrapText="1"/>
    </xf>
    <xf numFmtId="0" fontId="13" fillId="3" borderId="9" xfId="407" applyNumberFormat="1" applyFont="1" applyFill="1" applyBorder="1" applyAlignment="1" applyProtection="1">
      <alignment horizontal="center" vertical="center" wrapText="1"/>
    </xf>
    <xf numFmtId="178" fontId="13" fillId="3" borderId="6" xfId="407" applyNumberFormat="1" applyFont="1" applyFill="1" applyBorder="1" applyAlignment="1" applyProtection="1">
      <alignment horizontal="center" vertical="center" wrapText="1"/>
    </xf>
    <xf numFmtId="0" fontId="13" fillId="3" borderId="7" xfId="407" applyNumberFormat="1" applyFont="1" applyFill="1" applyBorder="1" applyAlignment="1" applyProtection="1">
      <alignment horizontal="center" vertical="center" wrapText="1"/>
    </xf>
    <xf numFmtId="177" fontId="14" fillId="4" borderId="7" xfId="312" applyNumberFormat="1" applyFont="1" applyFill="1" applyBorder="1">
      <alignment vertical="center"/>
    </xf>
    <xf numFmtId="177" fontId="14" fillId="4" borderId="10" xfId="312" applyNumberFormat="1" applyFont="1" applyFill="1" applyBorder="1" applyAlignment="1">
      <alignment horizontal="center" vertical="center"/>
    </xf>
    <xf numFmtId="177" fontId="14" fillId="4" borderId="10" xfId="312" applyNumberFormat="1" applyFont="1" applyFill="1" applyBorder="1">
      <alignment vertical="center"/>
    </xf>
    <xf numFmtId="177" fontId="14" fillId="0" borderId="10" xfId="312" applyNumberFormat="1" applyFont="1" applyFill="1" applyBorder="1" applyAlignment="1">
      <alignment horizontal="center" vertical="center"/>
    </xf>
    <xf numFmtId="177" fontId="14" fillId="0" borderId="10" xfId="312" applyNumberFormat="1" applyFont="1" applyFill="1" applyBorder="1">
      <alignment vertical="center"/>
    </xf>
    <xf numFmtId="0" fontId="13" fillId="3" borderId="10" xfId="407" applyNumberFormat="1" applyFont="1" applyFill="1" applyBorder="1" applyAlignment="1" applyProtection="1">
      <alignment horizontal="center" vertical="center" wrapText="1"/>
    </xf>
    <xf numFmtId="180" fontId="14" fillId="4" borderId="10" xfId="312" applyNumberFormat="1" applyFont="1" applyFill="1" applyBorder="1" applyAlignment="1" applyProtection="1">
      <alignment horizontal="center" vertical="center"/>
    </xf>
    <xf numFmtId="178" fontId="20" fillId="4" borderId="7" xfId="292" applyNumberFormat="1" applyFont="1" applyFill="1" applyBorder="1" applyAlignment="1" applyProtection="1">
      <alignment horizontal="center" vertical="center"/>
    </xf>
    <xf numFmtId="178" fontId="25" fillId="4" borderId="7" xfId="407" applyNumberFormat="1" applyFont="1" applyFill="1" applyBorder="1" applyAlignment="1" applyProtection="1">
      <alignment horizontal="center" vertical="center"/>
    </xf>
    <xf numFmtId="180" fontId="14" fillId="0" borderId="10" xfId="312" applyNumberFormat="1" applyFont="1" applyFill="1" applyBorder="1" applyAlignment="1" applyProtection="1">
      <alignment horizontal="center" vertical="center"/>
    </xf>
    <xf numFmtId="178" fontId="20" fillId="0" borderId="7" xfId="292" applyNumberFormat="1" applyFont="1" applyFill="1" applyBorder="1" applyAlignment="1" applyProtection="1">
      <alignment horizontal="center" vertical="center"/>
    </xf>
    <xf numFmtId="178" fontId="25" fillId="0" borderId="7" xfId="407" applyNumberFormat="1" applyFont="1" applyFill="1" applyBorder="1" applyAlignment="1" applyProtection="1">
      <alignment horizontal="center" vertical="center"/>
    </xf>
    <xf numFmtId="180" fontId="14" fillId="0" borderId="0" xfId="312" applyNumberFormat="1" applyFont="1" applyFill="1" applyBorder="1" applyAlignment="1" applyProtection="1">
      <alignment horizontal="center" vertical="center"/>
    </xf>
    <xf numFmtId="178" fontId="10" fillId="0" borderId="0" xfId="108" applyNumberFormat="1" applyFont="1" applyFill="1" applyBorder="1" applyAlignment="1" applyProtection="1">
      <alignment horizontal="center" vertical="center" wrapText="1"/>
    </xf>
    <xf numFmtId="0" fontId="11" fillId="3" borderId="5" xfId="108" applyNumberFormat="1" applyFont="1" applyFill="1" applyBorder="1" applyAlignment="1" applyProtection="1">
      <alignment horizontal="center" vertical="center" wrapText="1"/>
    </xf>
    <xf numFmtId="178" fontId="8" fillId="3" borderId="5" xfId="108" applyNumberFormat="1" applyFont="1" applyFill="1" applyBorder="1" applyAlignment="1" applyProtection="1">
      <alignment horizontal="center" vertical="center" wrapText="1"/>
    </xf>
    <xf numFmtId="0" fontId="11" fillId="3" borderId="6" xfId="108" applyNumberFormat="1" applyFont="1" applyFill="1" applyBorder="1" applyAlignment="1" applyProtection="1">
      <alignment horizontal="center" vertical="center" wrapText="1"/>
    </xf>
    <xf numFmtId="178" fontId="8" fillId="3" borderId="6" xfId="108" applyNumberFormat="1" applyFont="1" applyFill="1" applyBorder="1" applyAlignment="1" applyProtection="1">
      <alignment horizontal="center" vertical="center" wrapText="1"/>
    </xf>
    <xf numFmtId="180" fontId="14" fillId="4" borderId="7" xfId="312" applyNumberFormat="1" applyFont="1" applyFill="1" applyBorder="1" applyAlignment="1" applyProtection="1">
      <alignment horizontal="center" vertical="center"/>
    </xf>
    <xf numFmtId="178" fontId="16" fillId="0" borderId="7" xfId="312" applyNumberFormat="1" applyFont="1" applyFill="1" applyBorder="1" applyAlignment="1">
      <alignment horizontal="center" vertical="center" wrapText="1"/>
    </xf>
    <xf numFmtId="180" fontId="14" fillId="0" borderId="7" xfId="312" applyNumberFormat="1" applyFont="1" applyFill="1" applyBorder="1" applyAlignment="1" applyProtection="1">
      <alignment horizontal="center" vertical="center"/>
    </xf>
    <xf numFmtId="180" fontId="14" fillId="4" borderId="7" xfId="312" applyNumberFormat="1" applyFont="1" applyFill="1" applyBorder="1" applyAlignment="1" applyProtection="1">
      <alignment horizontal="center" vertical="center" shrinkToFit="1"/>
    </xf>
    <xf numFmtId="180" fontId="6" fillId="0" borderId="0" xfId="312" applyNumberFormat="1">
      <alignment vertical="center"/>
    </xf>
    <xf numFmtId="178" fontId="6" fillId="0" borderId="0" xfId="0" applyNumberFormat="1" applyFont="1" applyFill="1" applyBorder="1" applyAlignment="1" applyProtection="1">
      <alignment vertical="center"/>
    </xf>
    <xf numFmtId="49" fontId="6" fillId="0" borderId="0" xfId="312" applyNumberFormat="1" applyFont="1" applyFill="1" applyBorder="1" applyAlignment="1" applyProtection="1">
      <alignment horizontal="center" vertical="center"/>
    </xf>
    <xf numFmtId="49" fontId="12" fillId="3" borderId="5" xfId="407" applyNumberFormat="1" applyFont="1" applyFill="1" applyBorder="1" applyAlignment="1" applyProtection="1">
      <alignment horizontal="center" vertical="center" wrapText="1"/>
    </xf>
    <xf numFmtId="49" fontId="12" fillId="3" borderId="6" xfId="407" applyNumberFormat="1" applyFont="1" applyFill="1" applyBorder="1" applyAlignment="1" applyProtection="1">
      <alignment horizontal="center" vertical="center" wrapText="1"/>
    </xf>
    <xf numFmtId="0" fontId="25" fillId="4" borderId="7" xfId="312" applyFont="1" applyFill="1" applyBorder="1" applyAlignment="1">
      <alignment horizontal="center" vertical="center"/>
    </xf>
    <xf numFmtId="0" fontId="25" fillId="0" borderId="7" xfId="312" applyFont="1" applyFill="1" applyBorder="1" applyAlignment="1">
      <alignment horizontal="center" vertical="center"/>
    </xf>
    <xf numFmtId="0" fontId="25" fillId="4" borderId="7" xfId="312" applyFont="1" applyFill="1" applyBorder="1" applyAlignment="1">
      <alignment horizontal="center" vertical="center" shrinkToFit="1"/>
    </xf>
    <xf numFmtId="0" fontId="26" fillId="6" borderId="7" xfId="275" applyFont="1" applyFill="1" applyBorder="1" applyAlignment="1">
      <alignment horizontal="left" vertical="center"/>
    </xf>
    <xf numFmtId="49" fontId="26" fillId="0" borderId="7" xfId="275" applyNumberFormat="1" applyFont="1" applyBorder="1" applyAlignment="1" applyProtection="1">
      <protection locked="0"/>
    </xf>
    <xf numFmtId="0" fontId="6" fillId="0" borderId="7" xfId="312" applyNumberFormat="1" applyFont="1" applyFill="1" applyBorder="1" applyAlignment="1">
      <alignment horizontal="center" vertical="center"/>
    </xf>
    <xf numFmtId="0" fontId="6" fillId="0" borderId="8" xfId="312" applyFont="1" applyFill="1" applyBorder="1" applyAlignment="1">
      <alignment vertical="center"/>
    </xf>
    <xf numFmtId="14" fontId="6" fillId="0" borderId="8" xfId="312" applyNumberFormat="1" applyFont="1" applyFill="1" applyBorder="1" applyAlignment="1">
      <alignment vertical="center"/>
    </xf>
    <xf numFmtId="177" fontId="14" fillId="0" borderId="7" xfId="312" applyNumberFormat="1" applyFont="1" applyFill="1" applyBorder="1" applyAlignment="1">
      <alignment vertical="center"/>
    </xf>
    <xf numFmtId="0" fontId="14" fillId="0" borderId="7" xfId="312" applyNumberFormat="1" applyFont="1" applyFill="1" applyBorder="1">
      <alignment vertical="center"/>
    </xf>
    <xf numFmtId="178" fontId="17" fillId="4" borderId="7" xfId="312" applyNumberFormat="1" applyFont="1" applyFill="1" applyBorder="1" applyAlignment="1" applyProtection="1">
      <alignment horizontal="center" vertical="center" shrinkToFit="1"/>
    </xf>
    <xf numFmtId="49" fontId="16" fillId="0" borderId="8" xfId="312" applyNumberFormat="1" applyFont="1" applyFill="1" applyBorder="1" applyAlignment="1">
      <alignment horizontal="center" vertical="center" wrapText="1"/>
    </xf>
    <xf numFmtId="0" fontId="26" fillId="0" borderId="7" xfId="360" applyNumberFormat="1" applyFont="1" applyFill="1" applyBorder="1" applyAlignment="1">
      <alignment horizontal="center" vertical="center"/>
    </xf>
    <xf numFmtId="0" fontId="6" fillId="0" borderId="7" xfId="312" applyFill="1" applyBorder="1">
      <alignment vertical="center"/>
    </xf>
    <xf numFmtId="0" fontId="6" fillId="7" borderId="0" xfId="0" applyFont="1" applyFill="1" applyAlignment="1">
      <alignment vertical="center"/>
    </xf>
    <xf numFmtId="0" fontId="27" fillId="7" borderId="0" xfId="472" applyFont="1" applyFill="1" applyBorder="1" applyAlignment="1">
      <alignment horizontal="center" vertical="center"/>
    </xf>
    <xf numFmtId="0" fontId="28" fillId="7" borderId="0" xfId="472" applyNumberFormat="1" applyFont="1" applyFill="1" applyBorder="1" applyAlignment="1" applyProtection="1">
      <alignment horizontal="center" vertical="center"/>
      <protection locked="0"/>
    </xf>
    <xf numFmtId="0" fontId="28" fillId="7" borderId="0" xfId="472" applyNumberFormat="1" applyFont="1" applyFill="1" applyBorder="1" applyAlignment="1" applyProtection="1">
      <alignment horizontal="left" vertical="center"/>
      <protection locked="0"/>
    </xf>
    <xf numFmtId="0" fontId="29" fillId="7" borderId="0" xfId="472" applyNumberFormat="1" applyFont="1" applyFill="1" applyBorder="1" applyAlignment="1" applyProtection="1">
      <alignment horizontal="center" vertical="center"/>
      <protection locked="0"/>
    </xf>
    <xf numFmtId="0" fontId="30" fillId="7" borderId="0" xfId="472" applyNumberFormat="1" applyFont="1" applyFill="1" applyBorder="1" applyAlignment="1" applyProtection="1">
      <alignment horizontal="left" vertical="center"/>
      <protection locked="0"/>
    </xf>
    <xf numFmtId="0" fontId="26" fillId="7" borderId="0" xfId="0" applyFont="1" applyFill="1" applyBorder="1" applyAlignment="1" applyProtection="1">
      <alignment horizontal="right" vertical="center"/>
      <protection locked="0"/>
    </xf>
    <xf numFmtId="49" fontId="31" fillId="7" borderId="0" xfId="474" applyNumberFormat="1" applyFont="1" applyFill="1" applyBorder="1" applyAlignment="1" applyProtection="1">
      <alignment horizontal="left" vertical="center"/>
      <protection locked="0"/>
    </xf>
    <xf numFmtId="0" fontId="32" fillId="7" borderId="0" xfId="0" applyFont="1" applyFill="1" applyBorder="1" applyAlignment="1" applyProtection="1">
      <alignment horizontal="left" vertical="center"/>
      <protection locked="0"/>
    </xf>
    <xf numFmtId="0" fontId="33" fillId="7" borderId="0" xfId="472" applyFont="1" applyFill="1" applyBorder="1" applyAlignment="1">
      <alignment horizontal="right" vertical="center"/>
    </xf>
    <xf numFmtId="14" fontId="34" fillId="7" borderId="0" xfId="0" applyNumberFormat="1" applyFont="1" applyFill="1" applyBorder="1" applyAlignment="1" applyProtection="1">
      <alignment horizontal="left" vertical="center"/>
      <protection locked="0"/>
    </xf>
    <xf numFmtId="0" fontId="34" fillId="7" borderId="0" xfId="0" applyFont="1" applyFill="1" applyBorder="1" applyAlignment="1" applyProtection="1">
      <alignment horizontal="right" vertical="center"/>
      <protection locked="0"/>
    </xf>
    <xf numFmtId="0" fontId="35" fillId="7" borderId="0" xfId="0" applyFont="1" applyFill="1" applyBorder="1" applyAlignment="1">
      <alignment horizontal="left" vertical="center"/>
    </xf>
    <xf numFmtId="0" fontId="35" fillId="7" borderId="0" xfId="0" applyFont="1" applyFill="1" applyAlignment="1">
      <alignment horizontal="left" vertical="center"/>
    </xf>
    <xf numFmtId="0" fontId="30" fillId="7" borderId="0" xfId="472" applyNumberFormat="1" applyFont="1" applyFill="1" applyBorder="1" applyAlignment="1" applyProtection="1">
      <alignment horizontal="center" vertical="center"/>
      <protection locked="0"/>
    </xf>
    <xf numFmtId="0" fontId="35" fillId="7" borderId="0" xfId="0" applyFont="1" applyFill="1" applyBorder="1" applyAlignment="1" applyProtection="1">
      <alignment horizontal="left" vertical="center"/>
      <protection locked="0"/>
    </xf>
    <xf numFmtId="0" fontId="36" fillId="7" borderId="0" xfId="472" applyNumberFormat="1" applyFont="1" applyFill="1" applyBorder="1" applyAlignment="1" applyProtection="1">
      <alignment horizontal="center" vertical="center"/>
      <protection locked="0"/>
    </xf>
    <xf numFmtId="182" fontId="34" fillId="7" borderId="0" xfId="474" applyNumberFormat="1" applyFont="1" applyFill="1" applyBorder="1" applyAlignment="1" applyProtection="1">
      <alignment horizontal="left" vertical="center"/>
      <protection locked="0"/>
    </xf>
    <xf numFmtId="0" fontId="37" fillId="7" borderId="11" xfId="0" applyFont="1" applyFill="1" applyBorder="1" applyAlignment="1" applyProtection="1">
      <alignment horizontal="center" vertical="center"/>
      <protection locked="0"/>
    </xf>
    <xf numFmtId="0" fontId="37" fillId="7" borderId="12" xfId="0" applyFont="1" applyFill="1" applyBorder="1" applyAlignment="1" applyProtection="1">
      <alignment horizontal="center" vertical="center"/>
      <protection locked="0"/>
    </xf>
    <xf numFmtId="0" fontId="13" fillId="7" borderId="13" xfId="473" applyNumberFormat="1" applyFont="1" applyFill="1" applyBorder="1" applyAlignment="1" applyProtection="1">
      <alignment horizontal="left" vertical="center"/>
      <protection locked="0"/>
    </xf>
    <xf numFmtId="0" fontId="13" fillId="7" borderId="6" xfId="473" applyNumberFormat="1" applyFont="1" applyFill="1" applyBorder="1" applyAlignment="1" applyProtection="1">
      <alignment horizontal="left" vertical="center"/>
      <protection locked="0"/>
    </xf>
    <xf numFmtId="43" fontId="38" fillId="7" borderId="8" xfId="0" applyNumberFormat="1" applyFont="1" applyFill="1" applyBorder="1" applyAlignment="1" applyProtection="1">
      <alignment horizontal="left" vertical="center" shrinkToFit="1"/>
    </xf>
    <xf numFmtId="43" fontId="38" fillId="7" borderId="9" xfId="0" applyNumberFormat="1" applyFont="1" applyFill="1" applyBorder="1" applyAlignment="1" applyProtection="1">
      <alignment horizontal="left" vertical="center" shrinkToFit="1"/>
    </xf>
    <xf numFmtId="43" fontId="38" fillId="7" borderId="14" xfId="0" applyNumberFormat="1" applyFont="1" applyFill="1" applyBorder="1" applyAlignment="1" applyProtection="1">
      <alignment horizontal="left" vertical="center" shrinkToFit="1"/>
    </xf>
    <xf numFmtId="0" fontId="13" fillId="7" borderId="15" xfId="473" applyNumberFormat="1" applyFont="1" applyFill="1" applyBorder="1" applyAlignment="1" applyProtection="1">
      <alignment horizontal="left" vertical="center"/>
      <protection locked="0"/>
    </xf>
    <xf numFmtId="0" fontId="13" fillId="7" borderId="16" xfId="473" applyNumberFormat="1" applyFont="1" applyFill="1" applyBorder="1" applyAlignment="1" applyProtection="1">
      <alignment horizontal="left" vertical="center"/>
      <protection locked="0"/>
    </xf>
    <xf numFmtId="176" fontId="38" fillId="7" borderId="17" xfId="0" applyNumberFormat="1" applyFont="1" applyFill="1" applyBorder="1" applyAlignment="1" applyProtection="1">
      <alignment horizontal="right" vertical="center" shrinkToFit="1"/>
    </xf>
    <xf numFmtId="176" fontId="38" fillId="7" borderId="18" xfId="0" applyNumberFormat="1" applyFont="1" applyFill="1" applyBorder="1" applyAlignment="1" applyProtection="1">
      <alignment horizontal="right" vertical="center" shrinkToFit="1"/>
    </xf>
    <xf numFmtId="176" fontId="38" fillId="7" borderId="19" xfId="0" applyNumberFormat="1" applyFont="1" applyFill="1" applyBorder="1" applyAlignment="1" applyProtection="1">
      <alignment horizontal="right" vertical="center" shrinkToFit="1"/>
    </xf>
    <xf numFmtId="0" fontId="25" fillId="7" borderId="13" xfId="474" applyNumberFormat="1" applyFont="1" applyFill="1" applyBorder="1" applyAlignment="1" applyProtection="1">
      <alignment horizontal="left" vertical="center"/>
      <protection locked="0"/>
    </xf>
    <xf numFmtId="0" fontId="25" fillId="7" borderId="6" xfId="474" applyNumberFormat="1" applyFont="1" applyFill="1" applyBorder="1" applyAlignment="1" applyProtection="1">
      <alignment horizontal="left" vertical="center"/>
      <protection locked="0"/>
    </xf>
    <xf numFmtId="43" fontId="39" fillId="7" borderId="6" xfId="0" applyNumberFormat="1" applyFont="1" applyFill="1" applyBorder="1" applyAlignment="1" applyProtection="1">
      <alignment horizontal="left" vertical="center" shrinkToFit="1"/>
    </xf>
    <xf numFmtId="0" fontId="25" fillId="7" borderId="20" xfId="474" applyNumberFormat="1" applyFont="1" applyFill="1" applyBorder="1" applyAlignment="1" applyProtection="1">
      <alignment horizontal="left" vertical="center"/>
      <protection locked="0"/>
    </xf>
    <xf numFmtId="0" fontId="25" fillId="7" borderId="21" xfId="474" applyNumberFormat="1" applyFont="1" applyFill="1" applyBorder="1" applyAlignment="1" applyProtection="1">
      <alignment horizontal="left" vertical="center"/>
      <protection locked="0"/>
    </xf>
    <xf numFmtId="0" fontId="25" fillId="7" borderId="22" xfId="474" applyNumberFormat="1" applyFont="1" applyFill="1" applyBorder="1" applyAlignment="1" applyProtection="1">
      <alignment horizontal="left" vertical="center"/>
      <protection locked="0"/>
    </xf>
    <xf numFmtId="43" fontId="39" fillId="7" borderId="23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4" xfId="163" applyFont="1" applyFill="1" applyBorder="1" applyAlignment="1">
      <alignment vertical="center"/>
    </xf>
    <xf numFmtId="0" fontId="14" fillId="7" borderId="7" xfId="163" applyFont="1" applyFill="1" applyBorder="1" applyAlignment="1">
      <alignment vertical="center"/>
    </xf>
    <xf numFmtId="43" fontId="39" fillId="7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8" xfId="163" applyFont="1" applyFill="1" applyBorder="1" applyAlignment="1">
      <alignment horizontal="left" vertical="center"/>
    </xf>
    <xf numFmtId="0" fontId="14" fillId="7" borderId="9" xfId="163" applyFont="1" applyFill="1" applyBorder="1" applyAlignment="1">
      <alignment horizontal="left" vertical="center"/>
    </xf>
    <xf numFmtId="0" fontId="14" fillId="7" borderId="10" xfId="163" applyFont="1" applyFill="1" applyBorder="1" applyAlignment="1">
      <alignment horizontal="left" vertical="center"/>
    </xf>
    <xf numFmtId="43" fontId="39" fillId="7" borderId="25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6" xfId="163" applyFont="1" applyFill="1" applyBorder="1" applyAlignment="1">
      <alignment vertical="center"/>
    </xf>
    <xf numFmtId="0" fontId="14" fillId="7" borderId="27" xfId="163" applyFont="1" applyFill="1" applyBorder="1" applyAlignment="1">
      <alignment vertical="center"/>
    </xf>
    <xf numFmtId="43" fontId="39" fillId="7" borderId="27" xfId="474" applyNumberFormat="1" applyFont="1" applyFill="1" applyBorder="1" applyAlignment="1" applyProtection="1">
      <alignment horizontal="left" vertical="center" shrinkToFit="1"/>
      <protection locked="0"/>
    </xf>
    <xf numFmtId="183" fontId="25" fillId="7" borderId="28" xfId="474" applyNumberFormat="1" applyFont="1" applyFill="1" applyBorder="1" applyAlignment="1" applyProtection="1">
      <alignment horizontal="left" vertical="center"/>
      <protection locked="0"/>
    </xf>
    <xf numFmtId="183" fontId="25" fillId="7" borderId="29" xfId="474" applyNumberFormat="1" applyFont="1" applyFill="1" applyBorder="1" applyAlignment="1" applyProtection="1">
      <alignment horizontal="left" vertical="center"/>
      <protection locked="0"/>
    </xf>
    <xf numFmtId="183" fontId="25" fillId="7" borderId="30" xfId="474" applyNumberFormat="1" applyFont="1" applyFill="1" applyBorder="1" applyAlignment="1" applyProtection="1">
      <alignment horizontal="left" vertical="center"/>
      <protection locked="0"/>
    </xf>
    <xf numFmtId="43" fontId="39" fillId="7" borderId="31" xfId="474" applyNumberFormat="1" applyFont="1" applyFill="1" applyBorder="1" applyAlignment="1" applyProtection="1">
      <alignment horizontal="left" vertical="center" shrinkToFit="1"/>
      <protection locked="0"/>
    </xf>
    <xf numFmtId="184" fontId="40" fillId="7" borderId="0" xfId="474" applyNumberFormat="1" applyFont="1" applyFill="1" applyBorder="1" applyAlignment="1" applyProtection="1">
      <alignment horizontal="left" vertical="center"/>
      <protection locked="0"/>
    </xf>
    <xf numFmtId="0" fontId="41" fillId="0" borderId="11" xfId="403" applyFont="1" applyFill="1" applyBorder="1" applyAlignment="1">
      <alignment horizontal="center" vertical="center" wrapText="1"/>
    </xf>
    <xf numFmtId="0" fontId="41" fillId="0" borderId="32" xfId="403" applyFont="1" applyFill="1" applyBorder="1" applyAlignment="1">
      <alignment horizontal="center" vertical="center" wrapText="1"/>
    </xf>
    <xf numFmtId="181" fontId="41" fillId="0" borderId="32" xfId="403" applyNumberFormat="1" applyFont="1" applyFill="1" applyBorder="1" applyAlignment="1">
      <alignment horizontal="center" vertical="center" wrapText="1"/>
    </xf>
    <xf numFmtId="185" fontId="41" fillId="0" borderId="32" xfId="403" applyNumberFormat="1" applyFont="1" applyFill="1" applyBorder="1" applyAlignment="1">
      <alignment horizontal="center" vertical="center" wrapText="1"/>
    </xf>
    <xf numFmtId="0" fontId="41" fillId="0" borderId="33" xfId="403" applyFont="1" applyFill="1" applyBorder="1" applyAlignment="1">
      <alignment horizontal="center" vertical="center" wrapText="1"/>
    </xf>
    <xf numFmtId="0" fontId="42" fillId="0" borderId="24" xfId="403" applyFont="1" applyFill="1" applyBorder="1" applyAlignment="1">
      <alignment horizontal="center" vertical="center"/>
    </xf>
    <xf numFmtId="0" fontId="42" fillId="0" borderId="7" xfId="403" applyFont="1" applyFill="1" applyBorder="1" applyAlignment="1">
      <alignment horizontal="center" vertical="center"/>
    </xf>
    <xf numFmtId="43" fontId="42" fillId="0" borderId="7" xfId="403" applyNumberFormat="1" applyFont="1" applyFill="1" applyBorder="1" applyAlignment="1">
      <alignment horizontal="left" vertical="center"/>
    </xf>
    <xf numFmtId="181" fontId="42" fillId="0" borderId="7" xfId="403" applyNumberFormat="1" applyFont="1" applyFill="1" applyBorder="1" applyAlignment="1">
      <alignment horizontal="center" vertical="center"/>
    </xf>
    <xf numFmtId="185" fontId="42" fillId="0" borderId="7" xfId="403" applyNumberFormat="1" applyFont="1" applyFill="1" applyBorder="1" applyAlignment="1">
      <alignment horizontal="right" vertical="center"/>
    </xf>
    <xf numFmtId="0" fontId="42" fillId="0" borderId="25" xfId="403" applyFont="1" applyFill="1" applyBorder="1" applyAlignment="1">
      <alignment horizontal="left" vertical="center"/>
    </xf>
    <xf numFmtId="43" fontId="42" fillId="0" borderId="7" xfId="403" applyNumberFormat="1" applyFont="1" applyFill="1" applyBorder="1" applyAlignment="1">
      <alignment vertical="center"/>
    </xf>
    <xf numFmtId="43" fontId="42" fillId="0" borderId="7" xfId="403" applyNumberFormat="1" applyFont="1" applyFill="1" applyBorder="1" applyAlignment="1">
      <alignment horizontal="center" vertical="center"/>
    </xf>
    <xf numFmtId="0" fontId="42" fillId="0" borderId="25" xfId="403" applyFont="1" applyFill="1" applyBorder="1" applyAlignment="1">
      <alignment vertical="center" wrapText="1"/>
    </xf>
    <xf numFmtId="43" fontId="43" fillId="0" borderId="7" xfId="403" applyNumberFormat="1" applyFont="1" applyFill="1" applyBorder="1" applyAlignment="1">
      <alignment horizontal="center" vertical="center"/>
    </xf>
    <xf numFmtId="185" fontId="43" fillId="0" borderId="7" xfId="403" applyNumberFormat="1" applyFont="1" applyFill="1" applyBorder="1" applyAlignment="1">
      <alignment horizontal="right" vertical="center"/>
    </xf>
    <xf numFmtId="0" fontId="42" fillId="0" borderId="25" xfId="403" applyFont="1" applyFill="1" applyBorder="1" applyAlignment="1">
      <alignment vertical="center"/>
    </xf>
    <xf numFmtId="0" fontId="42" fillId="0" borderId="7" xfId="403" applyFont="1" applyFill="1" applyBorder="1" applyAlignment="1">
      <alignment horizontal="center" vertical="center" wrapText="1"/>
    </xf>
    <xf numFmtId="10" fontId="43" fillId="0" borderId="7" xfId="403" applyNumberFormat="1" applyFont="1" applyFill="1" applyBorder="1" applyAlignment="1">
      <alignment horizontal="center" vertical="center"/>
    </xf>
    <xf numFmtId="0" fontId="44" fillId="8" borderId="24" xfId="403" applyFont="1" applyFill="1" applyBorder="1" applyAlignment="1">
      <alignment horizontal="center" vertical="center"/>
    </xf>
    <xf numFmtId="0" fontId="44" fillId="8" borderId="7" xfId="403" applyFont="1" applyFill="1" applyBorder="1" applyAlignment="1">
      <alignment horizontal="center" vertical="center"/>
    </xf>
    <xf numFmtId="185" fontId="44" fillId="8" borderId="7" xfId="403" applyNumberFormat="1" applyFont="1" applyFill="1" applyBorder="1" applyAlignment="1">
      <alignment vertical="center"/>
    </xf>
    <xf numFmtId="0" fontId="42" fillId="8" borderId="25" xfId="403" applyFont="1" applyFill="1" applyBorder="1" applyAlignment="1">
      <alignment horizontal="left" vertical="center"/>
    </xf>
    <xf numFmtId="0" fontId="44" fillId="8" borderId="26" xfId="403" applyFont="1" applyFill="1" applyBorder="1" applyAlignment="1">
      <alignment horizontal="center" vertical="center"/>
    </xf>
    <xf numFmtId="0" fontId="44" fillId="8" borderId="27" xfId="403" applyFont="1" applyFill="1" applyBorder="1" applyAlignment="1">
      <alignment horizontal="center" vertical="center"/>
    </xf>
    <xf numFmtId="185" fontId="44" fillId="8" borderId="27" xfId="403" applyNumberFormat="1" applyFont="1" applyFill="1" applyBorder="1" applyAlignment="1">
      <alignment vertical="center"/>
    </xf>
    <xf numFmtId="0" fontId="42" fillId="8" borderId="31" xfId="403" applyFont="1" applyFill="1" applyBorder="1" applyAlignment="1">
      <alignment horizontal="left" vertical="center"/>
    </xf>
    <xf numFmtId="182" fontId="34" fillId="7" borderId="0" xfId="474" applyNumberFormat="1" applyFont="1" applyFill="1" applyBorder="1" applyAlignment="1" applyProtection="1">
      <alignment horizontal="right" vertical="center"/>
      <protection locked="0"/>
    </xf>
    <xf numFmtId="0" fontId="20" fillId="7" borderId="0" xfId="472" applyFont="1" applyFill="1" applyBorder="1" applyAlignment="1">
      <alignment horizontal="right" vertical="center"/>
    </xf>
    <xf numFmtId="14" fontId="31" fillId="7" borderId="0" xfId="0" applyNumberFormat="1" applyFont="1" applyFill="1" applyBorder="1" applyAlignment="1" applyProtection="1">
      <alignment horizontal="left" vertical="center"/>
      <protection locked="0"/>
    </xf>
    <xf numFmtId="0" fontId="45" fillId="7" borderId="0" xfId="472" applyNumberFormat="1" applyFont="1" applyFill="1" applyBorder="1" applyAlignment="1" applyProtection="1">
      <alignment horizontal="right" vertical="center"/>
      <protection locked="0"/>
    </xf>
    <xf numFmtId="0" fontId="46" fillId="7" borderId="0" xfId="472" applyNumberFormat="1" applyFont="1" applyFill="1" applyBorder="1" applyAlignment="1" applyProtection="1">
      <alignment horizontal="left" vertical="center"/>
      <protection locked="0"/>
    </xf>
    <xf numFmtId="0" fontId="47" fillId="7" borderId="0" xfId="472" applyNumberFormat="1" applyFont="1" applyFill="1" applyBorder="1" applyAlignment="1" applyProtection="1">
      <alignment horizontal="right" vertical="center"/>
      <protection locked="0"/>
    </xf>
    <xf numFmtId="0" fontId="48" fillId="7" borderId="0" xfId="472" applyNumberFormat="1" applyFont="1" applyFill="1" applyBorder="1" applyAlignment="1" applyProtection="1">
      <alignment horizontal="left" vertical="center"/>
      <protection locked="0"/>
    </xf>
    <xf numFmtId="0" fontId="49" fillId="7" borderId="0" xfId="472" applyNumberFormat="1" applyFont="1" applyFill="1" applyBorder="1" applyAlignment="1" applyProtection="1">
      <alignment vertical="center"/>
      <protection locked="0"/>
    </xf>
    <xf numFmtId="0" fontId="50" fillId="7" borderId="0" xfId="472" applyNumberFormat="1" applyFont="1" applyFill="1" applyBorder="1" applyAlignment="1" applyProtection="1">
      <alignment horizontal="left" vertical="center"/>
      <protection locked="0"/>
    </xf>
    <xf numFmtId="0" fontId="51" fillId="7" borderId="0" xfId="472" applyNumberFormat="1" applyFont="1" applyFill="1" applyBorder="1" applyAlignment="1" applyProtection="1">
      <alignment vertical="center"/>
      <protection locked="0"/>
    </xf>
    <xf numFmtId="0" fontId="51" fillId="7" borderId="0" xfId="472" applyNumberFormat="1" applyFont="1" applyFill="1" applyBorder="1" applyAlignment="1" applyProtection="1">
      <alignment horizontal="left" vertical="center"/>
      <protection locked="0"/>
    </xf>
    <xf numFmtId="0" fontId="52" fillId="7" borderId="0" xfId="472" applyNumberFormat="1" applyFont="1" applyFill="1" applyBorder="1" applyAlignment="1" applyProtection="1">
      <alignment vertical="center"/>
      <protection locked="0"/>
    </xf>
    <xf numFmtId="0" fontId="53" fillId="7" borderId="0" xfId="144" applyNumberFormat="1" applyFont="1" applyFill="1" applyBorder="1" applyAlignment="1">
      <alignment vertical="center"/>
    </xf>
    <xf numFmtId="0" fontId="53" fillId="7" borderId="0" xfId="144" applyNumberFormat="1" applyFont="1" applyFill="1" applyBorder="1" applyAlignment="1">
      <alignment horizontal="left" vertical="center"/>
    </xf>
    <xf numFmtId="0" fontId="35" fillId="7" borderId="0" xfId="144" applyFont="1" applyFill="1" applyBorder="1" applyAlignment="1">
      <alignment vertical="center"/>
    </xf>
    <xf numFmtId="0" fontId="50" fillId="7" borderId="0" xfId="472" applyNumberFormat="1" applyFont="1" applyFill="1" applyBorder="1" applyAlignment="1" applyProtection="1">
      <alignment horizontal="right" vertical="center"/>
      <protection locked="0"/>
    </xf>
    <xf numFmtId="0" fontId="53" fillId="7" borderId="0" xfId="144" applyNumberFormat="1" applyFont="1" applyFill="1" applyBorder="1" applyAlignment="1">
      <alignment vertical="center" wrapText="1"/>
    </xf>
    <xf numFmtId="0" fontId="53" fillId="7" borderId="0" xfId="144" applyNumberFormat="1" applyFont="1" applyFill="1" applyBorder="1" applyAlignment="1">
      <alignment horizontal="left" vertical="center" wrapText="1"/>
    </xf>
    <xf numFmtId="0" fontId="35" fillId="7" borderId="0" xfId="144" applyFont="1" applyFill="1" applyBorder="1" applyAlignment="1">
      <alignment vertical="center" wrapText="1"/>
    </xf>
    <xf numFmtId="49" fontId="54" fillId="7" borderId="0" xfId="472" applyNumberFormat="1" applyFont="1" applyFill="1" applyBorder="1" applyAlignment="1" applyProtection="1">
      <alignment vertical="center"/>
      <protection locked="0"/>
    </xf>
    <xf numFmtId="0" fontId="55" fillId="7" borderId="0" xfId="0" applyFont="1" applyFill="1" applyBorder="1" applyAlignment="1">
      <alignment vertical="center"/>
    </xf>
    <xf numFmtId="0" fontId="56" fillId="7" borderId="0" xfId="0" applyFont="1" applyFill="1" applyAlignment="1">
      <alignment vertical="center"/>
    </xf>
    <xf numFmtId="49" fontId="40" fillId="7" borderId="0" xfId="474" applyNumberFormat="1" applyFont="1" applyFill="1" applyBorder="1" applyAlignment="1" applyProtection="1">
      <alignment horizontal="left" vertical="center"/>
      <protection locked="0"/>
    </xf>
    <xf numFmtId="49" fontId="33" fillId="7" borderId="0" xfId="472" applyNumberFormat="1" applyFont="1" applyFill="1" applyBorder="1" applyAlignment="1" applyProtection="1">
      <alignment horizontal="left" vertical="center"/>
      <protection locked="0"/>
    </xf>
    <xf numFmtId="49" fontId="20" fillId="7" borderId="0" xfId="472" applyNumberFormat="1" applyFont="1" applyFill="1" applyBorder="1" applyAlignment="1" applyProtection="1">
      <alignment horizontal="left" vertical="center"/>
      <protection locked="0"/>
    </xf>
    <xf numFmtId="49" fontId="34" fillId="7" borderId="0" xfId="474" applyNumberFormat="1" applyFont="1" applyFill="1" applyBorder="1" applyAlignment="1" applyProtection="1">
      <alignment horizontal="left" vertical="center"/>
      <protection locked="0"/>
    </xf>
    <xf numFmtId="49" fontId="26" fillId="7" borderId="0" xfId="474" applyNumberFormat="1" applyFont="1" applyFill="1" applyBorder="1" applyAlignment="1" applyProtection="1">
      <alignment horizontal="left" vertical="center"/>
      <protection locked="0"/>
    </xf>
    <xf numFmtId="0" fontId="14" fillId="7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vertical="center"/>
    </xf>
    <xf numFmtId="0" fontId="58" fillId="0" borderId="0" xfId="0" applyFont="1" applyFill="1" applyAlignment="1">
      <alignment vertical="center"/>
    </xf>
    <xf numFmtId="0" fontId="59" fillId="0" borderId="0" xfId="0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2" fillId="0" borderId="0" xfId="0" applyFont="1" applyFill="1" applyAlignment="1">
      <alignment vertical="center"/>
    </xf>
    <xf numFmtId="0" fontId="19" fillId="9" borderId="7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61" fillId="0" borderId="7" xfId="0" applyFont="1" applyFill="1" applyBorder="1" applyAlignment="1"/>
    <xf numFmtId="0" fontId="21" fillId="9" borderId="7" xfId="0" applyFont="1" applyFill="1" applyBorder="1" applyAlignment="1">
      <alignment horizontal="center" vertical="center" wrapText="1"/>
    </xf>
    <xf numFmtId="0" fontId="63" fillId="0" borderId="7" xfId="0" applyFont="1" applyFill="1" applyBorder="1" applyAlignment="1">
      <alignment horizontal="center"/>
    </xf>
    <xf numFmtId="49" fontId="63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63" fillId="0" borderId="7" xfId="0" applyNumberFormat="1" applyFont="1" applyFill="1" applyBorder="1" applyAlignment="1">
      <alignment horizontal="center"/>
    </xf>
    <xf numFmtId="0" fontId="64" fillId="0" borderId="7" xfId="0" applyFont="1" applyFill="1" applyBorder="1" applyAlignment="1">
      <alignment horizontal="center" vertical="center"/>
    </xf>
    <xf numFmtId="49" fontId="65" fillId="0" borderId="7" xfId="0" applyNumberFormat="1" applyFont="1" applyFill="1" applyBorder="1" applyAlignment="1">
      <alignment horizontal="center" vertical="center"/>
    </xf>
    <xf numFmtId="0" fontId="66" fillId="0" borderId="7" xfId="0" applyFont="1" applyFill="1" applyBorder="1" applyAlignment="1">
      <alignment horizontal="center"/>
    </xf>
    <xf numFmtId="49" fontId="66" fillId="0" borderId="7" xfId="0" applyNumberFormat="1" applyFont="1" applyFill="1" applyBorder="1" applyAlignment="1">
      <alignment horizontal="center" vertical="center"/>
    </xf>
    <xf numFmtId="0" fontId="67" fillId="0" borderId="7" xfId="0" applyFont="1" applyFill="1" applyBorder="1" applyAlignment="1" applyProtection="1">
      <alignment horizontal="center" vertical="center"/>
      <protection locked="0"/>
    </xf>
    <xf numFmtId="49" fontId="66" fillId="0" borderId="7" xfId="0" applyNumberFormat="1" applyFont="1" applyFill="1" applyBorder="1" applyAlignment="1">
      <alignment horizontal="center"/>
    </xf>
    <xf numFmtId="0" fontId="68" fillId="0" borderId="7" xfId="0" applyFont="1" applyFill="1" applyBorder="1" applyAlignment="1">
      <alignment horizontal="center" vertical="center"/>
    </xf>
    <xf numFmtId="49" fontId="69" fillId="0" borderId="7" xfId="0" applyNumberFormat="1" applyFont="1" applyFill="1" applyBorder="1" applyAlignment="1">
      <alignment horizontal="center" vertical="center"/>
    </xf>
    <xf numFmtId="0" fontId="70" fillId="0" borderId="34" xfId="0" applyFont="1" applyFill="1" applyBorder="1" applyAlignment="1">
      <alignment horizontal="center"/>
    </xf>
    <xf numFmtId="49" fontId="70" fillId="0" borderId="3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70" fillId="0" borderId="6" xfId="0" applyNumberFormat="1" applyFont="1" applyFill="1" applyBorder="1" applyAlignment="1">
      <alignment horizontal="center"/>
    </xf>
    <xf numFmtId="49" fontId="71" fillId="0" borderId="35" xfId="0" applyNumberFormat="1" applyFont="1" applyFill="1" applyBorder="1" applyAlignment="1">
      <alignment horizontal="center" vertical="center"/>
    </xf>
    <xf numFmtId="0" fontId="72" fillId="0" borderId="6" xfId="0" applyFont="1" applyFill="1" applyBorder="1" applyAlignment="1">
      <alignment horizontal="center" vertical="center"/>
    </xf>
    <xf numFmtId="49" fontId="73" fillId="0" borderId="6" xfId="0" applyNumberFormat="1" applyFont="1" applyFill="1" applyBorder="1" applyAlignment="1">
      <alignment horizontal="center" vertical="center"/>
    </xf>
    <xf numFmtId="49" fontId="71" fillId="0" borderId="6" xfId="0" applyNumberFormat="1" applyFont="1" applyFill="1" applyBorder="1" applyAlignment="1">
      <alignment horizontal="center"/>
    </xf>
    <xf numFmtId="0" fontId="19" fillId="9" borderId="36" xfId="0" applyFont="1" applyFill="1" applyBorder="1" applyAlignment="1">
      <alignment horizontal="left" vertical="center"/>
    </xf>
    <xf numFmtId="4" fontId="19" fillId="9" borderId="37" xfId="0" applyNumberFormat="1" applyFont="1" applyFill="1" applyBorder="1" applyAlignment="1">
      <alignment horizontal="right" vertical="center"/>
    </xf>
    <xf numFmtId="4" fontId="19" fillId="9" borderId="6" xfId="0" applyNumberFormat="1" applyFont="1" applyFill="1" applyBorder="1" applyAlignment="1">
      <alignment horizontal="right" vertical="center"/>
    </xf>
    <xf numFmtId="4" fontId="19" fillId="9" borderId="35" xfId="0" applyNumberFormat="1" applyFont="1" applyFill="1" applyBorder="1" applyAlignment="1">
      <alignment horizontal="right" vertical="center"/>
    </xf>
    <xf numFmtId="0" fontId="19" fillId="9" borderId="38" xfId="0" applyFont="1" applyFill="1" applyBorder="1" applyAlignment="1">
      <alignment horizontal="left" vertical="center"/>
    </xf>
    <xf numFmtId="4" fontId="19" fillId="9" borderId="39" xfId="0" applyNumberFormat="1" applyFont="1" applyFill="1" applyBorder="1" applyAlignment="1">
      <alignment horizontal="right" vertical="center"/>
    </xf>
    <xf numFmtId="4" fontId="19" fillId="9" borderId="40" xfId="0" applyNumberFormat="1" applyFont="1" applyFill="1" applyBorder="1" applyAlignment="1">
      <alignment horizontal="right" vertical="center"/>
    </xf>
    <xf numFmtId="4" fontId="19" fillId="9" borderId="41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72" fillId="0" borderId="0" xfId="0" applyFont="1" applyFill="1" applyAlignment="1">
      <alignment vertical="center"/>
    </xf>
    <xf numFmtId="0" fontId="22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70" fillId="0" borderId="35" xfId="0" applyFont="1" applyFill="1" applyBorder="1" applyAlignment="1">
      <alignment horizontal="center"/>
    </xf>
    <xf numFmtId="0" fontId="71" fillId="0" borderId="35" xfId="0" applyFont="1" applyFill="1" applyBorder="1" applyAlignment="1">
      <alignment horizontal="center"/>
    </xf>
    <xf numFmtId="4" fontId="19" fillId="9" borderId="42" xfId="0" applyNumberFormat="1" applyFont="1" applyFill="1" applyBorder="1" applyAlignment="1">
      <alignment horizontal="right" vertical="center"/>
    </xf>
    <xf numFmtId="0" fontId="70" fillId="3" borderId="35" xfId="0" applyFont="1" applyFill="1" applyBorder="1" applyAlignment="1">
      <alignment horizontal="center"/>
    </xf>
    <xf numFmtId="0" fontId="71" fillId="3" borderId="35" xfId="0" applyFont="1" applyFill="1" applyBorder="1" applyAlignment="1">
      <alignment horizontal="center"/>
    </xf>
    <xf numFmtId="0" fontId="66" fillId="3" borderId="7" xfId="0" applyFont="1" applyFill="1" applyBorder="1" applyAlignment="1">
      <alignment horizontal="center"/>
    </xf>
    <xf numFmtId="0" fontId="57" fillId="0" borderId="7" xfId="0" applyFont="1" applyFill="1" applyBorder="1" applyAlignment="1">
      <alignment vertical="center"/>
    </xf>
    <xf numFmtId="0" fontId="58" fillId="0" borderId="7" xfId="0" applyFont="1" applyFill="1" applyBorder="1" applyAlignment="1">
      <alignment vertical="center"/>
    </xf>
    <xf numFmtId="0" fontId="59" fillId="0" borderId="35" xfId="0" applyFont="1" applyFill="1" applyBorder="1" applyAlignment="1">
      <alignment vertical="center"/>
    </xf>
    <xf numFmtId="0" fontId="19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center" vertical="center" wrapText="1"/>
    </xf>
    <xf numFmtId="186" fontId="74" fillId="0" borderId="7" xfId="0" applyNumberFormat="1" applyFont="1" applyFill="1" applyBorder="1" applyAlignment="1">
      <alignment horizontal="left" vertical="center"/>
    </xf>
    <xf numFmtId="0" fontId="63" fillId="0" borderId="7" xfId="0" applyNumberFormat="1" applyFont="1" applyFill="1" applyBorder="1" applyAlignment="1">
      <alignment horizontal="center"/>
    </xf>
    <xf numFmtId="186" fontId="75" fillId="0" borderId="7" xfId="0" applyNumberFormat="1" applyFont="1" applyFill="1" applyBorder="1" applyAlignment="1">
      <alignment horizontal="left" vertical="center"/>
    </xf>
    <xf numFmtId="0" fontId="66" fillId="0" borderId="7" xfId="0" applyNumberFormat="1" applyFont="1" applyFill="1" applyBorder="1" applyAlignment="1">
      <alignment horizontal="center"/>
    </xf>
    <xf numFmtId="49" fontId="70" fillId="0" borderId="35" xfId="0" applyNumberFormat="1" applyFont="1" applyFill="1" applyBorder="1" applyAlignment="1">
      <alignment horizontal="center" vertical="center"/>
    </xf>
    <xf numFmtId="186" fontId="76" fillId="0" borderId="35" xfId="0" applyNumberFormat="1" applyFont="1" applyFill="1" applyBorder="1" applyAlignment="1">
      <alignment horizontal="left" vertical="center"/>
    </xf>
    <xf numFmtId="0" fontId="70" fillId="0" borderId="35" xfId="0" applyNumberFormat="1" applyFont="1" applyFill="1" applyBorder="1" applyAlignment="1">
      <alignment horizontal="center"/>
    </xf>
    <xf numFmtId="0" fontId="19" fillId="9" borderId="4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77" fillId="9" borderId="10" xfId="0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42" fillId="0" borderId="10" xfId="0" applyNumberFormat="1" applyFont="1" applyFill="1" applyBorder="1" applyAlignment="1">
      <alignment horizontal="center"/>
    </xf>
    <xf numFmtId="4" fontId="78" fillId="0" borderId="7" xfId="0" applyNumberFormat="1" applyFont="1" applyFill="1" applyBorder="1" applyAlignment="1">
      <alignment horizontal="center" vertical="center" wrapText="1"/>
    </xf>
    <xf numFmtId="0" fontId="78" fillId="0" borderId="7" xfId="0" applyNumberFormat="1" applyFont="1" applyFill="1" applyBorder="1" applyAlignment="1">
      <alignment horizontal="center" vertical="center" wrapText="1"/>
    </xf>
    <xf numFmtId="49" fontId="79" fillId="0" borderId="10" xfId="0" applyNumberFormat="1" applyFont="1" applyFill="1" applyBorder="1" applyAlignment="1">
      <alignment horizontal="center"/>
    </xf>
    <xf numFmtId="4" fontId="20" fillId="0" borderId="35" xfId="0" applyNumberFormat="1" applyFont="1" applyFill="1" applyBorder="1" applyAlignment="1">
      <alignment horizontal="center" vertical="center" wrapText="1"/>
    </xf>
    <xf numFmtId="4" fontId="20" fillId="0" borderId="34" xfId="0" applyNumberFormat="1" applyFont="1" applyFill="1" applyBorder="1" applyAlignment="1">
      <alignment horizontal="center" vertical="center" wrapText="1"/>
    </xf>
    <xf numFmtId="0" fontId="20" fillId="0" borderId="35" xfId="0" applyNumberFormat="1" applyFont="1" applyFill="1" applyBorder="1" applyAlignment="1">
      <alignment horizontal="center" vertical="center" wrapText="1"/>
    </xf>
    <xf numFmtId="49" fontId="80" fillId="0" borderId="10" xfId="0" applyNumberFormat="1" applyFont="1" applyFill="1" applyBorder="1" applyAlignment="1">
      <alignment horizontal="center"/>
    </xf>
    <xf numFmtId="4" fontId="77" fillId="9" borderId="7" xfId="0" applyNumberFormat="1" applyFont="1" applyFill="1" applyBorder="1" applyAlignment="1">
      <alignment horizontal="right" vertical="center"/>
    </xf>
    <xf numFmtId="4" fontId="19" fillId="9" borderId="35" xfId="0" applyNumberFormat="1" applyFont="1" applyFill="1" applyBorder="1" applyAlignment="1">
      <alignment horizontal="center" vertical="center"/>
    </xf>
    <xf numFmtId="4" fontId="77" fillId="9" borderId="4" xfId="0" applyNumberFormat="1" applyFont="1" applyFill="1" applyBorder="1" applyAlignment="1">
      <alignment horizontal="right" vertical="center"/>
    </xf>
    <xf numFmtId="0" fontId="62" fillId="0" borderId="0" xfId="0" applyFont="1" applyFill="1" applyAlignment="1"/>
    <xf numFmtId="177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0" fontId="63" fillId="0" borderId="43" xfId="0" applyFont="1" applyFill="1" applyBorder="1" applyAlignment="1">
      <alignment horizontal="center"/>
    </xf>
    <xf numFmtId="0" fontId="63" fillId="0" borderId="44" xfId="0" applyFont="1" applyFill="1" applyBorder="1" applyAlignment="1">
      <alignment horizontal="center"/>
    </xf>
    <xf numFmtId="49" fontId="63" fillId="0" borderId="44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81" fillId="0" borderId="0" xfId="0" applyFont="1" applyFill="1" applyAlignment="1">
      <alignment vertical="center"/>
    </xf>
    <xf numFmtId="49" fontId="65" fillId="0" borderId="7" xfId="0" applyNumberFormat="1" applyFont="1" applyFill="1" applyBorder="1" applyAlignment="1" quotePrefix="1">
      <alignment horizontal="center" vertical="center"/>
    </xf>
    <xf numFmtId="49" fontId="69" fillId="0" borderId="7" xfId="0" applyNumberFormat="1" applyFont="1" applyFill="1" applyBorder="1" applyAlignment="1" quotePrefix="1">
      <alignment horizontal="center" vertical="center"/>
    </xf>
    <xf numFmtId="0" fontId="15" fillId="0" borderId="7" xfId="312" applyFont="1" applyFill="1" applyBorder="1" applyAlignment="1" quotePrefix="1">
      <alignment horizontal="center" vertical="center" wrapText="1"/>
    </xf>
  </cellXfs>
  <cellStyles count="4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3 2" xfId="49"/>
    <cellStyle name="输出 3" xfId="50"/>
    <cellStyle name="链接单元格 5" xfId="51"/>
    <cellStyle name="强调文字颜色 2 5" xfId="52"/>
    <cellStyle name="汇总 4 2" xfId="53"/>
    <cellStyle name="_ET_STYLE_NoName_-01_ 3 3 3 2" xfId="54"/>
    <cellStyle name="链接单元格 3 2" xfId="55"/>
    <cellStyle name="20% - 强调文字颜色 1 2" xfId="56"/>
    <cellStyle name="常规 3 4 3" xfId="57"/>
    <cellStyle name="常规 7 3" xfId="58"/>
    <cellStyle name="计算 2" xfId="59"/>
    <cellStyle name="60% - 强调文字颜色 6 3 2" xfId="60"/>
    <cellStyle name="常规 6" xfId="61"/>
    <cellStyle name="60% - 强调文字颜色 2 3" xfId="62"/>
    <cellStyle name="20% - 强调文字颜色 4 5" xfId="63"/>
    <cellStyle name="解释性文本 2 2" xfId="64"/>
    <cellStyle name="注释 5" xfId="65"/>
    <cellStyle name="60% - 强调文字颜色 2 2 2" xfId="66"/>
    <cellStyle name="常规 5 2" xfId="67"/>
    <cellStyle name="强调文字颜色 1 2 3" xfId="68"/>
    <cellStyle name="百分比 4" xfId="69"/>
    <cellStyle name="0,0_x000d__x000a_NA_x000d__x000a_" xfId="70"/>
    <cellStyle name="注释 3 2 2" xfId="71"/>
    <cellStyle name="输出 2 4 2" xfId="72"/>
    <cellStyle name="40% - 强调文字颜色 4 2" xfId="73"/>
    <cellStyle name="计算 3 2" xfId="74"/>
    <cellStyle name="常规 8 3" xfId="75"/>
    <cellStyle name="注释 2 3" xfId="76"/>
    <cellStyle name="40% - 强调文字颜色 6 5" xfId="77"/>
    <cellStyle name="60% - 强调文字颜色 4 2 3" xfId="78"/>
    <cellStyle name="20% - 强调文字颜色 3 3" xfId="79"/>
    <cellStyle name="输出 3 3" xfId="80"/>
    <cellStyle name="常规 8 2" xfId="81"/>
    <cellStyle name="输出 5" xfId="82"/>
    <cellStyle name=" 3]_x000d__x000a_Zoomed=1_x000d__x000a_Row=128_x000d__x000a_Column=101_x000d__x000a_Height=300_x000d__x000a_Width=301_x000d__x000a_FontName=System_x000d__x000a_FontStyle=1_x000d__x000a_FontSize=12_x000d__x000a_PrtFontNa" xfId="83"/>
    <cellStyle name="检查单元格 3 2" xfId="84"/>
    <cellStyle name="链接单元格 3" xfId="85"/>
    <cellStyle name="注释 2 3 3" xfId="86"/>
    <cellStyle name="??&amp;O龡&amp;H?_x0008_??_x0007__x0001__x0001_" xfId="87"/>
    <cellStyle name="40% - 强调文字颜色 4 3 2" xfId="88"/>
    <cellStyle name="汇总 3 3" xfId="89"/>
    <cellStyle name="链接单元格 4" xfId="90"/>
    <cellStyle name="输出 2" xfId="91"/>
    <cellStyle name="汇总 3 2 2" xfId="92"/>
    <cellStyle name="输出 4" xfId="93"/>
    <cellStyle name="计算 3" xfId="94"/>
    <cellStyle name="计算 4" xfId="95"/>
    <cellStyle name="注释 3 2 3" xfId="96"/>
    <cellStyle name="20% - 强调文字颜色 3 3 2" xfId="97"/>
    <cellStyle name="计算 5" xfId="98"/>
    <cellStyle name="适中 2" xfId="99"/>
    <cellStyle name="输出 3 3 2" xfId="100"/>
    <cellStyle name="_ET_STYLE_NoName_00_" xfId="101"/>
    <cellStyle name="标题 4 2 2" xfId="102"/>
    <cellStyle name="20% - 强调文字颜色 1 2 3" xfId="103"/>
    <cellStyle name="_ET_STYLE_NoName_00__南区长促工资1004_5" xfId="104"/>
    <cellStyle name="40% - 强调文字颜色 2 2" xfId="105"/>
    <cellStyle name="20% - 强调文字颜色 1 4" xfId="106"/>
    <cellStyle name="20% - 强调文字颜色 1 3" xfId="107"/>
    <cellStyle name="??_x005f_x0011_?_x005f_x0010_?" xfId="108"/>
    <cellStyle name="差 2 3" xfId="109"/>
    <cellStyle name="_ET_STYLE_NoName_00__北区长促工资1004_3" xfId="110"/>
    <cellStyle name="20% - 强调文字颜色 1 3 2" xfId="111"/>
    <cellStyle name="0,0_x000a__x000a_NA_x000a__x000a_" xfId="112"/>
    <cellStyle name="强调文字颜色 5 5" xfId="113"/>
    <cellStyle name="20% - 强调文字颜色 1 2 2" xfId="114"/>
    <cellStyle name="常规 2 3 2 3" xfId="115"/>
    <cellStyle name="20% - 强调文字颜色 1 5" xfId="116"/>
    <cellStyle name="好 2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常规 9 2" xfId="193"/>
    <cellStyle name="40% - 强调文字颜色 1 3 2" xfId="194"/>
    <cellStyle name="40% - 强调文字颜色 1 4" xfId="195"/>
    <cellStyle name="40% - 强调文字颜色 1 5" xfId="196"/>
    <cellStyle name="40% - 强调文字颜色 2 2 2" xfId="197"/>
    <cellStyle name="40% - 强调文字颜色 2 2 3" xfId="198"/>
    <cellStyle name="40% - 强调文字颜色 2 3" xfId="199"/>
    <cellStyle name="40% - 强调文字颜色 2 3 2" xfId="200"/>
    <cellStyle name="40% - 强调文字颜色 2 4" xfId="201"/>
    <cellStyle name="40% - 强调文字颜色 2 5" xfId="202"/>
    <cellStyle name="40% - 强调文字颜色 3 2" xfId="203"/>
    <cellStyle name="计算 2 2" xfId="204"/>
    <cellStyle name="40% - 强调文字颜色 3 2 2" xfId="205"/>
    <cellStyle name="计算 2 2 2" xfId="206"/>
    <cellStyle name="40% - 强调文字颜色 3 2 3" xfId="207"/>
    <cellStyle name="40% - 强调文字颜色 3 3" xfId="208"/>
    <cellStyle name="计算 2 3" xfId="209"/>
    <cellStyle name="40% - 强调文字颜色 3 3 2" xfId="210"/>
    <cellStyle name="常规 25" xfId="211"/>
    <cellStyle name="计算 2 3 2" xfId="212"/>
    <cellStyle name="40% - 强调文字颜色 3 4" xfId="213"/>
    <cellStyle name="计算 2 4" xfId="214"/>
    <cellStyle name="40% - 强调文字颜色 3 5" xfId="215"/>
    <cellStyle name="40% - 强调文字颜色 4 2 2" xfId="216"/>
    <cellStyle name="标题 4 4" xfId="217"/>
    <cellStyle name="汇总 2 3" xfId="218"/>
    <cellStyle name="计算 3 2 2" xfId="219"/>
    <cellStyle name="检查单元格 2" xfId="220"/>
    <cellStyle name="40% - 强调文字颜色 4 2 3" xfId="221"/>
    <cellStyle name="标题 4 5" xfId="222"/>
    <cellStyle name="汇总 2 4" xfId="223"/>
    <cellStyle name="检查单元格 3" xfId="224"/>
    <cellStyle name="40% - 强调文字颜色 4 3" xfId="225"/>
    <cellStyle name="计算 3 3" xfId="226"/>
    <cellStyle name="输入 2 2 2" xfId="227"/>
    <cellStyle name="40% - 强调文字颜色 5 2" xfId="228"/>
    <cellStyle name="好 2 3" xfId="229"/>
    <cellStyle name="计算 4 2" xfId="230"/>
    <cellStyle name="40% - 强调文字颜色 5 2 3" xfId="231"/>
    <cellStyle name="60% - 强调文字颜色 4 4" xfId="232"/>
    <cellStyle name="40% - 强调文字颜色 5 3" xfId="233"/>
    <cellStyle name="输入 2 3 2" xfId="234"/>
    <cellStyle name="40% - 强调文字颜色 5 3 2" xfId="235"/>
    <cellStyle name="60% - 强调文字颜色 5 3" xfId="236"/>
    <cellStyle name="40% - 强调文字颜色 5 5" xfId="237"/>
    <cellStyle name="40% - 强调文字颜色 6 2" xfId="238"/>
    <cellStyle name="计算 5 2" xfId="239"/>
    <cellStyle name="适中 2 2" xfId="240"/>
    <cellStyle name="40% - 强调文字颜色 6 2 2" xfId="241"/>
    <cellStyle name="40% - 强调文字颜色 6 2 3" xfId="242"/>
    <cellStyle name="40% - 强调文字颜色 6 3" xfId="243"/>
    <cellStyle name="强调文字颜色 3 2 2" xfId="244"/>
    <cellStyle name="适中 2 3" xfId="245"/>
    <cellStyle name="40% - 强调文字颜色 6 3 2" xfId="246"/>
    <cellStyle name="解释性文本 3" xfId="247"/>
    <cellStyle name="40% - 强调文字颜色 6 4" xfId="248"/>
    <cellStyle name="60% - 强调文字颜色 4 2 2" xfId="249"/>
    <cellStyle name="强调文字颜色 3 2 3" xfId="250"/>
    <cellStyle name="60% - 强调文字颜色 1 2 2" xfId="251"/>
    <cellStyle name="60% - 强调文字颜色 1 2 3" xfId="252"/>
    <cellStyle name="60% - 强调文字颜色 1 3 2" xfId="253"/>
    <cellStyle name="60% - 强调文字颜色 1 4" xfId="254"/>
    <cellStyle name="60% - 强调文字颜色 1 5" xfId="255"/>
    <cellStyle name="警告文本 2 2" xfId="256"/>
    <cellStyle name="注释 5 2 2" xfId="257"/>
    <cellStyle name="60% - 强调文字颜色 2 2 3" xfId="258"/>
    <cellStyle name="60% - 强调文字颜色 2 3 2" xfId="259"/>
    <cellStyle name="常规 6 2" xfId="260"/>
    <cellStyle name="注释 2" xfId="261"/>
    <cellStyle name="60% - 强调文字颜色 2 4" xfId="262"/>
    <cellStyle name="常规 7" xfId="263"/>
    <cellStyle name="60% - 强调文字颜色 2 5" xfId="264"/>
    <cellStyle name="常规 8" xfId="265"/>
    <cellStyle name="警告文本 3 2" xfId="266"/>
    <cellStyle name="60% - 强调文字颜色 3 2 2" xfId="267"/>
    <cellStyle name="强调文字颜色 2 2 3" xfId="268"/>
    <cellStyle name="60% - 强调文字颜色 3 2 3" xfId="269"/>
    <cellStyle name="60% - 强调文字颜色 3 3 2" xfId="270"/>
    <cellStyle name="60% - 强调文字颜色 3 4" xfId="271"/>
    <cellStyle name="60% - 强调文字颜色 3 5" xfId="272"/>
    <cellStyle name="60% - 强调文字颜色 4 3 2" xfId="273"/>
    <cellStyle name="60% - 强调文字颜色 4 5" xfId="274"/>
    <cellStyle name="常规_创联至信12年工资表sn803808" xfId="275"/>
    <cellStyle name="60% - 强调文字颜色 5 2" xfId="276"/>
    <cellStyle name="60% - 强调文字颜色 5 2 2" xfId="277"/>
    <cellStyle name="强调文字颜色 4 2 3" xfId="278"/>
    <cellStyle name="60% - 强调文字颜色 5 2 3" xfId="279"/>
    <cellStyle name="60% - 强调文字颜色 5 3 2" xfId="280"/>
    <cellStyle name="60% - 强调文字颜色 5 4" xfId="281"/>
    <cellStyle name="60% - 强调文字颜色 5 5" xfId="282"/>
    <cellStyle name="60% - 强调文字颜色 6 2" xfId="283"/>
    <cellStyle name="60% - 强调文字颜色 6 2 2" xfId="284"/>
    <cellStyle name="常规 3 5 3" xfId="285"/>
    <cellStyle name="强调文字颜色 5 2 3" xfId="286"/>
    <cellStyle name="60% - 强调文字颜色 6 2 3" xfId="287"/>
    <cellStyle name="Normal_08'前程工资8月" xfId="288"/>
    <cellStyle name="60% - 强调文字颜色 6 3" xfId="289"/>
    <cellStyle name="60% - 强调文字颜色 6 4" xfId="290"/>
    <cellStyle name="60% - 强调文字颜色 6 5" xfId="291"/>
    <cellStyle name="Comma_SALARYBJ" xfId="292"/>
    <cellStyle name="警告文本 2 3" xfId="293"/>
    <cellStyle name="百分比 2" xfId="294"/>
    <cellStyle name="差 4" xfId="295"/>
    <cellStyle name="百分比 2 2" xfId="296"/>
    <cellStyle name="百分比 2 3" xfId="297"/>
    <cellStyle name="标题 1 2" xfId="298"/>
    <cellStyle name="标题 1 2 2" xfId="299"/>
    <cellStyle name="标题 1 2 3" xfId="300"/>
    <cellStyle name="标题 1 3" xfId="301"/>
    <cellStyle name="标题 1 3 2" xfId="302"/>
    <cellStyle name="汇总 3" xfId="303"/>
    <cellStyle name="标题 1 4" xfId="304"/>
    <cellStyle name="标题 1 5" xfId="305"/>
    <cellStyle name="标题 2 2" xfId="306"/>
    <cellStyle name="标题 2 2 2" xfId="307"/>
    <cellStyle name="标题 2 2 3" xfId="308"/>
    <cellStyle name="好 3 2" xfId="309"/>
    <cellStyle name="标题 2 3" xfId="310"/>
    <cellStyle name="标题 2 3 2" xfId="311"/>
    <cellStyle name="常规 11" xfId="312"/>
    <cellStyle name="标题 2 4" xfId="313"/>
    <cellStyle name="标题 2 5" xfId="314"/>
    <cellStyle name="标题 3 2" xfId="315"/>
    <cellStyle name="标题 3 2 2" xfId="316"/>
    <cellStyle name="好 5" xfId="317"/>
    <cellStyle name="标题 3 2 3" xfId="318"/>
    <cellStyle name="标题 3 3" xfId="319"/>
    <cellStyle name="标题 3 3 2" xfId="320"/>
    <cellStyle name="样式 1" xfId="321"/>
    <cellStyle name="标题 3 4" xfId="322"/>
    <cellStyle name="标题 3 5" xfId="323"/>
    <cellStyle name="标题 4 2" xfId="324"/>
    <cellStyle name="千位分隔 3" xfId="325"/>
    <cellStyle name="标题 4 2 3" xfId="326"/>
    <cellStyle name="标题 4 3" xfId="327"/>
    <cellStyle name="汇总 2 2" xfId="328"/>
    <cellStyle name="标题 4 3 2" xfId="329"/>
    <cellStyle name="汇总 2 2 2" xfId="330"/>
    <cellStyle name="标题 5" xfId="331"/>
    <cellStyle name="解释性文本 2 3" xfId="332"/>
    <cellStyle name="标题 5 2" xfId="333"/>
    <cellStyle name="强调文字颜色 1 4" xfId="334"/>
    <cellStyle name="标题 5 3" xfId="335"/>
    <cellStyle name="汇总 3 2" xfId="336"/>
    <cellStyle name="强调文字颜色 1 5" xfId="337"/>
    <cellStyle name="标题 6" xfId="338"/>
    <cellStyle name="标题 6 2" xfId="339"/>
    <cellStyle name="强调文字颜色 2 4" xfId="340"/>
    <cellStyle name="标题 7" xfId="341"/>
    <cellStyle name="注释 2 4 2" xfId="342"/>
    <cellStyle name="标题 8" xfId="343"/>
    <cellStyle name="差 2" xfId="344"/>
    <cellStyle name="解释性文本 5" xfId="345"/>
    <cellStyle name="差 2 2" xfId="346"/>
    <cellStyle name="差 3" xfId="347"/>
    <cellStyle name="差 3 2" xfId="348"/>
    <cellStyle name="常规 10" xfId="349"/>
    <cellStyle name="常规 11 2" xfId="350"/>
    <cellStyle name="常规 11 3" xfId="351"/>
    <cellStyle name="常规 2 3 2 2" xfId="352"/>
    <cellStyle name="常规 12" xfId="353"/>
    <cellStyle name="常规 12 2" xfId="354"/>
    <cellStyle name="常规 12 3" xfId="355"/>
    <cellStyle name="常规 14" xfId="356"/>
    <cellStyle name="强调文字颜色 3 3 2" xfId="357"/>
    <cellStyle name="常规 14 2" xfId="358"/>
    <cellStyle name="常规 14 3" xfId="359"/>
    <cellStyle name="常规 2" xfId="360"/>
    <cellStyle name="常规 2 2" xfId="361"/>
    <cellStyle name="常规 2 2 2" xfId="362"/>
    <cellStyle name="常规 2 2 2 2" xfId="363"/>
    <cellStyle name="常规 2 2 3" xfId="364"/>
    <cellStyle name="常规 2 3" xfId="365"/>
    <cellStyle name="输入 3 2" xfId="366"/>
    <cellStyle name="常规 2 3 2" xfId="367"/>
    <cellStyle name="常规_全国客服表格" xfId="368"/>
    <cellStyle name="输入 3 2 2" xfId="369"/>
    <cellStyle name="常规 2 3 3" xfId="370"/>
    <cellStyle name="常规 2 3 4" xfId="371"/>
    <cellStyle name="常规 2 4" xfId="372"/>
    <cellStyle name="输入 3 3" xfId="373"/>
    <cellStyle name="常规 2 4 2" xfId="374"/>
    <cellStyle name="常规 2 5" xfId="375"/>
    <cellStyle name="强调文字颜色 4 2" xfId="376"/>
    <cellStyle name="常规 2 5 2" xfId="377"/>
    <cellStyle name="强调文字颜色 4 2 2" xfId="378"/>
    <cellStyle name="常规 2 6" xfId="379"/>
    <cellStyle name="强调文字颜色 4 3" xfId="380"/>
    <cellStyle name="常规 2 6 2" xfId="381"/>
    <cellStyle name="强调文字颜色 4 3 2" xfId="382"/>
    <cellStyle name="常规 2 6 2 2" xfId="383"/>
    <cellStyle name="常规 27" xfId="384"/>
    <cellStyle name="常规 3 2 2" xfId="385"/>
    <cellStyle name="适中 4" xfId="386"/>
    <cellStyle name="常规 3 3 2" xfId="387"/>
    <cellStyle name="常规 3 3 3" xfId="388"/>
    <cellStyle name="常规 3 4" xfId="389"/>
    <cellStyle name="常规 3 4 2" xfId="390"/>
    <cellStyle name="常规 3 5" xfId="391"/>
    <cellStyle name="强调文字颜色 5 2" xfId="392"/>
    <cellStyle name="常规 3 5 2" xfId="393"/>
    <cellStyle name="强调文字颜色 5 2 2" xfId="394"/>
    <cellStyle name="常规 4 2 2" xfId="395"/>
    <cellStyle name="常规 4 4" xfId="396"/>
    <cellStyle name="常规 4 3" xfId="397"/>
    <cellStyle name="输入 5 2" xfId="398"/>
    <cellStyle name="常规 7 2" xfId="399"/>
    <cellStyle name="常规 8 4" xfId="400"/>
    <cellStyle name="强调文字颜色 6 3 2" xfId="401"/>
    <cellStyle name="常规 9" xfId="402"/>
    <cellStyle name="常规_0705 UL South CS meeting (chonghua)" xfId="403"/>
    <cellStyle name="常规_Sheet1" xfId="404"/>
    <cellStyle name="汇总 5 2" xfId="405"/>
    <cellStyle name="强调文字颜色 3 5" xfId="406"/>
    <cellStyle name="常规_付款通知书智联（神数系统）" xfId="407"/>
    <cellStyle name="警告文本 2" xfId="408"/>
    <cellStyle name="注释 5 2" xfId="409"/>
    <cellStyle name="好 2 2" xfId="410"/>
    <cellStyle name="好 3" xfId="411"/>
    <cellStyle name="好 4" xfId="412"/>
    <cellStyle name="汇总 2" xfId="413"/>
    <cellStyle name="汇总 2 3 2" xfId="414"/>
    <cellStyle name="检查单元格 2 2" xfId="415"/>
    <cellStyle name="汇总 4" xfId="416"/>
    <cellStyle name="汇总 5" xfId="417"/>
    <cellStyle name="检查单元格 2 3" xfId="418"/>
    <cellStyle name="检查单元格 4" xfId="419"/>
    <cellStyle name="检查单元格 5" xfId="420"/>
    <cellStyle name="解释性文本 2" xfId="421"/>
    <cellStyle name="解释性文本 3 2" xfId="422"/>
    <cellStyle name="解释性文本 4" xfId="423"/>
    <cellStyle name="警告文本 3" xfId="424"/>
    <cellStyle name="注释 5 3" xfId="425"/>
    <cellStyle name="警告文本 4" xfId="426"/>
    <cellStyle name="警告文本 5" xfId="427"/>
    <cellStyle name="链接单元格 2" xfId="428"/>
    <cellStyle name="注释 2 3 2" xfId="429"/>
    <cellStyle name="链接单元格 2 2" xfId="430"/>
    <cellStyle name="注释 2 3 2 2" xfId="431"/>
    <cellStyle name="链接单元格 2 3" xfId="432"/>
    <cellStyle name="千位分隔 2" xfId="433"/>
    <cellStyle name="千位分隔 2 2" xfId="434"/>
    <cellStyle name="强调文字颜色 1 2" xfId="435"/>
    <cellStyle name="强调文字颜色 1 2 2" xfId="436"/>
    <cellStyle name="强调文字颜色 1 3" xfId="437"/>
    <cellStyle name="强调文字颜色 1 3 2" xfId="438"/>
    <cellStyle name="强调文字颜色 2 2" xfId="439"/>
    <cellStyle name="强调文字颜色 2 2 2" xfId="440"/>
    <cellStyle name="强调文字颜色 2 3" xfId="441"/>
    <cellStyle name="强调文字颜色 3 2" xfId="442"/>
    <cellStyle name="输入 2 4" xfId="443"/>
    <cellStyle name="强调文字颜色 3 3" xfId="444"/>
    <cellStyle name="强调文字颜色 3 4" xfId="445"/>
    <cellStyle name="强调文字颜色 4 4" xfId="446"/>
    <cellStyle name="强调文字颜色 4 5" xfId="447"/>
    <cellStyle name="输入 2" xfId="448"/>
    <cellStyle name="强调文字颜色 5 3" xfId="449"/>
    <cellStyle name="强调文字颜色 5 3 2" xfId="450"/>
    <cellStyle name="强调文字颜色 5 4" xfId="451"/>
    <cellStyle name="强调文字颜色 6 2" xfId="452"/>
    <cellStyle name="强调文字颜色 6 2 2" xfId="453"/>
    <cellStyle name="强调文字颜色 6 2 3" xfId="454"/>
    <cellStyle name="强调文字颜色 6 3" xfId="455"/>
    <cellStyle name="强调文字颜色 6 4" xfId="456"/>
    <cellStyle name="强调文字颜色 6 5" xfId="457"/>
    <cellStyle name="适中 3" xfId="458"/>
    <cellStyle name="适中 3 2" xfId="459"/>
    <cellStyle name="适中 5" xfId="460"/>
    <cellStyle name="输出 2 2 2 2" xfId="461"/>
    <cellStyle name="输出 2 3 2 2" xfId="462"/>
    <cellStyle name="输出 2 3 3" xfId="463"/>
    <cellStyle name="输出 3 2 2 2" xfId="464"/>
    <cellStyle name="输入 2 2" xfId="465"/>
    <cellStyle name="样式 2 4" xfId="466"/>
    <cellStyle name="输入 2 3" xfId="467"/>
    <cellStyle name="样式 2 5" xfId="468"/>
    <cellStyle name="输入 3" xfId="469"/>
    <cellStyle name="输入 4" xfId="470"/>
    <cellStyle name="输入 5" xfId="471"/>
    <cellStyle name="㼿㼿㼿㼿? 2" xfId="472"/>
    <cellStyle name="㼿㼿㼿㼿㼿" xfId="473"/>
    <cellStyle name="㼿㼿㼿㼿㼿㼿㼿" xfId="474"/>
    <cellStyle name="样式 1 2" xfId="475"/>
    <cellStyle name="样式 2" xfId="476"/>
    <cellStyle name="样式 2 2" xfId="477"/>
    <cellStyle name="样式 2 3" xfId="478"/>
    <cellStyle name="注释 2 2" xfId="479"/>
    <cellStyle name="注释 2 2 2" xfId="480"/>
    <cellStyle name="注释 2 2 2 2" xfId="481"/>
    <cellStyle name="注释 2 2 3" xfId="482"/>
    <cellStyle name="注释 2 4" xfId="483"/>
    <cellStyle name="注释 2 5" xfId="484"/>
    <cellStyle name="注释 3" xfId="485"/>
    <cellStyle name="注释 3 2" xfId="486"/>
    <cellStyle name="注释 3 3" xfId="487"/>
    <cellStyle name="注释 3 3 2" xfId="488"/>
    <cellStyle name="注释 3 4" xfId="489"/>
    <cellStyle name="注释 4" xfId="490"/>
    <cellStyle name="注释 4 2" xfId="491"/>
    <cellStyle name="注释 4 2 2" xfId="492"/>
    <cellStyle name="注释 4 3" xfId="493"/>
  </cellStyles>
  <dxfs count="6"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792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04\&#26131;&#25165;&#20010;&#3124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05\&#26131;&#25165;&#20010;&#3124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孙海娟</v>
          </cell>
          <cell r="C2">
            <v>6000</v>
          </cell>
          <cell r="D2">
            <v>4525.84</v>
          </cell>
        </row>
        <row r="3">
          <cell r="B3" t="str">
            <v>赵亮</v>
          </cell>
          <cell r="C3">
            <v>4800</v>
          </cell>
          <cell r="D3">
            <v>8000</v>
          </cell>
        </row>
        <row r="4">
          <cell r="B4" t="str">
            <v>梁敏霞</v>
          </cell>
          <cell r="C4">
            <v>3420</v>
          </cell>
          <cell r="D4">
            <v>5700</v>
          </cell>
        </row>
        <row r="5">
          <cell r="B5" t="str">
            <v>徐明龙</v>
          </cell>
          <cell r="C5">
            <v>4800</v>
          </cell>
          <cell r="D5">
            <v>8000</v>
          </cell>
        </row>
        <row r="6">
          <cell r="B6" t="str">
            <v>陈佳文</v>
          </cell>
          <cell r="C6">
            <v>5700</v>
          </cell>
          <cell r="D6">
            <v>10500</v>
          </cell>
        </row>
        <row r="7">
          <cell r="B7" t="str">
            <v>龙治旺</v>
          </cell>
          <cell r="C7">
            <v>3900</v>
          </cell>
          <cell r="D7">
            <v>6500</v>
          </cell>
        </row>
        <row r="8">
          <cell r="B8" t="str">
            <v>冯玉</v>
          </cell>
          <cell r="C8">
            <v>18000</v>
          </cell>
          <cell r="D8">
            <v>30060</v>
          </cell>
        </row>
        <row r="9">
          <cell r="B9" t="str">
            <v>汤祥文</v>
          </cell>
          <cell r="C9">
            <v>5100</v>
          </cell>
          <cell r="D9">
            <v>8500</v>
          </cell>
        </row>
        <row r="10">
          <cell r="B10" t="str">
            <v>杨旭</v>
          </cell>
          <cell r="C10">
            <v>4200</v>
          </cell>
          <cell r="D10">
            <v>7000</v>
          </cell>
        </row>
        <row r="11">
          <cell r="B11" t="str">
            <v>任志伟</v>
          </cell>
          <cell r="C11">
            <v>4200</v>
          </cell>
          <cell r="D11">
            <v>7000</v>
          </cell>
        </row>
        <row r="12">
          <cell r="B12" t="str">
            <v>朱必丰</v>
          </cell>
          <cell r="C12">
            <v>4200</v>
          </cell>
          <cell r="D12">
            <v>7000</v>
          </cell>
        </row>
        <row r="13">
          <cell r="B13" t="str">
            <v>周阳阳</v>
          </cell>
          <cell r="C13">
            <v>3600</v>
          </cell>
          <cell r="D13">
            <v>6300</v>
          </cell>
        </row>
        <row r="14">
          <cell r="B14" t="str">
            <v>张莉</v>
          </cell>
          <cell r="C14">
            <v>3600</v>
          </cell>
          <cell r="D14">
            <v>6000</v>
          </cell>
        </row>
        <row r="15">
          <cell r="B15" t="str">
            <v>倪绍帅</v>
          </cell>
          <cell r="C15">
            <v>6000</v>
          </cell>
          <cell r="D15">
            <v>10000</v>
          </cell>
        </row>
        <row r="16">
          <cell r="B16" t="str">
            <v>吕阳</v>
          </cell>
          <cell r="C16">
            <v>1216</v>
          </cell>
          <cell r="D16">
            <v>2026.67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姓名</v>
          </cell>
          <cell r="C1" t="str">
            <v>本月应发工资小计</v>
          </cell>
          <cell r="D1" t="str">
            <v>养老保险（当月+补缴）</v>
          </cell>
          <cell r="E1" t="str">
            <v>失业保险（当月+补缴）</v>
          </cell>
        </row>
        <row r="2">
          <cell r="B2" t="str">
            <v>孙海娟</v>
          </cell>
          <cell r="C2">
            <v>4525.84</v>
          </cell>
          <cell r="D2">
            <v>380.08</v>
          </cell>
          <cell r="E2">
            <v>23.76</v>
          </cell>
          <cell r="F2">
            <v>117.02</v>
          </cell>
          <cell r="G2">
            <v>520.86</v>
          </cell>
          <cell r="H2">
            <v>109</v>
          </cell>
        </row>
        <row r="3">
          <cell r="B3" t="str">
            <v>赵亮</v>
          </cell>
          <cell r="C3">
            <v>8000</v>
          </cell>
          <cell r="D3">
            <v>319.46</v>
          </cell>
          <cell r="E3">
            <v>11.98</v>
          </cell>
          <cell r="F3">
            <v>79.86</v>
          </cell>
          <cell r="G3">
            <v>411.3</v>
          </cell>
          <cell r="H3">
            <v>177.4</v>
          </cell>
        </row>
        <row r="4">
          <cell r="B4" t="str">
            <v>梁敏霞</v>
          </cell>
          <cell r="C4">
            <v>5700</v>
          </cell>
          <cell r="D4">
            <v>422.72</v>
          </cell>
          <cell r="E4">
            <v>4.6</v>
          </cell>
          <cell r="F4">
            <v>119.92</v>
          </cell>
          <cell r="G4">
            <v>547.24</v>
          </cell>
          <cell r="H4">
            <v>115</v>
          </cell>
        </row>
        <row r="5">
          <cell r="B5" t="str">
            <v>徐明龙</v>
          </cell>
          <cell r="C5">
            <v>9000</v>
          </cell>
          <cell r="D5">
            <v>321.52</v>
          </cell>
          <cell r="E5">
            <v>20.1</v>
          </cell>
          <cell r="F5">
            <v>89.09</v>
          </cell>
          <cell r="G5">
            <v>430.71</v>
          </cell>
          <cell r="H5">
            <v>97</v>
          </cell>
        </row>
        <row r="6">
          <cell r="B6" t="str">
            <v>陈佳文</v>
          </cell>
          <cell r="C6">
            <v>10500</v>
          </cell>
          <cell r="D6">
            <v>321.52</v>
          </cell>
          <cell r="E6">
            <v>20.1</v>
          </cell>
          <cell r="F6">
            <v>86.38</v>
          </cell>
          <cell r="G6">
            <v>428</v>
          </cell>
          <cell r="H6">
            <v>344</v>
          </cell>
        </row>
        <row r="7">
          <cell r="B7" t="str">
            <v>龙治旺</v>
          </cell>
          <cell r="C7">
            <v>6500</v>
          </cell>
          <cell r="D7">
            <v>324.24</v>
          </cell>
          <cell r="E7">
            <v>12.16</v>
          </cell>
          <cell r="F7">
            <v>90.4</v>
          </cell>
          <cell r="G7">
            <v>426.8</v>
          </cell>
          <cell r="H7">
            <v>100</v>
          </cell>
        </row>
        <row r="8">
          <cell r="B8" t="str">
            <v>冯玉</v>
          </cell>
          <cell r="C8">
            <v>30060</v>
          </cell>
          <cell r="D8">
            <v>584.8</v>
          </cell>
          <cell r="E8">
            <v>36.55</v>
          </cell>
          <cell r="F8">
            <v>146.2</v>
          </cell>
          <cell r="G8">
            <v>767.55</v>
          </cell>
          <cell r="H8">
            <v>181</v>
          </cell>
        </row>
        <row r="9">
          <cell r="B9" t="str">
            <v>汤祥文</v>
          </cell>
          <cell r="C9">
            <v>8500</v>
          </cell>
          <cell r="D9">
            <v>321.52</v>
          </cell>
          <cell r="E9">
            <v>20.1</v>
          </cell>
          <cell r="F9">
            <v>120.38</v>
          </cell>
          <cell r="G9">
            <v>462</v>
          </cell>
          <cell r="H9">
            <v>97</v>
          </cell>
        </row>
        <row r="10">
          <cell r="B10" t="str">
            <v>杨旭</v>
          </cell>
          <cell r="C10">
            <v>7000</v>
          </cell>
          <cell r="D10">
            <v>321.52</v>
          </cell>
          <cell r="E10">
            <v>20.1</v>
          </cell>
          <cell r="F10">
            <v>86.38</v>
          </cell>
          <cell r="G10">
            <v>428</v>
          </cell>
          <cell r="H10">
            <v>344</v>
          </cell>
        </row>
        <row r="11">
          <cell r="B11" t="str">
            <v>任志伟</v>
          </cell>
          <cell r="C11">
            <v>7000</v>
          </cell>
          <cell r="D11">
            <v>321.52</v>
          </cell>
          <cell r="E11">
            <v>20.1</v>
          </cell>
          <cell r="F11">
            <v>86.38</v>
          </cell>
          <cell r="G11">
            <v>428</v>
          </cell>
          <cell r="H11">
            <v>344</v>
          </cell>
        </row>
        <row r="12">
          <cell r="B12" t="str">
            <v>朱必丰</v>
          </cell>
          <cell r="C12">
            <v>7000</v>
          </cell>
          <cell r="D12">
            <v>321.52</v>
          </cell>
          <cell r="E12">
            <v>20.1</v>
          </cell>
          <cell r="F12">
            <v>120.38</v>
          </cell>
          <cell r="G12">
            <v>462</v>
          </cell>
          <cell r="H12">
            <v>97</v>
          </cell>
        </row>
        <row r="13">
          <cell r="B13" t="str">
            <v>周阳阳</v>
          </cell>
          <cell r="C13">
            <v>6060</v>
          </cell>
          <cell r="D13">
            <v>321.52</v>
          </cell>
          <cell r="E13">
            <v>20.1</v>
          </cell>
          <cell r="F13">
            <v>89.09</v>
          </cell>
          <cell r="G13">
            <v>430.71</v>
          </cell>
          <cell r="H13">
            <v>97</v>
          </cell>
        </row>
        <row r="14">
          <cell r="B14" t="str">
            <v>张莉</v>
          </cell>
          <cell r="C14">
            <v>6000</v>
          </cell>
          <cell r="D14">
            <v>321.52</v>
          </cell>
          <cell r="E14">
            <v>20.1</v>
          </cell>
          <cell r="F14">
            <v>80.38</v>
          </cell>
          <cell r="G14">
            <v>422</v>
          </cell>
          <cell r="H14">
            <v>103</v>
          </cell>
        </row>
        <row r="15">
          <cell r="B15" t="str">
            <v>倪绍帅</v>
          </cell>
          <cell r="C15">
            <v>10000</v>
          </cell>
          <cell r="D15">
            <v>321.52</v>
          </cell>
          <cell r="E15">
            <v>20.1</v>
          </cell>
          <cell r="F15">
            <v>89.09</v>
          </cell>
          <cell r="G15">
            <v>430.71</v>
          </cell>
          <cell r="H15">
            <v>97</v>
          </cell>
        </row>
        <row r="16">
          <cell r="B16" t="str">
            <v>吕阳</v>
          </cell>
          <cell r="C16">
            <v>6080</v>
          </cell>
          <cell r="D16">
            <v>337.92</v>
          </cell>
          <cell r="E16">
            <v>12.67</v>
          </cell>
          <cell r="F16">
            <v>91.48</v>
          </cell>
          <cell r="G16">
            <v>442.07</v>
          </cell>
          <cell r="H16">
            <v>110.5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H22"/>
  <sheetViews>
    <sheetView workbookViewId="0">
      <selection activeCell="C27" sqref="C27"/>
    </sheetView>
  </sheetViews>
  <sheetFormatPr defaultColWidth="9" defaultRowHeight="16.5"/>
  <cols>
    <col min="1" max="1" width="5" style="243" customWidth="1"/>
    <col min="2" max="2" width="25" style="243" customWidth="1"/>
    <col min="3" max="3" width="7.36666666666667" style="243" customWidth="1"/>
    <col min="4" max="4" width="9.45" style="243" customWidth="1"/>
    <col min="5" max="5" width="8.26666666666667" style="243" customWidth="1"/>
    <col min="6" max="6" width="11.9083333333333" style="243" customWidth="1"/>
    <col min="7" max="7" width="16.3666666666667" style="243" customWidth="1"/>
    <col min="8" max="11" width="8.45" style="243" customWidth="1"/>
    <col min="12" max="12" width="9.09166666666667" style="243" customWidth="1"/>
    <col min="13" max="14" width="9.26666666666667" style="243" customWidth="1"/>
    <col min="15" max="15" width="7.45" style="243" customWidth="1"/>
    <col min="16" max="16" width="11.2666666666667" style="243" customWidth="1"/>
    <col min="17" max="17" width="9.09166666666667" style="243" customWidth="1"/>
    <col min="18" max="21" width="9.26666666666667" style="243" customWidth="1"/>
    <col min="22" max="22" width="9.09166666666667" style="243" customWidth="1"/>
    <col min="23" max="26" width="9.26666666666667" style="243" customWidth="1"/>
    <col min="27" max="28" width="9.09166666666667" style="243" customWidth="1"/>
    <col min="29" max="29" width="9" style="243" customWidth="1"/>
    <col min="30" max="30" width="9.09166666666667" style="243" customWidth="1"/>
    <col min="31" max="31" width="9.26666666666667" style="243" customWidth="1"/>
    <col min="32" max="32" width="8.90833333333333" style="243" customWidth="1"/>
    <col min="33" max="33" width="9.09166666666667" style="243" customWidth="1"/>
    <col min="34" max="34" width="9.26666666666667" style="243" customWidth="1"/>
    <col min="35" max="35" width="11.0916666666667" style="243" customWidth="1"/>
    <col min="36" max="36" width="9.26666666666667" style="243" customWidth="1"/>
    <col min="37" max="37" width="8.45" style="243" customWidth="1"/>
    <col min="38" max="38" width="9.09166666666667" style="243" hidden="1" customWidth="1"/>
    <col min="39" max="42" width="9.26666666666667" style="243" hidden="1" customWidth="1"/>
    <col min="43" max="43" width="9.90833333333333" style="243" customWidth="1"/>
    <col min="44" max="44" width="9.36666666666667" style="243" customWidth="1"/>
    <col min="45" max="45" width="10.2666666666667" style="244" customWidth="1"/>
    <col min="46" max="46" width="10" style="244" customWidth="1"/>
    <col min="47" max="49" width="9.26666666666667" style="244" customWidth="1"/>
    <col min="50" max="50" width="9.26666666666667" style="243" customWidth="1"/>
    <col min="51" max="51" width="5.90833333333333" style="243" customWidth="1"/>
    <col min="52" max="52" width="8.36666666666667" style="243" customWidth="1"/>
    <col min="53" max="53" width="5.90833333333333" style="243" customWidth="1"/>
    <col min="54" max="54" width="8.90833333333333" style="243" customWidth="1"/>
    <col min="55" max="55" width="10.9083333333333" style="243" customWidth="1"/>
    <col min="56" max="56" width="40.2666666666667" style="245" customWidth="1"/>
    <col min="57" max="57" width="10.6333333333333" style="243" customWidth="1"/>
    <col min="58" max="16384" width="9" style="243"/>
  </cols>
  <sheetData>
    <row r="1" s="237" customFormat="1" ht="22.5" customHeight="1" spans="1:56">
      <c r="A1" s="246" t="s">
        <v>0</v>
      </c>
      <c r="B1" s="247" t="s">
        <v>1</v>
      </c>
      <c r="C1" s="247" t="s">
        <v>2</v>
      </c>
      <c r="D1" s="246" t="s">
        <v>3</v>
      </c>
      <c r="E1" s="247" t="s">
        <v>4</v>
      </c>
      <c r="F1" s="247" t="s">
        <v>5</v>
      </c>
      <c r="G1" s="247" t="s">
        <v>6</v>
      </c>
      <c r="H1" s="247" t="s">
        <v>7</v>
      </c>
      <c r="I1" s="247" t="s">
        <v>8</v>
      </c>
      <c r="J1" s="247" t="s">
        <v>9</v>
      </c>
      <c r="K1" s="247" t="s">
        <v>10</v>
      </c>
      <c r="L1" s="280" t="s">
        <v>11</v>
      </c>
      <c r="M1" s="280"/>
      <c r="N1" s="280"/>
      <c r="O1" s="280"/>
      <c r="P1" s="280"/>
      <c r="Q1" s="280" t="s">
        <v>12</v>
      </c>
      <c r="R1" s="280"/>
      <c r="S1" s="280"/>
      <c r="T1" s="280"/>
      <c r="U1" s="280"/>
      <c r="V1" s="280" t="s">
        <v>13</v>
      </c>
      <c r="W1" s="280"/>
      <c r="X1" s="280"/>
      <c r="Y1" s="280"/>
      <c r="Z1" s="280"/>
      <c r="AA1" s="246" t="s">
        <v>14</v>
      </c>
      <c r="AB1" s="246"/>
      <c r="AC1" s="246"/>
      <c r="AD1" s="246" t="s">
        <v>15</v>
      </c>
      <c r="AE1" s="246"/>
      <c r="AF1" s="246"/>
      <c r="AG1" s="280" t="s">
        <v>16</v>
      </c>
      <c r="AH1" s="280"/>
      <c r="AI1" s="280"/>
      <c r="AJ1" s="280"/>
      <c r="AK1" s="280"/>
      <c r="AL1" s="246" t="s">
        <v>17</v>
      </c>
      <c r="AM1" s="246"/>
      <c r="AN1" s="246"/>
      <c r="AO1" s="246"/>
      <c r="AP1" s="246"/>
      <c r="AQ1" s="246" t="s">
        <v>18</v>
      </c>
      <c r="AR1" s="246"/>
      <c r="AS1" s="291" t="s">
        <v>19</v>
      </c>
      <c r="AT1" s="291"/>
      <c r="AU1" s="291"/>
      <c r="AV1" s="291"/>
      <c r="AW1" s="291"/>
      <c r="AX1" s="246" t="s">
        <v>20</v>
      </c>
      <c r="AY1" s="246"/>
      <c r="AZ1" s="246" t="s">
        <v>21</v>
      </c>
      <c r="BA1" s="246"/>
      <c r="BB1" s="246" t="s">
        <v>22</v>
      </c>
      <c r="BC1" s="246" t="s">
        <v>23</v>
      </c>
      <c r="BD1" s="302" t="s">
        <v>24</v>
      </c>
    </row>
    <row r="2" ht="22.5" customHeight="1" spans="1:56">
      <c r="A2" s="246"/>
      <c r="B2" s="248"/>
      <c r="C2" s="247"/>
      <c r="D2" s="246"/>
      <c r="E2" s="247"/>
      <c r="F2" s="249"/>
      <c r="G2" s="249"/>
      <c r="H2" s="247"/>
      <c r="I2" s="247"/>
      <c r="J2" s="247"/>
      <c r="K2" s="247"/>
      <c r="L2" s="281" t="s">
        <v>25</v>
      </c>
      <c r="M2" s="281" t="s">
        <v>26</v>
      </c>
      <c r="N2" s="281" t="s">
        <v>27</v>
      </c>
      <c r="O2" s="281" t="s">
        <v>28</v>
      </c>
      <c r="P2" s="281" t="s">
        <v>29</v>
      </c>
      <c r="Q2" s="281" t="s">
        <v>25</v>
      </c>
      <c r="R2" s="281" t="s">
        <v>26</v>
      </c>
      <c r="S2" s="281" t="s">
        <v>27</v>
      </c>
      <c r="T2" s="281" t="s">
        <v>28</v>
      </c>
      <c r="U2" s="281" t="s">
        <v>29</v>
      </c>
      <c r="V2" s="281" t="s">
        <v>25</v>
      </c>
      <c r="W2" s="281" t="s">
        <v>26</v>
      </c>
      <c r="X2" s="281" t="s">
        <v>27</v>
      </c>
      <c r="Y2" s="281" t="s">
        <v>28</v>
      </c>
      <c r="Z2" s="281" t="s">
        <v>29</v>
      </c>
      <c r="AA2" s="281" t="s">
        <v>25</v>
      </c>
      <c r="AB2" s="281" t="s">
        <v>30</v>
      </c>
      <c r="AC2" s="281" t="s">
        <v>31</v>
      </c>
      <c r="AD2" s="281" t="s">
        <v>25</v>
      </c>
      <c r="AE2" s="281" t="s">
        <v>30</v>
      </c>
      <c r="AF2" s="281" t="s">
        <v>31</v>
      </c>
      <c r="AG2" s="281" t="s">
        <v>25</v>
      </c>
      <c r="AH2" s="281" t="s">
        <v>26</v>
      </c>
      <c r="AI2" s="281" t="s">
        <v>27</v>
      </c>
      <c r="AJ2" s="281" t="s">
        <v>28</v>
      </c>
      <c r="AK2" s="281" t="s">
        <v>29</v>
      </c>
      <c r="AL2" s="281" t="s">
        <v>25</v>
      </c>
      <c r="AM2" s="281" t="s">
        <v>26</v>
      </c>
      <c r="AN2" s="281" t="s">
        <v>27</v>
      </c>
      <c r="AO2" s="281" t="s">
        <v>28</v>
      </c>
      <c r="AP2" s="281" t="s">
        <v>29</v>
      </c>
      <c r="AQ2" s="281" t="s">
        <v>32</v>
      </c>
      <c r="AR2" s="281" t="s">
        <v>33</v>
      </c>
      <c r="AS2" s="292" t="s">
        <v>34</v>
      </c>
      <c r="AT2" s="292" t="s">
        <v>35</v>
      </c>
      <c r="AU2" s="292" t="s">
        <v>36</v>
      </c>
      <c r="AV2" s="292" t="s">
        <v>37</v>
      </c>
      <c r="AW2" s="292" t="s">
        <v>38</v>
      </c>
      <c r="AX2" s="246"/>
      <c r="AY2" s="246"/>
      <c r="AZ2" s="246"/>
      <c r="BA2" s="246"/>
      <c r="BB2" s="246"/>
      <c r="BC2" s="246"/>
      <c r="BD2" s="302"/>
    </row>
    <row r="3" s="238" customFormat="1" ht="18" customHeight="1" spans="1:60">
      <c r="A3" s="250">
        <v>1</v>
      </c>
      <c r="B3" s="251" t="s">
        <v>39</v>
      </c>
      <c r="C3" s="252" t="s">
        <v>40</v>
      </c>
      <c r="D3" s="253" t="s">
        <v>41</v>
      </c>
      <c r="E3" s="251" t="s">
        <v>42</v>
      </c>
      <c r="F3" s="254" t="s">
        <v>43</v>
      </c>
      <c r="G3" s="255" t="s">
        <v>44</v>
      </c>
      <c r="H3" s="253" t="s">
        <v>45</v>
      </c>
      <c r="I3" s="253" t="s">
        <v>45</v>
      </c>
      <c r="J3" s="253" t="s">
        <v>46</v>
      </c>
      <c r="K3" s="253" t="s">
        <v>46</v>
      </c>
      <c r="L3" s="250">
        <v>3300</v>
      </c>
      <c r="M3" s="250">
        <v>0.16</v>
      </c>
      <c r="N3" s="250">
        <f t="shared" ref="N3:N8" si="0">ROUND(L3*M3,2)</f>
        <v>528</v>
      </c>
      <c r="O3" s="250">
        <v>0.08</v>
      </c>
      <c r="P3" s="250">
        <f t="shared" ref="P3:P8" si="1">ROUND(L3*O3,2)</f>
        <v>264</v>
      </c>
      <c r="Q3" s="250">
        <v>3300</v>
      </c>
      <c r="R3" s="250">
        <v>0.08</v>
      </c>
      <c r="S3" s="250">
        <f t="shared" ref="S3:S8" si="2">ROUND(Q3*R3,2)</f>
        <v>264</v>
      </c>
      <c r="T3" s="250">
        <v>0.02</v>
      </c>
      <c r="U3" s="250">
        <f t="shared" ref="U3:U8" si="3">ROUND(Q3*T3,2)</f>
        <v>66</v>
      </c>
      <c r="V3" s="250">
        <v>3300</v>
      </c>
      <c r="W3" s="250">
        <v>0.007</v>
      </c>
      <c r="X3" s="250">
        <f t="shared" ref="X3:X8" si="4">ROUND(V3*W3,2)</f>
        <v>23.1</v>
      </c>
      <c r="Y3" s="250">
        <v>0.003</v>
      </c>
      <c r="Z3" s="250">
        <f t="shared" ref="Z3:Z8" si="5">ROUND(V3*Y3,2)</f>
        <v>9.9</v>
      </c>
      <c r="AA3" s="250"/>
      <c r="AB3" s="250"/>
      <c r="AC3" s="250"/>
      <c r="AD3" s="250">
        <v>3300</v>
      </c>
      <c r="AE3" s="250">
        <v>0.002</v>
      </c>
      <c r="AF3" s="250">
        <f t="shared" ref="AF3:AF15" si="6">ROUND(AD3*AE3,2)</f>
        <v>6.6</v>
      </c>
      <c r="AG3" s="250">
        <v>3000</v>
      </c>
      <c r="AH3" s="250">
        <v>0.1</v>
      </c>
      <c r="AI3" s="250">
        <f>ROUND(AG3*AH3,2)</f>
        <v>300</v>
      </c>
      <c r="AJ3" s="250">
        <v>0.06</v>
      </c>
      <c r="AK3" s="250">
        <f>ROUND(AG3*AJ3,2)</f>
        <v>180</v>
      </c>
      <c r="AL3" s="288"/>
      <c r="AM3" s="250"/>
      <c r="AN3" s="250"/>
      <c r="AO3" s="250"/>
      <c r="AP3" s="251" t="s">
        <v>47</v>
      </c>
      <c r="AQ3" s="293">
        <v>5</v>
      </c>
      <c r="AR3" s="250"/>
      <c r="AS3" s="294">
        <f t="shared" ref="AS3:AS15" si="7">N3+S3+X3+AC3+AF3+AN3+AQ3</f>
        <v>826.7</v>
      </c>
      <c r="AT3" s="294">
        <f t="shared" ref="AT3:AT15" si="8">P3+U3+Z3</f>
        <v>339.9</v>
      </c>
      <c r="AU3" s="294">
        <f t="shared" ref="AU3:AU15" si="9">AI3</f>
        <v>300</v>
      </c>
      <c r="AV3" s="294">
        <f t="shared" ref="AV3:AV15" si="10">AK3</f>
        <v>180</v>
      </c>
      <c r="AW3" s="294">
        <f t="shared" ref="AW3:AW15" si="11">AV3+AS3+AT3+AU3</f>
        <v>1646.6</v>
      </c>
      <c r="AX3" s="303">
        <f t="shared" ref="AX3:AX15" si="12">AS3+AT3</f>
        <v>1166.6</v>
      </c>
      <c r="AY3" s="303"/>
      <c r="AZ3" s="303">
        <f t="shared" ref="AZ3:AZ8" si="13">AU3+AV3</f>
        <v>480</v>
      </c>
      <c r="BA3" s="303"/>
      <c r="BB3" s="304">
        <v>80</v>
      </c>
      <c r="BC3" s="303">
        <f t="shared" ref="BC3:BC15" si="14">AX3+AZ3+BB3</f>
        <v>1726.6</v>
      </c>
      <c r="BD3" s="305"/>
      <c r="BE3" s="319"/>
      <c r="BF3" s="320"/>
      <c r="BG3" s="320"/>
      <c r="BH3" s="321" t="s">
        <v>47</v>
      </c>
    </row>
    <row r="4" s="238" customFormat="1" ht="18" customHeight="1" spans="1:60">
      <c r="A4" s="250"/>
      <c r="B4" s="251" t="s">
        <v>39</v>
      </c>
      <c r="C4" s="252" t="s">
        <v>40</v>
      </c>
      <c r="D4" s="253" t="s">
        <v>41</v>
      </c>
      <c r="E4" s="251" t="s">
        <v>42</v>
      </c>
      <c r="F4" s="254" t="s">
        <v>43</v>
      </c>
      <c r="G4" s="255" t="s">
        <v>44</v>
      </c>
      <c r="H4" s="253" t="s">
        <v>45</v>
      </c>
      <c r="I4" s="253" t="s">
        <v>45</v>
      </c>
      <c r="J4" s="253" t="s">
        <v>48</v>
      </c>
      <c r="K4" s="253" t="s">
        <v>48</v>
      </c>
      <c r="L4" s="250">
        <v>3300</v>
      </c>
      <c r="M4" s="250">
        <v>0.16</v>
      </c>
      <c r="N4" s="250">
        <f t="shared" si="0"/>
        <v>528</v>
      </c>
      <c r="O4" s="250">
        <v>0.08</v>
      </c>
      <c r="P4" s="250">
        <f t="shared" si="1"/>
        <v>264</v>
      </c>
      <c r="Q4" s="250">
        <v>3300</v>
      </c>
      <c r="R4" s="250">
        <v>0.08</v>
      </c>
      <c r="S4" s="250">
        <f t="shared" si="2"/>
        <v>264</v>
      </c>
      <c r="T4" s="250">
        <v>0.02</v>
      </c>
      <c r="U4" s="250">
        <f t="shared" si="3"/>
        <v>66</v>
      </c>
      <c r="V4" s="250">
        <v>3300</v>
      </c>
      <c r="W4" s="250">
        <v>0.007</v>
      </c>
      <c r="X4" s="250">
        <f t="shared" si="4"/>
        <v>23.1</v>
      </c>
      <c r="Y4" s="250">
        <v>0.003</v>
      </c>
      <c r="Z4" s="250">
        <f t="shared" si="5"/>
        <v>9.9</v>
      </c>
      <c r="AA4" s="250"/>
      <c r="AB4" s="250"/>
      <c r="AC4" s="250"/>
      <c r="AD4" s="250">
        <v>3300</v>
      </c>
      <c r="AE4" s="250">
        <v>0.002</v>
      </c>
      <c r="AF4" s="250">
        <f t="shared" si="6"/>
        <v>6.6</v>
      </c>
      <c r="AG4" s="250">
        <v>3000</v>
      </c>
      <c r="AH4" s="250">
        <v>0.1</v>
      </c>
      <c r="AI4" s="250">
        <f>ROUND(AG4*AH4,2)</f>
        <v>300</v>
      </c>
      <c r="AJ4" s="250">
        <v>0.06</v>
      </c>
      <c r="AK4" s="250">
        <f>ROUND(AG4*AJ4,2)</f>
        <v>180</v>
      </c>
      <c r="AL4" s="288"/>
      <c r="AM4" s="250"/>
      <c r="AN4" s="250"/>
      <c r="AO4" s="250"/>
      <c r="AP4" s="251" t="s">
        <v>47</v>
      </c>
      <c r="AQ4" s="293">
        <v>5</v>
      </c>
      <c r="AR4" s="250"/>
      <c r="AS4" s="294">
        <f t="shared" si="7"/>
        <v>826.7</v>
      </c>
      <c r="AT4" s="294">
        <f t="shared" si="8"/>
        <v>339.9</v>
      </c>
      <c r="AU4" s="294">
        <f t="shared" si="9"/>
        <v>300</v>
      </c>
      <c r="AV4" s="294">
        <f t="shared" si="10"/>
        <v>180</v>
      </c>
      <c r="AW4" s="294">
        <f t="shared" si="11"/>
        <v>1646.6</v>
      </c>
      <c r="AX4" s="303">
        <f t="shared" si="12"/>
        <v>1166.6</v>
      </c>
      <c r="AY4" s="303"/>
      <c r="AZ4" s="303">
        <f t="shared" si="13"/>
        <v>480</v>
      </c>
      <c r="BA4" s="303"/>
      <c r="BB4" s="304">
        <v>80</v>
      </c>
      <c r="BC4" s="303">
        <f t="shared" si="14"/>
        <v>1726.6</v>
      </c>
      <c r="BD4" s="305"/>
      <c r="BE4" s="319"/>
      <c r="BF4" s="320"/>
      <c r="BG4" s="320"/>
      <c r="BH4" s="321" t="s">
        <v>47</v>
      </c>
    </row>
    <row r="5" s="238" customFormat="1" ht="18" customHeight="1" spans="1:60">
      <c r="A5" s="250"/>
      <c r="B5" s="251" t="s">
        <v>39</v>
      </c>
      <c r="C5" s="252" t="s">
        <v>40</v>
      </c>
      <c r="D5" s="253" t="s">
        <v>41</v>
      </c>
      <c r="E5" s="251" t="s">
        <v>42</v>
      </c>
      <c r="F5" s="254" t="s">
        <v>43</v>
      </c>
      <c r="G5" s="255" t="s">
        <v>44</v>
      </c>
      <c r="H5" s="253" t="s">
        <v>45</v>
      </c>
      <c r="I5" s="253" t="s">
        <v>45</v>
      </c>
      <c r="J5" s="253" t="s">
        <v>49</v>
      </c>
      <c r="K5" s="253" t="s">
        <v>49</v>
      </c>
      <c r="L5" s="250">
        <v>3300</v>
      </c>
      <c r="M5" s="250">
        <v>0.16</v>
      </c>
      <c r="N5" s="250">
        <f t="shared" si="0"/>
        <v>528</v>
      </c>
      <c r="O5" s="250">
        <v>0.08</v>
      </c>
      <c r="P5" s="250">
        <f t="shared" si="1"/>
        <v>264</v>
      </c>
      <c r="Q5" s="250">
        <v>3300</v>
      </c>
      <c r="R5" s="250">
        <v>0.08</v>
      </c>
      <c r="S5" s="250">
        <f t="shared" si="2"/>
        <v>264</v>
      </c>
      <c r="T5" s="250">
        <v>0.02</v>
      </c>
      <c r="U5" s="250">
        <f t="shared" si="3"/>
        <v>66</v>
      </c>
      <c r="V5" s="250">
        <v>3300</v>
      </c>
      <c r="W5" s="250">
        <v>0.007</v>
      </c>
      <c r="X5" s="250">
        <f t="shared" si="4"/>
        <v>23.1</v>
      </c>
      <c r="Y5" s="250">
        <v>0.003</v>
      </c>
      <c r="Z5" s="250">
        <f t="shared" si="5"/>
        <v>9.9</v>
      </c>
      <c r="AA5" s="250"/>
      <c r="AB5" s="250"/>
      <c r="AC5" s="250"/>
      <c r="AD5" s="250">
        <v>3300</v>
      </c>
      <c r="AE5" s="250">
        <v>0.002</v>
      </c>
      <c r="AF5" s="250">
        <f t="shared" si="6"/>
        <v>6.6</v>
      </c>
      <c r="AG5" s="250">
        <v>3000</v>
      </c>
      <c r="AH5" s="250">
        <v>0.1</v>
      </c>
      <c r="AI5" s="250">
        <f>ROUND(AG5*AH5,2)</f>
        <v>300</v>
      </c>
      <c r="AJ5" s="250">
        <v>0.06</v>
      </c>
      <c r="AK5" s="250">
        <f>ROUND(AG5*AJ5,2)</f>
        <v>180</v>
      </c>
      <c r="AL5" s="288"/>
      <c r="AM5" s="250"/>
      <c r="AN5" s="250"/>
      <c r="AO5" s="250"/>
      <c r="AP5" s="251" t="s">
        <v>47</v>
      </c>
      <c r="AQ5" s="293">
        <v>5</v>
      </c>
      <c r="AR5" s="250"/>
      <c r="AS5" s="294">
        <f t="shared" si="7"/>
        <v>826.7</v>
      </c>
      <c r="AT5" s="294">
        <f t="shared" si="8"/>
        <v>339.9</v>
      </c>
      <c r="AU5" s="294">
        <f t="shared" si="9"/>
        <v>300</v>
      </c>
      <c r="AV5" s="294">
        <f t="shared" si="10"/>
        <v>180</v>
      </c>
      <c r="AW5" s="294">
        <f t="shared" si="11"/>
        <v>1646.6</v>
      </c>
      <c r="AX5" s="303">
        <f t="shared" si="12"/>
        <v>1166.6</v>
      </c>
      <c r="AY5" s="303"/>
      <c r="AZ5" s="303">
        <f t="shared" si="13"/>
        <v>480</v>
      </c>
      <c r="BA5" s="303"/>
      <c r="BB5" s="304">
        <v>80</v>
      </c>
      <c r="BC5" s="303">
        <f t="shared" si="14"/>
        <v>1726.6</v>
      </c>
      <c r="BD5" s="305"/>
      <c r="BE5" s="319"/>
      <c r="BF5" s="320"/>
      <c r="BG5" s="320"/>
      <c r="BH5" s="321" t="s">
        <v>47</v>
      </c>
    </row>
    <row r="6" s="238" customFormat="1" ht="18" customHeight="1" spans="1:60">
      <c r="A6" s="250">
        <v>2</v>
      </c>
      <c r="B6" s="251" t="s">
        <v>39</v>
      </c>
      <c r="C6" s="252" t="s">
        <v>50</v>
      </c>
      <c r="D6" s="253" t="s">
        <v>41</v>
      </c>
      <c r="E6" s="251" t="s">
        <v>51</v>
      </c>
      <c r="F6" s="254" t="s">
        <v>52</v>
      </c>
      <c r="G6" s="324" t="s">
        <v>53</v>
      </c>
      <c r="H6" s="253" t="s">
        <v>45</v>
      </c>
      <c r="I6" s="253" t="s">
        <v>54</v>
      </c>
      <c r="J6" s="253" t="s">
        <v>46</v>
      </c>
      <c r="K6" s="253" t="s">
        <v>54</v>
      </c>
      <c r="L6" s="250">
        <v>3803</v>
      </c>
      <c r="M6" s="250">
        <v>0.14</v>
      </c>
      <c r="N6" s="250">
        <f t="shared" si="0"/>
        <v>532.42</v>
      </c>
      <c r="O6" s="250">
        <v>0.08</v>
      </c>
      <c r="P6" s="250">
        <f t="shared" si="1"/>
        <v>304.24</v>
      </c>
      <c r="Q6" s="250">
        <v>6175</v>
      </c>
      <c r="R6" s="250">
        <v>0.055</v>
      </c>
      <c r="S6" s="250">
        <f t="shared" si="2"/>
        <v>339.63</v>
      </c>
      <c r="T6" s="250">
        <v>0.02</v>
      </c>
      <c r="U6" s="250">
        <f t="shared" si="3"/>
        <v>123.5</v>
      </c>
      <c r="V6" s="250">
        <v>3803</v>
      </c>
      <c r="W6" s="250">
        <v>0.0032</v>
      </c>
      <c r="X6" s="250">
        <f t="shared" si="4"/>
        <v>12.17</v>
      </c>
      <c r="Y6" s="250">
        <v>0.002</v>
      </c>
      <c r="Z6" s="250">
        <f t="shared" si="5"/>
        <v>7.61</v>
      </c>
      <c r="AA6" s="250">
        <v>6175</v>
      </c>
      <c r="AB6" s="250">
        <v>0.0085</v>
      </c>
      <c r="AC6" s="250">
        <f t="shared" ref="AC6:AC8" si="15">ROUND(AA6*AB6,2)</f>
        <v>52.49</v>
      </c>
      <c r="AD6" s="250">
        <v>3803</v>
      </c>
      <c r="AE6" s="250">
        <v>0.0016</v>
      </c>
      <c r="AF6" s="250">
        <f t="shared" si="6"/>
        <v>6.08</v>
      </c>
      <c r="AG6" s="250"/>
      <c r="AH6" s="250"/>
      <c r="AI6" s="250"/>
      <c r="AJ6" s="250"/>
      <c r="AK6" s="250"/>
      <c r="AL6" s="288"/>
      <c r="AM6" s="250"/>
      <c r="AN6" s="250"/>
      <c r="AO6" s="250"/>
      <c r="AP6" s="251"/>
      <c r="AQ6" s="293">
        <v>26.76</v>
      </c>
      <c r="AR6" s="250"/>
      <c r="AS6" s="294">
        <f t="shared" si="7"/>
        <v>969.55</v>
      </c>
      <c r="AT6" s="294">
        <f t="shared" si="8"/>
        <v>435.35</v>
      </c>
      <c r="AU6" s="294">
        <f t="shared" si="9"/>
        <v>0</v>
      </c>
      <c r="AV6" s="294">
        <f t="shared" si="10"/>
        <v>0</v>
      </c>
      <c r="AW6" s="294">
        <f t="shared" si="11"/>
        <v>1404.9</v>
      </c>
      <c r="AX6" s="303">
        <f t="shared" si="12"/>
        <v>1404.9</v>
      </c>
      <c r="AY6" s="303"/>
      <c r="AZ6" s="303">
        <f t="shared" si="13"/>
        <v>0</v>
      </c>
      <c r="BA6" s="303"/>
      <c r="BB6" s="304">
        <v>80</v>
      </c>
      <c r="BC6" s="303">
        <f t="shared" si="14"/>
        <v>1484.9</v>
      </c>
      <c r="BD6" s="305"/>
      <c r="BE6" s="322"/>
      <c r="BF6" s="322"/>
      <c r="BG6" s="322"/>
      <c r="BH6" s="322"/>
    </row>
    <row r="7" s="238" customFormat="1" ht="18" customHeight="1" spans="1:60">
      <c r="A7" s="250"/>
      <c r="B7" s="251" t="s">
        <v>39</v>
      </c>
      <c r="C7" s="252" t="s">
        <v>50</v>
      </c>
      <c r="D7" s="253" t="s">
        <v>41</v>
      </c>
      <c r="E7" s="251" t="s">
        <v>51</v>
      </c>
      <c r="F7" s="254" t="s">
        <v>52</v>
      </c>
      <c r="G7" s="324" t="s">
        <v>53</v>
      </c>
      <c r="H7" s="253" t="s">
        <v>45</v>
      </c>
      <c r="I7" s="253" t="s">
        <v>54</v>
      </c>
      <c r="J7" s="253" t="s">
        <v>48</v>
      </c>
      <c r="K7" s="253" t="s">
        <v>54</v>
      </c>
      <c r="L7" s="250">
        <v>3803</v>
      </c>
      <c r="M7" s="250">
        <v>0.14</v>
      </c>
      <c r="N7" s="250">
        <f t="shared" si="0"/>
        <v>532.42</v>
      </c>
      <c r="O7" s="250">
        <v>0.08</v>
      </c>
      <c r="P7" s="250">
        <f t="shared" si="1"/>
        <v>304.24</v>
      </c>
      <c r="Q7" s="250">
        <v>6175</v>
      </c>
      <c r="R7" s="250">
        <v>0.055</v>
      </c>
      <c r="S7" s="250">
        <f t="shared" si="2"/>
        <v>339.63</v>
      </c>
      <c r="T7" s="250">
        <v>0.02</v>
      </c>
      <c r="U7" s="250">
        <f t="shared" si="3"/>
        <v>123.5</v>
      </c>
      <c r="V7" s="250">
        <v>3803</v>
      </c>
      <c r="W7" s="250">
        <v>0.0032</v>
      </c>
      <c r="X7" s="250">
        <f t="shared" si="4"/>
        <v>12.17</v>
      </c>
      <c r="Y7" s="250">
        <v>0.002</v>
      </c>
      <c r="Z7" s="250">
        <f t="shared" si="5"/>
        <v>7.61</v>
      </c>
      <c r="AA7" s="250">
        <v>6175</v>
      </c>
      <c r="AB7" s="250">
        <v>0.0085</v>
      </c>
      <c r="AC7" s="250">
        <f t="shared" si="15"/>
        <v>52.49</v>
      </c>
      <c r="AD7" s="250">
        <v>3803</v>
      </c>
      <c r="AE7" s="250">
        <v>0.0016</v>
      </c>
      <c r="AF7" s="250">
        <f t="shared" si="6"/>
        <v>6.08</v>
      </c>
      <c r="AG7" s="250"/>
      <c r="AH7" s="250"/>
      <c r="AI7" s="250"/>
      <c r="AJ7" s="250"/>
      <c r="AK7" s="250"/>
      <c r="AL7" s="288"/>
      <c r="AM7" s="250"/>
      <c r="AN7" s="250"/>
      <c r="AO7" s="250"/>
      <c r="AP7" s="251"/>
      <c r="AQ7" s="293">
        <v>26.76</v>
      </c>
      <c r="AR7" s="250"/>
      <c r="AS7" s="294">
        <f t="shared" si="7"/>
        <v>969.55</v>
      </c>
      <c r="AT7" s="294">
        <f t="shared" si="8"/>
        <v>435.35</v>
      </c>
      <c r="AU7" s="294">
        <f t="shared" si="9"/>
        <v>0</v>
      </c>
      <c r="AV7" s="294">
        <f t="shared" si="10"/>
        <v>0</v>
      </c>
      <c r="AW7" s="294">
        <f t="shared" si="11"/>
        <v>1404.9</v>
      </c>
      <c r="AX7" s="303">
        <f t="shared" si="12"/>
        <v>1404.9</v>
      </c>
      <c r="AY7" s="303"/>
      <c r="AZ7" s="303">
        <f t="shared" si="13"/>
        <v>0</v>
      </c>
      <c r="BA7" s="303"/>
      <c r="BB7" s="304">
        <v>80</v>
      </c>
      <c r="BC7" s="303">
        <f t="shared" si="14"/>
        <v>1484.9</v>
      </c>
      <c r="BD7" s="305"/>
      <c r="BE7" s="322"/>
      <c r="BF7" s="322"/>
      <c r="BG7" s="322"/>
      <c r="BH7" s="322"/>
    </row>
    <row r="8" s="238" customFormat="1" ht="18" customHeight="1" spans="1:60">
      <c r="A8" s="250"/>
      <c r="B8" s="251" t="s">
        <v>39</v>
      </c>
      <c r="C8" s="252" t="s">
        <v>50</v>
      </c>
      <c r="D8" s="253" t="s">
        <v>41</v>
      </c>
      <c r="E8" s="251" t="s">
        <v>51</v>
      </c>
      <c r="F8" s="254" t="s">
        <v>52</v>
      </c>
      <c r="G8" s="324" t="s">
        <v>53</v>
      </c>
      <c r="H8" s="253" t="s">
        <v>45</v>
      </c>
      <c r="I8" s="253" t="s">
        <v>54</v>
      </c>
      <c r="J8" s="253" t="s">
        <v>49</v>
      </c>
      <c r="K8" s="253" t="s">
        <v>54</v>
      </c>
      <c r="L8" s="250">
        <v>3803</v>
      </c>
      <c r="M8" s="250">
        <v>0.14</v>
      </c>
      <c r="N8" s="250">
        <f t="shared" si="0"/>
        <v>532.42</v>
      </c>
      <c r="O8" s="250">
        <v>0.08</v>
      </c>
      <c r="P8" s="250">
        <f t="shared" si="1"/>
        <v>304.24</v>
      </c>
      <c r="Q8" s="250">
        <v>6175</v>
      </c>
      <c r="R8" s="250">
        <v>0.055</v>
      </c>
      <c r="S8" s="250">
        <f t="shared" si="2"/>
        <v>339.63</v>
      </c>
      <c r="T8" s="250">
        <v>0.02</v>
      </c>
      <c r="U8" s="250">
        <f t="shared" si="3"/>
        <v>123.5</v>
      </c>
      <c r="V8" s="250">
        <v>3803</v>
      </c>
      <c r="W8" s="250">
        <v>0.0032</v>
      </c>
      <c r="X8" s="250">
        <f t="shared" si="4"/>
        <v>12.17</v>
      </c>
      <c r="Y8" s="250">
        <v>0.002</v>
      </c>
      <c r="Z8" s="250">
        <f t="shared" si="5"/>
        <v>7.61</v>
      </c>
      <c r="AA8" s="250">
        <v>6175</v>
      </c>
      <c r="AB8" s="250">
        <v>0.0085</v>
      </c>
      <c r="AC8" s="250">
        <f t="shared" si="15"/>
        <v>52.49</v>
      </c>
      <c r="AD8" s="250">
        <v>3803</v>
      </c>
      <c r="AE8" s="250">
        <v>0.0016</v>
      </c>
      <c r="AF8" s="250">
        <f t="shared" si="6"/>
        <v>6.08</v>
      </c>
      <c r="AG8" s="250"/>
      <c r="AH8" s="250"/>
      <c r="AI8" s="250"/>
      <c r="AJ8" s="250"/>
      <c r="AK8" s="250"/>
      <c r="AL8" s="288"/>
      <c r="AM8" s="250"/>
      <c r="AN8" s="250"/>
      <c r="AO8" s="250"/>
      <c r="AP8" s="251"/>
      <c r="AQ8" s="293">
        <v>26.76</v>
      </c>
      <c r="AR8" s="250"/>
      <c r="AS8" s="294">
        <f t="shared" si="7"/>
        <v>969.55</v>
      </c>
      <c r="AT8" s="294">
        <f t="shared" si="8"/>
        <v>435.35</v>
      </c>
      <c r="AU8" s="294">
        <f t="shared" si="9"/>
        <v>0</v>
      </c>
      <c r="AV8" s="294">
        <f t="shared" si="10"/>
        <v>0</v>
      </c>
      <c r="AW8" s="294">
        <f t="shared" si="11"/>
        <v>1404.9</v>
      </c>
      <c r="AX8" s="303">
        <f t="shared" si="12"/>
        <v>1404.9</v>
      </c>
      <c r="AY8" s="303"/>
      <c r="AZ8" s="303">
        <f t="shared" si="13"/>
        <v>0</v>
      </c>
      <c r="BA8" s="303"/>
      <c r="BB8" s="304">
        <v>80</v>
      </c>
      <c r="BC8" s="303">
        <f t="shared" si="14"/>
        <v>1484.9</v>
      </c>
      <c r="BD8" s="305"/>
      <c r="BE8" s="322"/>
      <c r="BF8" s="322"/>
      <c r="BG8" s="322"/>
      <c r="BH8" s="322"/>
    </row>
    <row r="9" s="239" customFormat="1" ht="18" customHeight="1" spans="1:60">
      <c r="A9" s="256" t="s">
        <v>55</v>
      </c>
      <c r="B9" s="257" t="s">
        <v>39</v>
      </c>
      <c r="C9" s="258" t="s">
        <v>50</v>
      </c>
      <c r="D9" s="259" t="s">
        <v>41</v>
      </c>
      <c r="E9" s="257" t="s">
        <v>51</v>
      </c>
      <c r="F9" s="260" t="s">
        <v>52</v>
      </c>
      <c r="G9" s="325" t="s">
        <v>53</v>
      </c>
      <c r="H9" s="259" t="s">
        <v>45</v>
      </c>
      <c r="I9" s="259" t="s">
        <v>54</v>
      </c>
      <c r="J9" s="259" t="s">
        <v>56</v>
      </c>
      <c r="K9" s="259" t="s">
        <v>54</v>
      </c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87">
        <f t="shared" ref="AD9:AD11" si="16">3803-3000</f>
        <v>803</v>
      </c>
      <c r="AE9" s="287">
        <v>0.0016</v>
      </c>
      <c r="AF9" s="287">
        <f t="shared" si="6"/>
        <v>1.28</v>
      </c>
      <c r="AG9" s="256"/>
      <c r="AH9" s="256"/>
      <c r="AI9" s="256"/>
      <c r="AJ9" s="256"/>
      <c r="AK9" s="256"/>
      <c r="AL9" s="289"/>
      <c r="AM9" s="256"/>
      <c r="AN9" s="256"/>
      <c r="AO9" s="256"/>
      <c r="AP9" s="257"/>
      <c r="AQ9" s="295"/>
      <c r="AR9" s="256"/>
      <c r="AS9" s="296">
        <f t="shared" si="7"/>
        <v>1.28</v>
      </c>
      <c r="AT9" s="296">
        <f t="shared" si="8"/>
        <v>0</v>
      </c>
      <c r="AU9" s="296">
        <f t="shared" si="9"/>
        <v>0</v>
      </c>
      <c r="AV9" s="296">
        <f t="shared" si="10"/>
        <v>0</v>
      </c>
      <c r="AW9" s="296">
        <f t="shared" si="11"/>
        <v>1.28</v>
      </c>
      <c r="AX9" s="306">
        <f t="shared" si="12"/>
        <v>1.28</v>
      </c>
      <c r="AY9" s="306"/>
      <c r="AZ9" s="306"/>
      <c r="BA9" s="306"/>
      <c r="BB9" s="307"/>
      <c r="BC9" s="306">
        <f t="shared" si="14"/>
        <v>1.28</v>
      </c>
      <c r="BD9" s="308" t="s">
        <v>57</v>
      </c>
      <c r="BE9" s="323"/>
      <c r="BF9" s="323"/>
      <c r="BG9" s="323"/>
      <c r="BH9" s="323"/>
    </row>
    <row r="10" s="239" customFormat="1" ht="18" customHeight="1" spans="1:60">
      <c r="A10" s="256" t="s">
        <v>55</v>
      </c>
      <c r="B10" s="257" t="s">
        <v>39</v>
      </c>
      <c r="C10" s="258" t="s">
        <v>50</v>
      </c>
      <c r="D10" s="259" t="s">
        <v>41</v>
      </c>
      <c r="E10" s="257" t="s">
        <v>51</v>
      </c>
      <c r="F10" s="260" t="s">
        <v>52</v>
      </c>
      <c r="G10" s="325" t="s">
        <v>53</v>
      </c>
      <c r="H10" s="259" t="s">
        <v>45</v>
      </c>
      <c r="I10" s="259" t="s">
        <v>54</v>
      </c>
      <c r="J10" s="259" t="s">
        <v>58</v>
      </c>
      <c r="K10" s="259" t="s">
        <v>54</v>
      </c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87">
        <f t="shared" si="16"/>
        <v>803</v>
      </c>
      <c r="AE10" s="287">
        <v>0.0016</v>
      </c>
      <c r="AF10" s="287">
        <f t="shared" si="6"/>
        <v>1.28</v>
      </c>
      <c r="AG10" s="256"/>
      <c r="AH10" s="256"/>
      <c r="AI10" s="256"/>
      <c r="AJ10" s="256"/>
      <c r="AK10" s="256"/>
      <c r="AL10" s="289"/>
      <c r="AM10" s="256"/>
      <c r="AN10" s="256"/>
      <c r="AO10" s="256"/>
      <c r="AP10" s="257"/>
      <c r="AQ10" s="295"/>
      <c r="AR10" s="256"/>
      <c r="AS10" s="296">
        <f t="shared" si="7"/>
        <v>1.28</v>
      </c>
      <c r="AT10" s="296">
        <f t="shared" si="8"/>
        <v>0</v>
      </c>
      <c r="AU10" s="296">
        <f t="shared" si="9"/>
        <v>0</v>
      </c>
      <c r="AV10" s="296">
        <f t="shared" si="10"/>
        <v>0</v>
      </c>
      <c r="AW10" s="296">
        <f t="shared" si="11"/>
        <v>1.28</v>
      </c>
      <c r="AX10" s="306">
        <f t="shared" si="12"/>
        <v>1.28</v>
      </c>
      <c r="AY10" s="306"/>
      <c r="AZ10" s="306"/>
      <c r="BA10" s="306"/>
      <c r="BB10" s="307"/>
      <c r="BC10" s="306">
        <f t="shared" si="14"/>
        <v>1.28</v>
      </c>
      <c r="BD10" s="308" t="s">
        <v>57</v>
      </c>
      <c r="BE10" s="323"/>
      <c r="BF10" s="323"/>
      <c r="BG10" s="323"/>
      <c r="BH10" s="323"/>
    </row>
    <row r="11" s="239" customFormat="1" ht="18" customHeight="1" spans="1:60">
      <c r="A11" s="256" t="s">
        <v>55</v>
      </c>
      <c r="B11" s="257" t="s">
        <v>39</v>
      </c>
      <c r="C11" s="258" t="s">
        <v>50</v>
      </c>
      <c r="D11" s="259" t="s">
        <v>41</v>
      </c>
      <c r="E11" s="257" t="s">
        <v>51</v>
      </c>
      <c r="F11" s="260" t="s">
        <v>52</v>
      </c>
      <c r="G11" s="325" t="s">
        <v>53</v>
      </c>
      <c r="H11" s="259" t="s">
        <v>45</v>
      </c>
      <c r="I11" s="259" t="s">
        <v>54</v>
      </c>
      <c r="J11" s="259" t="s">
        <v>59</v>
      </c>
      <c r="K11" s="259" t="s">
        <v>54</v>
      </c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87">
        <f t="shared" si="16"/>
        <v>803</v>
      </c>
      <c r="AE11" s="287">
        <v>0.0016</v>
      </c>
      <c r="AF11" s="287">
        <f t="shared" si="6"/>
        <v>1.28</v>
      </c>
      <c r="AG11" s="256"/>
      <c r="AH11" s="256"/>
      <c r="AI11" s="256"/>
      <c r="AJ11" s="256"/>
      <c r="AK11" s="256"/>
      <c r="AL11" s="289"/>
      <c r="AM11" s="256"/>
      <c r="AN11" s="256"/>
      <c r="AO11" s="256"/>
      <c r="AP11" s="257"/>
      <c r="AQ11" s="295"/>
      <c r="AR11" s="256"/>
      <c r="AS11" s="296">
        <f t="shared" si="7"/>
        <v>1.28</v>
      </c>
      <c r="AT11" s="296">
        <f t="shared" si="8"/>
        <v>0</v>
      </c>
      <c r="AU11" s="296">
        <f t="shared" si="9"/>
        <v>0</v>
      </c>
      <c r="AV11" s="296">
        <f t="shared" si="10"/>
        <v>0</v>
      </c>
      <c r="AW11" s="296">
        <f t="shared" si="11"/>
        <v>1.28</v>
      </c>
      <c r="AX11" s="306">
        <f t="shared" si="12"/>
        <v>1.28</v>
      </c>
      <c r="AY11" s="306"/>
      <c r="AZ11" s="306"/>
      <c r="BA11" s="306"/>
      <c r="BB11" s="307"/>
      <c r="BC11" s="306">
        <f t="shared" si="14"/>
        <v>1.28</v>
      </c>
      <c r="BD11" s="308" t="s">
        <v>57</v>
      </c>
      <c r="BE11" s="323"/>
      <c r="BF11" s="323"/>
      <c r="BG11" s="323"/>
      <c r="BH11" s="323"/>
    </row>
    <row r="12" s="238" customFormat="1" ht="18" customHeight="1" spans="1:60">
      <c r="A12" s="250">
        <v>3</v>
      </c>
      <c r="B12" s="251" t="s">
        <v>39</v>
      </c>
      <c r="C12" s="252" t="s">
        <v>60</v>
      </c>
      <c r="D12" s="253" t="s">
        <v>41</v>
      </c>
      <c r="E12" s="251" t="s">
        <v>51</v>
      </c>
      <c r="F12" s="254" t="s">
        <v>61</v>
      </c>
      <c r="G12" s="255" t="s">
        <v>62</v>
      </c>
      <c r="H12" s="253" t="s">
        <v>63</v>
      </c>
      <c r="I12" s="253" t="s">
        <v>63</v>
      </c>
      <c r="J12" s="253" t="s">
        <v>48</v>
      </c>
      <c r="K12" s="253" t="s">
        <v>48</v>
      </c>
      <c r="L12" s="250">
        <v>3053.05</v>
      </c>
      <c r="M12" s="250">
        <v>0.16</v>
      </c>
      <c r="N12" s="250">
        <f t="shared" ref="N12:N15" si="17">ROUND(L12*M12,2)</f>
        <v>488.49</v>
      </c>
      <c r="O12" s="250">
        <v>0.08</v>
      </c>
      <c r="P12" s="250">
        <f t="shared" ref="P12:P15" si="18">ROUND(L12*O12,2)</f>
        <v>244.24</v>
      </c>
      <c r="Q12" s="250">
        <v>3053.05</v>
      </c>
      <c r="R12" s="250">
        <v>0.06</v>
      </c>
      <c r="S12" s="250">
        <f t="shared" ref="S12:S15" si="19">ROUND(Q12*R12,2)</f>
        <v>183.18</v>
      </c>
      <c r="T12" s="250">
        <v>0.02</v>
      </c>
      <c r="U12" s="250">
        <f t="shared" ref="U12:U15" si="20">ROUND(Q12*T12,2)</f>
        <v>61.06</v>
      </c>
      <c r="V12" s="250">
        <v>3053.05</v>
      </c>
      <c r="W12" s="250">
        <v>0.007</v>
      </c>
      <c r="X12" s="250">
        <f t="shared" ref="X12:X15" si="21">ROUND(V12*W12,2)</f>
        <v>21.37</v>
      </c>
      <c r="Y12" s="250">
        <v>0.003</v>
      </c>
      <c r="Z12" s="250">
        <f t="shared" ref="Z12:Z15" si="22">ROUND(V12*Y12,2)</f>
        <v>9.16</v>
      </c>
      <c r="AA12" s="250">
        <v>3053.05</v>
      </c>
      <c r="AB12" s="250">
        <v>0.007</v>
      </c>
      <c r="AC12" s="250">
        <f t="shared" ref="AC12:AC15" si="23">ROUND(AA12*AB12,2)</f>
        <v>21.37</v>
      </c>
      <c r="AD12" s="250">
        <v>3053.05</v>
      </c>
      <c r="AE12" s="250">
        <v>0.002</v>
      </c>
      <c r="AF12" s="250">
        <f t="shared" si="6"/>
        <v>6.11</v>
      </c>
      <c r="AG12" s="250" t="s">
        <v>64</v>
      </c>
      <c r="AH12" s="250">
        <v>0.05</v>
      </c>
      <c r="AI12" s="250">
        <f t="shared" ref="AI12:AI15" si="24">ROUND(AG12*AH12,2)</f>
        <v>79</v>
      </c>
      <c r="AJ12" s="250">
        <v>0.05</v>
      </c>
      <c r="AK12" s="250">
        <f t="shared" ref="AK12:AK15" si="25">ROUND(AG12*AJ12,2)</f>
        <v>79</v>
      </c>
      <c r="AL12" s="288"/>
      <c r="AM12" s="250"/>
      <c r="AN12" s="250"/>
      <c r="AO12" s="250"/>
      <c r="AP12" s="251"/>
      <c r="AQ12" s="293"/>
      <c r="AR12" s="250">
        <v>96</v>
      </c>
      <c r="AS12" s="294">
        <f t="shared" si="7"/>
        <v>720.52</v>
      </c>
      <c r="AT12" s="294">
        <f t="shared" si="8"/>
        <v>314.46</v>
      </c>
      <c r="AU12" s="294">
        <f t="shared" si="9"/>
        <v>79</v>
      </c>
      <c r="AV12" s="294">
        <f t="shared" si="10"/>
        <v>79</v>
      </c>
      <c r="AW12" s="294">
        <f t="shared" si="11"/>
        <v>1192.98</v>
      </c>
      <c r="AX12" s="303">
        <f t="shared" si="12"/>
        <v>1034.98</v>
      </c>
      <c r="AY12" s="303"/>
      <c r="AZ12" s="303">
        <f t="shared" ref="AZ12:AZ15" si="26">AU12+AV12</f>
        <v>158</v>
      </c>
      <c r="BA12" s="303"/>
      <c r="BB12" s="304">
        <v>80</v>
      </c>
      <c r="BC12" s="303">
        <f t="shared" si="14"/>
        <v>1272.98</v>
      </c>
      <c r="BD12" s="305"/>
      <c r="BE12" s="322"/>
      <c r="BF12" s="322"/>
      <c r="BG12" s="322"/>
      <c r="BH12" s="322"/>
    </row>
    <row r="13" s="238" customFormat="1" ht="18" customHeight="1" spans="1:60">
      <c r="A13" s="250"/>
      <c r="B13" s="251" t="s">
        <v>39</v>
      </c>
      <c r="C13" s="252" t="s">
        <v>60</v>
      </c>
      <c r="D13" s="253" t="s">
        <v>41</v>
      </c>
      <c r="E13" s="251" t="s">
        <v>51</v>
      </c>
      <c r="F13" s="254" t="s">
        <v>61</v>
      </c>
      <c r="G13" s="255" t="s">
        <v>62</v>
      </c>
      <c r="H13" s="253" t="s">
        <v>63</v>
      </c>
      <c r="I13" s="253" t="s">
        <v>63</v>
      </c>
      <c r="J13" s="253" t="s">
        <v>49</v>
      </c>
      <c r="K13" s="253" t="s">
        <v>49</v>
      </c>
      <c r="L13" s="250">
        <v>3053.05</v>
      </c>
      <c r="M13" s="250">
        <v>0.16</v>
      </c>
      <c r="N13" s="250">
        <f t="shared" si="17"/>
        <v>488.49</v>
      </c>
      <c r="O13" s="250">
        <v>0.08</v>
      </c>
      <c r="P13" s="250">
        <f t="shared" si="18"/>
        <v>244.24</v>
      </c>
      <c r="Q13" s="250">
        <v>3053.05</v>
      </c>
      <c r="R13" s="250">
        <v>0.06</v>
      </c>
      <c r="S13" s="250">
        <f t="shared" si="19"/>
        <v>183.18</v>
      </c>
      <c r="T13" s="250">
        <v>0.02</v>
      </c>
      <c r="U13" s="250">
        <f t="shared" si="20"/>
        <v>61.06</v>
      </c>
      <c r="V13" s="250">
        <v>3053.05</v>
      </c>
      <c r="W13" s="250">
        <v>0.007</v>
      </c>
      <c r="X13" s="250">
        <f t="shared" si="21"/>
        <v>21.37</v>
      </c>
      <c r="Y13" s="250">
        <v>0.003</v>
      </c>
      <c r="Z13" s="250">
        <f t="shared" si="22"/>
        <v>9.16</v>
      </c>
      <c r="AA13" s="250">
        <v>3053.05</v>
      </c>
      <c r="AB13" s="250">
        <v>0.007</v>
      </c>
      <c r="AC13" s="250">
        <f t="shared" si="23"/>
        <v>21.37</v>
      </c>
      <c r="AD13" s="250">
        <v>3053.05</v>
      </c>
      <c r="AE13" s="250">
        <v>0.002</v>
      </c>
      <c r="AF13" s="250">
        <f t="shared" si="6"/>
        <v>6.11</v>
      </c>
      <c r="AG13" s="250" t="s">
        <v>64</v>
      </c>
      <c r="AH13" s="250">
        <v>0.05</v>
      </c>
      <c r="AI13" s="250">
        <f t="shared" si="24"/>
        <v>79</v>
      </c>
      <c r="AJ13" s="250">
        <v>0.05</v>
      </c>
      <c r="AK13" s="250">
        <f t="shared" si="25"/>
        <v>79</v>
      </c>
      <c r="AL13" s="288"/>
      <c r="AM13" s="250"/>
      <c r="AN13" s="250"/>
      <c r="AO13" s="250"/>
      <c r="AP13" s="251"/>
      <c r="AQ13" s="293"/>
      <c r="AR13" s="293"/>
      <c r="AS13" s="294">
        <f t="shared" si="7"/>
        <v>720.52</v>
      </c>
      <c r="AT13" s="294">
        <f t="shared" si="8"/>
        <v>314.46</v>
      </c>
      <c r="AU13" s="294">
        <f t="shared" si="9"/>
        <v>79</v>
      </c>
      <c r="AV13" s="294">
        <f t="shared" si="10"/>
        <v>79</v>
      </c>
      <c r="AW13" s="294">
        <f t="shared" si="11"/>
        <v>1192.98</v>
      </c>
      <c r="AX13" s="303">
        <f t="shared" si="12"/>
        <v>1034.98</v>
      </c>
      <c r="AY13" s="303"/>
      <c r="AZ13" s="303">
        <f t="shared" si="26"/>
        <v>158</v>
      </c>
      <c r="BA13" s="303"/>
      <c r="BB13" s="304">
        <v>80</v>
      </c>
      <c r="BC13" s="303">
        <f t="shared" si="14"/>
        <v>1272.98</v>
      </c>
      <c r="BD13" s="305"/>
      <c r="BE13" s="322"/>
      <c r="BF13" s="322"/>
      <c r="BG13" s="322"/>
      <c r="BH13" s="322"/>
    </row>
    <row r="14" s="238" customFormat="1" ht="18" customHeight="1" spans="1:60">
      <c r="A14" s="250"/>
      <c r="B14" s="251" t="s">
        <v>39</v>
      </c>
      <c r="C14" s="252" t="s">
        <v>60</v>
      </c>
      <c r="D14" s="253" t="s">
        <v>41</v>
      </c>
      <c r="E14" s="251" t="s">
        <v>51</v>
      </c>
      <c r="F14" s="254" t="s">
        <v>61</v>
      </c>
      <c r="G14" s="255" t="s">
        <v>62</v>
      </c>
      <c r="H14" s="253" t="s">
        <v>63</v>
      </c>
      <c r="I14" s="253" t="s">
        <v>63</v>
      </c>
      <c r="J14" s="253" t="s">
        <v>65</v>
      </c>
      <c r="K14" s="253" t="s">
        <v>65</v>
      </c>
      <c r="L14" s="250">
        <v>3053.05</v>
      </c>
      <c r="M14" s="250">
        <v>0.16</v>
      </c>
      <c r="N14" s="250">
        <f t="shared" si="17"/>
        <v>488.49</v>
      </c>
      <c r="O14" s="250">
        <v>0.08</v>
      </c>
      <c r="P14" s="250">
        <f t="shared" si="18"/>
        <v>244.24</v>
      </c>
      <c r="Q14" s="250">
        <v>3053.05</v>
      </c>
      <c r="R14" s="250">
        <v>0.06</v>
      </c>
      <c r="S14" s="250">
        <f t="shared" si="19"/>
        <v>183.18</v>
      </c>
      <c r="T14" s="250">
        <v>0.02</v>
      </c>
      <c r="U14" s="250">
        <f t="shared" si="20"/>
        <v>61.06</v>
      </c>
      <c r="V14" s="250">
        <v>3053.05</v>
      </c>
      <c r="W14" s="250">
        <v>0.007</v>
      </c>
      <c r="X14" s="250">
        <f t="shared" si="21"/>
        <v>21.37</v>
      </c>
      <c r="Y14" s="250">
        <v>0.003</v>
      </c>
      <c r="Z14" s="250">
        <f t="shared" si="22"/>
        <v>9.16</v>
      </c>
      <c r="AA14" s="250">
        <v>3053.05</v>
      </c>
      <c r="AB14" s="250">
        <v>0.007</v>
      </c>
      <c r="AC14" s="250">
        <f t="shared" si="23"/>
        <v>21.37</v>
      </c>
      <c r="AD14" s="250">
        <v>3053.05</v>
      </c>
      <c r="AE14" s="250">
        <v>0.002</v>
      </c>
      <c r="AF14" s="250">
        <f t="shared" si="6"/>
        <v>6.11</v>
      </c>
      <c r="AG14" s="250" t="s">
        <v>64</v>
      </c>
      <c r="AH14" s="250">
        <v>0.05</v>
      </c>
      <c r="AI14" s="250">
        <f t="shared" si="24"/>
        <v>79</v>
      </c>
      <c r="AJ14" s="250">
        <v>0.05</v>
      </c>
      <c r="AK14" s="250">
        <f t="shared" si="25"/>
        <v>79</v>
      </c>
      <c r="AL14" s="288"/>
      <c r="AM14" s="250"/>
      <c r="AN14" s="250"/>
      <c r="AO14" s="250"/>
      <c r="AP14" s="251"/>
      <c r="AQ14" s="293"/>
      <c r="AR14" s="293"/>
      <c r="AS14" s="294">
        <f t="shared" si="7"/>
        <v>720.52</v>
      </c>
      <c r="AT14" s="294">
        <f t="shared" si="8"/>
        <v>314.46</v>
      </c>
      <c r="AU14" s="294">
        <f t="shared" si="9"/>
        <v>79</v>
      </c>
      <c r="AV14" s="294">
        <f t="shared" si="10"/>
        <v>79</v>
      </c>
      <c r="AW14" s="294">
        <f t="shared" si="11"/>
        <v>1192.98</v>
      </c>
      <c r="AX14" s="303">
        <f t="shared" si="12"/>
        <v>1034.98</v>
      </c>
      <c r="AY14" s="303"/>
      <c r="AZ14" s="303">
        <f t="shared" si="26"/>
        <v>158</v>
      </c>
      <c r="BA14" s="303"/>
      <c r="BB14" s="304">
        <v>80</v>
      </c>
      <c r="BC14" s="303">
        <f t="shared" si="14"/>
        <v>1272.98</v>
      </c>
      <c r="BD14" s="305"/>
      <c r="BE14" s="322"/>
      <c r="BF14" s="322"/>
      <c r="BG14" s="322"/>
      <c r="BH14" s="322"/>
    </row>
    <row r="15" s="239" customFormat="1" ht="18" customHeight="1" spans="1:60">
      <c r="A15" s="256" t="s">
        <v>55</v>
      </c>
      <c r="B15" s="257" t="s">
        <v>39</v>
      </c>
      <c r="C15" s="258" t="s">
        <v>60</v>
      </c>
      <c r="D15" s="259" t="s">
        <v>41</v>
      </c>
      <c r="E15" s="257" t="s">
        <v>51</v>
      </c>
      <c r="F15" s="260" t="s">
        <v>61</v>
      </c>
      <c r="G15" s="261" t="s">
        <v>62</v>
      </c>
      <c r="H15" s="259" t="s">
        <v>63</v>
      </c>
      <c r="I15" s="259" t="s">
        <v>63</v>
      </c>
      <c r="J15" s="259" t="s">
        <v>63</v>
      </c>
      <c r="K15" s="259" t="s">
        <v>63</v>
      </c>
      <c r="L15" s="256">
        <v>3053.05</v>
      </c>
      <c r="M15" s="256">
        <v>0.16</v>
      </c>
      <c r="N15" s="256">
        <f t="shared" si="17"/>
        <v>488.49</v>
      </c>
      <c r="O15" s="256">
        <v>0.08</v>
      </c>
      <c r="P15" s="256">
        <f t="shared" si="18"/>
        <v>244.24</v>
      </c>
      <c r="Q15" s="256">
        <v>3053.05</v>
      </c>
      <c r="R15" s="256">
        <v>0.06</v>
      </c>
      <c r="S15" s="256">
        <f t="shared" si="19"/>
        <v>183.18</v>
      </c>
      <c r="T15" s="256">
        <v>0.02</v>
      </c>
      <c r="U15" s="256">
        <f t="shared" si="20"/>
        <v>61.06</v>
      </c>
      <c r="V15" s="256">
        <v>3053.05</v>
      </c>
      <c r="W15" s="256">
        <v>0.007</v>
      </c>
      <c r="X15" s="256">
        <f t="shared" si="21"/>
        <v>21.37</v>
      </c>
      <c r="Y15" s="256">
        <v>0.003</v>
      </c>
      <c r="Z15" s="256">
        <f t="shared" si="22"/>
        <v>9.16</v>
      </c>
      <c r="AA15" s="256">
        <v>3053.05</v>
      </c>
      <c r="AB15" s="256">
        <v>0.007</v>
      </c>
      <c r="AC15" s="256">
        <f t="shared" si="23"/>
        <v>21.37</v>
      </c>
      <c r="AD15" s="256">
        <v>3053.05</v>
      </c>
      <c r="AE15" s="256">
        <v>0.002</v>
      </c>
      <c r="AF15" s="256">
        <f t="shared" si="6"/>
        <v>6.11</v>
      </c>
      <c r="AG15" s="256" t="s">
        <v>64</v>
      </c>
      <c r="AH15" s="256">
        <v>0.05</v>
      </c>
      <c r="AI15" s="256">
        <f t="shared" si="24"/>
        <v>79</v>
      </c>
      <c r="AJ15" s="256">
        <v>0.05</v>
      </c>
      <c r="AK15" s="256">
        <f t="shared" si="25"/>
        <v>79</v>
      </c>
      <c r="AL15" s="289"/>
      <c r="AM15" s="256"/>
      <c r="AN15" s="256"/>
      <c r="AO15" s="256"/>
      <c r="AP15" s="257"/>
      <c r="AQ15" s="295"/>
      <c r="AR15" s="295"/>
      <c r="AS15" s="296">
        <f t="shared" si="7"/>
        <v>720.52</v>
      </c>
      <c r="AT15" s="296">
        <f t="shared" si="8"/>
        <v>314.46</v>
      </c>
      <c r="AU15" s="296">
        <f t="shared" si="9"/>
        <v>79</v>
      </c>
      <c r="AV15" s="296">
        <f t="shared" si="10"/>
        <v>79</v>
      </c>
      <c r="AW15" s="296">
        <f t="shared" si="11"/>
        <v>1192.98</v>
      </c>
      <c r="AX15" s="306">
        <f t="shared" si="12"/>
        <v>1034.98</v>
      </c>
      <c r="AY15" s="306"/>
      <c r="AZ15" s="306">
        <f t="shared" si="26"/>
        <v>158</v>
      </c>
      <c r="BA15" s="306"/>
      <c r="BB15" s="307">
        <v>80</v>
      </c>
      <c r="BC15" s="306">
        <f t="shared" si="14"/>
        <v>1272.98</v>
      </c>
      <c r="BD15" s="308"/>
      <c r="BE15" s="323"/>
      <c r="BF15" s="323"/>
      <c r="BG15" s="323"/>
      <c r="BH15" s="323"/>
    </row>
    <row r="16" s="240" customFormat="1" ht="18" customHeight="1" spans="1:60">
      <c r="A16" s="262"/>
      <c r="B16" s="263"/>
      <c r="C16" s="264"/>
      <c r="D16" s="265"/>
      <c r="E16" s="266"/>
      <c r="F16" s="267"/>
      <c r="G16" s="268"/>
      <c r="H16" s="269"/>
      <c r="I16" s="265"/>
      <c r="J16" s="269"/>
      <c r="K16" s="269"/>
      <c r="L16" s="282"/>
      <c r="M16" s="282"/>
      <c r="N16" s="283"/>
      <c r="O16" s="282"/>
      <c r="P16" s="282"/>
      <c r="Q16" s="282"/>
      <c r="R16" s="282"/>
      <c r="S16" s="282"/>
      <c r="T16" s="282"/>
      <c r="U16" s="282"/>
      <c r="V16" s="285"/>
      <c r="W16" s="285"/>
      <c r="X16" s="286"/>
      <c r="Y16" s="285"/>
      <c r="Z16" s="282"/>
      <c r="AA16" s="282"/>
      <c r="AB16" s="282"/>
      <c r="AC16" s="282"/>
      <c r="AD16" s="282"/>
      <c r="AE16" s="282"/>
      <c r="AF16" s="283"/>
      <c r="AG16" s="282"/>
      <c r="AH16" s="282"/>
      <c r="AI16" s="282"/>
      <c r="AJ16" s="282"/>
      <c r="AK16" s="282"/>
      <c r="AL16" s="290"/>
      <c r="AM16" s="282"/>
      <c r="AN16" s="282"/>
      <c r="AO16" s="282"/>
      <c r="AP16" s="297"/>
      <c r="AQ16" s="298"/>
      <c r="AR16" s="282"/>
      <c r="AS16" s="299"/>
      <c r="AT16" s="299"/>
      <c r="AU16" s="299"/>
      <c r="AV16" s="299"/>
      <c r="AW16" s="299"/>
      <c r="AX16" s="309"/>
      <c r="AY16" s="310"/>
      <c r="AZ16" s="309"/>
      <c r="BA16" s="310"/>
      <c r="BB16" s="311"/>
      <c r="BC16" s="309"/>
      <c r="BD16" s="312"/>
      <c r="BE16" s="243"/>
      <c r="BF16" s="243"/>
      <c r="BG16" s="243"/>
      <c r="BH16" s="243"/>
    </row>
    <row r="17" ht="14.25" spans="1:56">
      <c r="A17" s="270" t="s">
        <v>66</v>
      </c>
      <c r="B17" s="271"/>
      <c r="C17" s="272"/>
      <c r="D17" s="272"/>
      <c r="E17" s="273"/>
      <c r="F17" s="272"/>
      <c r="G17" s="272"/>
      <c r="H17" s="272"/>
      <c r="I17" s="272"/>
      <c r="J17" s="272"/>
      <c r="K17" s="272"/>
      <c r="L17" s="273">
        <f t="shared" ref="L17:BC17" si="27">SUM(L3:L15)</f>
        <v>33521.2</v>
      </c>
      <c r="M17" s="273">
        <f t="shared" si="27"/>
        <v>1.54</v>
      </c>
      <c r="N17" s="273">
        <f t="shared" si="27"/>
        <v>5135.22</v>
      </c>
      <c r="O17" s="273">
        <f t="shared" si="27"/>
        <v>0.8</v>
      </c>
      <c r="P17" s="273">
        <f t="shared" si="27"/>
        <v>2681.68</v>
      </c>
      <c r="Q17" s="273">
        <f t="shared" si="27"/>
        <v>40637.2</v>
      </c>
      <c r="R17" s="273">
        <f t="shared" si="27"/>
        <v>0.645</v>
      </c>
      <c r="S17" s="273">
        <f t="shared" si="27"/>
        <v>2543.61</v>
      </c>
      <c r="T17" s="273">
        <f t="shared" si="27"/>
        <v>0.2</v>
      </c>
      <c r="U17" s="273">
        <f t="shared" si="27"/>
        <v>812.74</v>
      </c>
      <c r="V17" s="273">
        <f t="shared" si="27"/>
        <v>33521.2</v>
      </c>
      <c r="W17" s="273">
        <f t="shared" si="27"/>
        <v>0.0586</v>
      </c>
      <c r="X17" s="273">
        <f t="shared" si="27"/>
        <v>191.29</v>
      </c>
      <c r="Y17" s="273">
        <f t="shared" si="27"/>
        <v>0.027</v>
      </c>
      <c r="Z17" s="273">
        <f t="shared" si="27"/>
        <v>89.17</v>
      </c>
      <c r="AA17" s="273">
        <f t="shared" si="27"/>
        <v>30737.2</v>
      </c>
      <c r="AB17" s="273">
        <f t="shared" si="27"/>
        <v>0.0535</v>
      </c>
      <c r="AC17" s="273">
        <f t="shared" si="27"/>
        <v>242.95</v>
      </c>
      <c r="AD17" s="273">
        <f t="shared" si="27"/>
        <v>35930.2</v>
      </c>
      <c r="AE17" s="273">
        <f t="shared" si="27"/>
        <v>0.0236</v>
      </c>
      <c r="AF17" s="273">
        <f t="shared" si="27"/>
        <v>66.32</v>
      </c>
      <c r="AG17" s="273">
        <f t="shared" si="27"/>
        <v>9000</v>
      </c>
      <c r="AH17" s="273">
        <f t="shared" si="27"/>
        <v>0.5</v>
      </c>
      <c r="AI17" s="273">
        <f t="shared" si="27"/>
        <v>1216</v>
      </c>
      <c r="AJ17" s="273">
        <f t="shared" si="27"/>
        <v>0.38</v>
      </c>
      <c r="AK17" s="273">
        <f t="shared" si="27"/>
        <v>856</v>
      </c>
      <c r="AL17" s="273">
        <f t="shared" si="27"/>
        <v>0</v>
      </c>
      <c r="AM17" s="273">
        <f t="shared" si="27"/>
        <v>0</v>
      </c>
      <c r="AN17" s="273">
        <f t="shared" si="27"/>
        <v>0</v>
      </c>
      <c r="AO17" s="273">
        <f t="shared" si="27"/>
        <v>0</v>
      </c>
      <c r="AP17" s="273">
        <f t="shared" si="27"/>
        <v>0</v>
      </c>
      <c r="AQ17" s="273">
        <f t="shared" si="27"/>
        <v>95.28</v>
      </c>
      <c r="AR17" s="273">
        <f t="shared" si="27"/>
        <v>96</v>
      </c>
      <c r="AS17" s="273">
        <f t="shared" si="27"/>
        <v>8274.67</v>
      </c>
      <c r="AT17" s="273">
        <f t="shared" si="27"/>
        <v>3583.59</v>
      </c>
      <c r="AU17" s="273">
        <f t="shared" si="27"/>
        <v>1216</v>
      </c>
      <c r="AV17" s="273">
        <f t="shared" si="27"/>
        <v>856</v>
      </c>
      <c r="AW17" s="273">
        <f t="shared" si="27"/>
        <v>13930.26</v>
      </c>
      <c r="AX17" s="273">
        <f t="shared" si="27"/>
        <v>11858.26</v>
      </c>
      <c r="AY17" s="273">
        <f t="shared" si="27"/>
        <v>0</v>
      </c>
      <c r="AZ17" s="273">
        <f t="shared" si="27"/>
        <v>2072</v>
      </c>
      <c r="BA17" s="273">
        <f t="shared" si="27"/>
        <v>0</v>
      </c>
      <c r="BB17" s="273">
        <f t="shared" si="27"/>
        <v>800</v>
      </c>
      <c r="BC17" s="273">
        <f t="shared" si="27"/>
        <v>14730.26</v>
      </c>
      <c r="BD17" s="313"/>
    </row>
    <row r="18" ht="15" spans="1:56">
      <c r="A18" s="274" t="s">
        <v>23</v>
      </c>
      <c r="B18" s="275"/>
      <c r="C18" s="276"/>
      <c r="D18" s="276"/>
      <c r="E18" s="277"/>
      <c r="F18" s="277"/>
      <c r="G18" s="277"/>
      <c r="H18" s="277"/>
      <c r="I18" s="277"/>
      <c r="J18" s="277"/>
      <c r="K18" s="277"/>
      <c r="L18" s="284">
        <f t="shared" ref="L18:AX18" si="28">SUM(L17:L17)</f>
        <v>33521.2</v>
      </c>
      <c r="M18" s="284">
        <f t="shared" si="28"/>
        <v>1.54</v>
      </c>
      <c r="N18" s="284">
        <f t="shared" si="28"/>
        <v>5135.22</v>
      </c>
      <c r="O18" s="284">
        <f t="shared" si="28"/>
        <v>0.8</v>
      </c>
      <c r="P18" s="284">
        <f t="shared" si="28"/>
        <v>2681.68</v>
      </c>
      <c r="Q18" s="284">
        <f t="shared" si="28"/>
        <v>40637.2</v>
      </c>
      <c r="R18" s="284">
        <f t="shared" si="28"/>
        <v>0.645</v>
      </c>
      <c r="S18" s="284">
        <f t="shared" si="28"/>
        <v>2543.61</v>
      </c>
      <c r="T18" s="284">
        <f t="shared" si="28"/>
        <v>0.2</v>
      </c>
      <c r="U18" s="284">
        <f t="shared" si="28"/>
        <v>812.74</v>
      </c>
      <c r="V18" s="284">
        <f t="shared" si="28"/>
        <v>33521.2</v>
      </c>
      <c r="W18" s="284">
        <f t="shared" si="28"/>
        <v>0.0586</v>
      </c>
      <c r="X18" s="284">
        <f t="shared" si="28"/>
        <v>191.29</v>
      </c>
      <c r="Y18" s="284">
        <f t="shared" si="28"/>
        <v>0.027</v>
      </c>
      <c r="Z18" s="284">
        <f t="shared" si="28"/>
        <v>89.17</v>
      </c>
      <c r="AA18" s="284">
        <f t="shared" si="28"/>
        <v>30737.2</v>
      </c>
      <c r="AB18" s="284">
        <f t="shared" si="28"/>
        <v>0.0535</v>
      </c>
      <c r="AC18" s="284">
        <f t="shared" si="28"/>
        <v>242.95</v>
      </c>
      <c r="AD18" s="284">
        <f t="shared" si="28"/>
        <v>35930.2</v>
      </c>
      <c r="AE18" s="284">
        <f t="shared" si="28"/>
        <v>0.0236</v>
      </c>
      <c r="AF18" s="284">
        <f t="shared" si="28"/>
        <v>66.32</v>
      </c>
      <c r="AG18" s="284">
        <f t="shared" si="28"/>
        <v>9000</v>
      </c>
      <c r="AH18" s="284">
        <f t="shared" si="28"/>
        <v>0.5</v>
      </c>
      <c r="AI18" s="284">
        <f t="shared" si="28"/>
        <v>1216</v>
      </c>
      <c r="AJ18" s="284">
        <f t="shared" si="28"/>
        <v>0.38</v>
      </c>
      <c r="AK18" s="284">
        <f t="shared" si="28"/>
        <v>856</v>
      </c>
      <c r="AL18" s="284">
        <f t="shared" si="28"/>
        <v>0</v>
      </c>
      <c r="AM18" s="284">
        <f t="shared" si="28"/>
        <v>0</v>
      </c>
      <c r="AN18" s="284">
        <f t="shared" si="28"/>
        <v>0</v>
      </c>
      <c r="AO18" s="284">
        <f t="shared" si="28"/>
        <v>0</v>
      </c>
      <c r="AP18" s="284">
        <f t="shared" si="28"/>
        <v>0</v>
      </c>
      <c r="AQ18" s="284">
        <f t="shared" si="28"/>
        <v>95.28</v>
      </c>
      <c r="AR18" s="284">
        <f t="shared" si="28"/>
        <v>96</v>
      </c>
      <c r="AS18" s="300">
        <f t="shared" si="28"/>
        <v>8274.67</v>
      </c>
      <c r="AT18" s="300">
        <f t="shared" si="28"/>
        <v>3583.59</v>
      </c>
      <c r="AU18" s="300">
        <f t="shared" si="28"/>
        <v>1216</v>
      </c>
      <c r="AV18" s="300">
        <f t="shared" si="28"/>
        <v>856</v>
      </c>
      <c r="AW18" s="300">
        <f t="shared" si="28"/>
        <v>13930.26</v>
      </c>
      <c r="AX18" s="314">
        <f t="shared" si="28"/>
        <v>11858.26</v>
      </c>
      <c r="AY18" s="314"/>
      <c r="AZ18" s="314">
        <f t="shared" ref="AZ18:BC18" si="29">SUM(AZ17:AZ17)</f>
        <v>2072</v>
      </c>
      <c r="BA18" s="314"/>
      <c r="BB18" s="284">
        <f t="shared" si="29"/>
        <v>800</v>
      </c>
      <c r="BC18" s="284">
        <f t="shared" si="29"/>
        <v>14730.26</v>
      </c>
      <c r="BD18" s="315"/>
    </row>
    <row r="19" s="241" customFormat="1" spans="1:56">
      <c r="A19" s="278"/>
      <c r="B19" s="278"/>
      <c r="C19" s="278"/>
      <c r="D19" s="278"/>
      <c r="E19" s="278"/>
      <c r="F19" s="279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8"/>
      <c r="AJ19" s="278"/>
      <c r="AK19" s="278"/>
      <c r="AL19" s="278"/>
      <c r="AM19" s="278"/>
      <c r="AN19" s="278"/>
      <c r="AO19" s="278"/>
      <c r="AP19" s="278"/>
      <c r="AQ19" s="278"/>
      <c r="AR19" s="278"/>
      <c r="AS19" s="301"/>
      <c r="AT19" s="301"/>
      <c r="AU19" s="301"/>
      <c r="AV19" s="301"/>
      <c r="AW19" s="301"/>
      <c r="AX19" s="278"/>
      <c r="AY19" s="278"/>
      <c r="AZ19" s="278"/>
      <c r="BA19" s="278"/>
      <c r="BB19" s="278"/>
      <c r="BC19" s="278"/>
      <c r="BD19" s="316"/>
    </row>
    <row r="20" s="242" customFormat="1" spans="1:56">
      <c r="A20" s="243"/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78"/>
      <c r="AA20" s="278"/>
      <c r="AB20" s="278"/>
      <c r="AC20" s="278"/>
      <c r="AD20" s="278"/>
      <c r="AE20" s="278"/>
      <c r="AF20" s="278"/>
      <c r="AG20" s="278"/>
      <c r="AH20" s="278"/>
      <c r="AI20" s="278"/>
      <c r="AJ20" s="243"/>
      <c r="AK20" s="243"/>
      <c r="AL20" s="243"/>
      <c r="AM20" s="243"/>
      <c r="AN20" s="243"/>
      <c r="AO20" s="243"/>
      <c r="AP20" s="243"/>
      <c r="AQ20" s="243"/>
      <c r="AR20" s="243"/>
      <c r="AS20" s="244"/>
      <c r="AT20" s="244"/>
      <c r="AU20" s="244"/>
      <c r="AV20" s="244"/>
      <c r="AW20" s="244"/>
      <c r="AX20" s="243"/>
      <c r="AY20" s="243"/>
      <c r="AZ20" s="243"/>
      <c r="BA20" s="243"/>
      <c r="BB20" s="243"/>
      <c r="BC20" s="243"/>
      <c r="BD20" s="245"/>
    </row>
    <row r="22" spans="50:55">
      <c r="AX22" s="317"/>
      <c r="AY22" s="317"/>
      <c r="BC22" s="318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0" priority="1" stopIfTrue="1">
      <formula>AND(COUNTIF($J$1:$J$1,H1)&gt;1,NOT(ISBLANK(H1)))</formula>
    </cfRule>
  </conditionalFormatting>
  <conditionalFormatting sqref="J1">
    <cfRule type="duplicateValues" dxfId="1" priority="2" stopIfTrue="1"/>
  </conditionalFormatting>
  <conditionalFormatting sqref="K1:L1">
    <cfRule type="duplicateValues" dxfId="1" priority="3" stopIfTrue="1"/>
  </conditionalFormatting>
  <conditionalFormatting sqref="Q1">
    <cfRule type="duplicateValues" dxfId="1" priority="4" stopIfTrue="1"/>
  </conditionalFormatting>
  <conditionalFormatting sqref="V1">
    <cfRule type="duplicateValues" dxfId="1" priority="5" stopIfTrue="1"/>
  </conditionalFormatting>
  <conditionalFormatting sqref="AG1">
    <cfRule type="duplicateValues" dxfId="1" priority="6" stopIfTrue="1"/>
  </conditionalFormatting>
  <pageMargins left="0.75" right="0.75" top="1" bottom="1" header="0.5" footer="0.5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00B050"/>
    <pageSetUpPr fitToPage="1"/>
  </sheetPr>
  <dimension ref="A1:AT35"/>
  <sheetViews>
    <sheetView workbookViewId="0">
      <pane xSplit="6" ySplit="3" topLeftCell="G6" activePane="bottomRight" state="frozen"/>
      <selection/>
      <selection pane="topRight"/>
      <selection pane="bottomLeft"/>
      <selection pane="bottomRight" activeCell="AL19" sqref="AL19"/>
    </sheetView>
  </sheetViews>
  <sheetFormatPr defaultColWidth="9" defaultRowHeight="13.5"/>
  <cols>
    <col min="1" max="1" width="4.45" style="15" customWidth="1"/>
    <col min="2" max="2" width="14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204</v>
      </c>
      <c r="AN2" s="29" t="s">
        <v>205</v>
      </c>
      <c r="AO2" s="114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127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175.86</v>
      </c>
      <c r="O4" s="71">
        <v>11.98</v>
      </c>
      <c r="P4" s="71">
        <v>177.4</v>
      </c>
      <c r="Q4" s="70">
        <f>ROUND(SUM(M4:P4),2)</f>
        <v>684.7</v>
      </c>
      <c r="R4" s="70">
        <v>0</v>
      </c>
      <c r="S4" s="92">
        <f>L4</f>
        <v>8000</v>
      </c>
      <c r="T4" s="93">
        <v>5000</v>
      </c>
      <c r="U4" s="93">
        <f>Q4</f>
        <v>684.7</v>
      </c>
      <c r="V4" s="70"/>
      <c r="W4" s="70"/>
      <c r="X4" s="70"/>
      <c r="Y4" s="70"/>
      <c r="Z4" s="70"/>
      <c r="AA4" s="70"/>
      <c r="AB4" s="92">
        <f>ROUND(SUM(V4:AA4),2)</f>
        <v>0</v>
      </c>
      <c r="AC4" s="92">
        <f>R4</f>
        <v>0</v>
      </c>
      <c r="AD4" s="98">
        <f>ROUND(S4-T4-U4-AB4-AC4,2)</f>
        <v>2315.3</v>
      </c>
      <c r="AE4" s="99">
        <f>ROUND(MAX((AD4)*{0.03;0.1;0.2;0.25;0.3;0.35;0.45}-{0;2520;16920;31920;52920;85920;181920},0),2)</f>
        <v>69.46</v>
      </c>
      <c r="AF4" s="100">
        <v>0</v>
      </c>
      <c r="AG4" s="100">
        <f>IF((AE4-AF4)&lt;0,0,AE4-AF4)</f>
        <v>69.46</v>
      </c>
      <c r="AH4" s="109">
        <f>ROUND(IF((L4-Q4-AG4)&lt;0,0,(L4-Q4-AG4)),2)</f>
        <v>7245.84</v>
      </c>
      <c r="AI4" s="108"/>
      <c r="AJ4" s="109">
        <f>AH4+AI4</f>
        <v>7245.84</v>
      </c>
      <c r="AK4" s="109"/>
      <c r="AL4" s="109">
        <f>AJ4+AG4+AK4</f>
        <v>7315.3</v>
      </c>
      <c r="AM4" s="109"/>
      <c r="AN4" s="109"/>
      <c r="AO4" s="109"/>
      <c r="AP4" s="109"/>
      <c r="AQ4" s="109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127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70">
        <f t="shared" ref="Q5:Q19" si="0">ROUND(SUM(M5:P5),2)</f>
        <v>655.8</v>
      </c>
      <c r="R5" s="70">
        <v>0</v>
      </c>
      <c r="S5" s="92">
        <f t="shared" ref="S5:S21" si="1">L5</f>
        <v>5700</v>
      </c>
      <c r="T5" s="93">
        <v>5000</v>
      </c>
      <c r="U5" s="93">
        <f t="shared" ref="U5:U21" si="2">Q5</f>
        <v>655.8</v>
      </c>
      <c r="V5" s="70"/>
      <c r="W5" s="70"/>
      <c r="X5" s="70"/>
      <c r="Y5" s="70"/>
      <c r="Z5" s="70"/>
      <c r="AA5" s="70"/>
      <c r="AB5" s="92">
        <f t="shared" ref="AB5:AB21" si="3">ROUND(SUM(V5:AA5),2)</f>
        <v>0</v>
      </c>
      <c r="AC5" s="92">
        <f t="shared" ref="AC5:AC21" si="4">R5</f>
        <v>0</v>
      </c>
      <c r="AD5" s="98">
        <f t="shared" ref="AD5:AD21" si="5">ROUND(S5-T5-U5-AB5-AC5,2)</f>
        <v>44.2</v>
      </c>
      <c r="AE5" s="99">
        <f>ROUND(MAX((AD5)*{0.03;0.1;0.2;0.25;0.3;0.35;0.45}-{0;2520;16920;31920;52920;85920;181920},0),2)</f>
        <v>1.33</v>
      </c>
      <c r="AF5" s="100">
        <v>0</v>
      </c>
      <c r="AG5" s="100">
        <f t="shared" ref="AG5:AG21" si="6">IF((AE5-AF5)&lt;0,0,AE5-AF5)</f>
        <v>1.33</v>
      </c>
      <c r="AH5" s="109">
        <f t="shared" ref="AH5:AH21" si="7">ROUND(IF((L5-Q5-AG5)&lt;0,0,(L5-Q5-AG5)),2)</f>
        <v>5042.87</v>
      </c>
      <c r="AI5" s="108"/>
      <c r="AJ5" s="109">
        <f t="shared" ref="AJ5:AJ21" si="8">AH5+AI5</f>
        <v>5042.87</v>
      </c>
      <c r="AK5" s="109"/>
      <c r="AL5" s="109">
        <f t="shared" ref="AL5:AL21" si="9">AJ5+AG5+AK5</f>
        <v>5044.2</v>
      </c>
      <c r="AM5" s="109"/>
      <c r="AN5" s="109"/>
      <c r="AO5" s="109"/>
      <c r="AP5" s="109"/>
      <c r="AQ5" s="109"/>
      <c r="AR5" s="117" t="str">
        <f t="shared" ref="AR5:AR21" si="10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 t="shared" ref="AS5:AS21" si="11">IF(SUMPRODUCT(N(E$1:E$18=E5))&gt;1,"重复","不")</f>
        <v>不</v>
      </c>
      <c r="AT5" s="117" t="str">
        <f t="shared" ref="AT5:AT21" si="12">IF(SUMPRODUCT(N(AO$1:AO$18=AO5))&gt;1,"重复","不")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127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70">
        <f t="shared" si="0"/>
        <v>948.55</v>
      </c>
      <c r="R6" s="70">
        <v>0</v>
      </c>
      <c r="S6" s="92">
        <f t="shared" si="1"/>
        <v>30060</v>
      </c>
      <c r="T6" s="93">
        <v>5000</v>
      </c>
      <c r="U6" s="93">
        <f t="shared" si="2"/>
        <v>948.55</v>
      </c>
      <c r="V6" s="70"/>
      <c r="W6" s="70"/>
      <c r="X6" s="70"/>
      <c r="Y6" s="70"/>
      <c r="Z6" s="70"/>
      <c r="AA6" s="70"/>
      <c r="AB6" s="92">
        <f t="shared" si="3"/>
        <v>0</v>
      </c>
      <c r="AC6" s="92">
        <f t="shared" si="4"/>
        <v>0</v>
      </c>
      <c r="AD6" s="98">
        <f t="shared" si="5"/>
        <v>24111.45</v>
      </c>
      <c r="AE6" s="99">
        <f>ROUND(MAX((AD6)*{0.03;0.1;0.2;0.25;0.3;0.35;0.45}-{0;2520;16920;31920;52920;85920;181920},0),2)</f>
        <v>723.34</v>
      </c>
      <c r="AF6" s="100">
        <v>0</v>
      </c>
      <c r="AG6" s="100">
        <f t="shared" si="6"/>
        <v>723.34</v>
      </c>
      <c r="AH6" s="109">
        <f t="shared" si="7"/>
        <v>28388.11</v>
      </c>
      <c r="AI6" s="108"/>
      <c r="AJ6" s="109">
        <f t="shared" si="8"/>
        <v>28388.11</v>
      </c>
      <c r="AK6" s="109"/>
      <c r="AL6" s="109">
        <f t="shared" si="9"/>
        <v>29111.45</v>
      </c>
      <c r="AM6" s="109"/>
      <c r="AN6" s="109"/>
      <c r="AO6" s="109"/>
      <c r="AP6" s="109"/>
      <c r="AQ6" s="109"/>
      <c r="AR6" s="117" t="str">
        <f t="shared" si="10"/>
        <v>正确</v>
      </c>
      <c r="AS6" s="117" t="str">
        <f t="shared" si="11"/>
        <v>不</v>
      </c>
      <c r="AT6" s="117" t="str">
        <f t="shared" si="12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127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70">
        <f t="shared" si="0"/>
        <v>527.71</v>
      </c>
      <c r="R7" s="70">
        <v>0</v>
      </c>
      <c r="S7" s="92">
        <f t="shared" si="1"/>
        <v>8000</v>
      </c>
      <c r="T7" s="93">
        <v>5000</v>
      </c>
      <c r="U7" s="93">
        <f t="shared" si="2"/>
        <v>527.71</v>
      </c>
      <c r="V7" s="70"/>
      <c r="W7" s="70"/>
      <c r="X7" s="70"/>
      <c r="Y7" s="70"/>
      <c r="Z7" s="70"/>
      <c r="AA7" s="70"/>
      <c r="AB7" s="92">
        <f t="shared" si="3"/>
        <v>0</v>
      </c>
      <c r="AC7" s="92">
        <f t="shared" si="4"/>
        <v>0</v>
      </c>
      <c r="AD7" s="98">
        <f t="shared" si="5"/>
        <v>2472.29</v>
      </c>
      <c r="AE7" s="99">
        <f>ROUND(MAX((AD7)*{0.03;0.1;0.2;0.25;0.3;0.35;0.45}-{0;2520;16920;31920;52920;85920;181920},0),2)</f>
        <v>74.17</v>
      </c>
      <c r="AF7" s="100">
        <v>0</v>
      </c>
      <c r="AG7" s="100">
        <f t="shared" si="6"/>
        <v>74.17</v>
      </c>
      <c r="AH7" s="109">
        <f t="shared" si="7"/>
        <v>7398.12</v>
      </c>
      <c r="AI7" s="108"/>
      <c r="AJ7" s="109">
        <f t="shared" si="8"/>
        <v>7398.12</v>
      </c>
      <c r="AK7" s="109"/>
      <c r="AL7" s="109">
        <f t="shared" si="9"/>
        <v>7472.29</v>
      </c>
      <c r="AM7" s="109"/>
      <c r="AN7" s="109"/>
      <c r="AO7" s="109"/>
      <c r="AP7" s="109"/>
      <c r="AQ7" s="109"/>
      <c r="AR7" s="117" t="str">
        <f t="shared" si="10"/>
        <v>正确</v>
      </c>
      <c r="AS7" s="117" t="str">
        <f t="shared" si="11"/>
        <v>不</v>
      </c>
      <c r="AT7" s="117" t="str">
        <f t="shared" si="12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127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70">
        <f t="shared" si="0"/>
        <v>772</v>
      </c>
      <c r="R8" s="70">
        <v>0</v>
      </c>
      <c r="S8" s="92">
        <f t="shared" si="1"/>
        <v>10500</v>
      </c>
      <c r="T8" s="93">
        <v>5000</v>
      </c>
      <c r="U8" s="93">
        <f t="shared" si="2"/>
        <v>772</v>
      </c>
      <c r="V8" s="70"/>
      <c r="W8" s="70"/>
      <c r="X8" s="70"/>
      <c r="Y8" s="70"/>
      <c r="Z8" s="70"/>
      <c r="AA8" s="70"/>
      <c r="AB8" s="92">
        <f t="shared" si="3"/>
        <v>0</v>
      </c>
      <c r="AC8" s="92">
        <f t="shared" si="4"/>
        <v>0</v>
      </c>
      <c r="AD8" s="98">
        <f t="shared" si="5"/>
        <v>4728</v>
      </c>
      <c r="AE8" s="99">
        <f>ROUND(MAX((AD8)*{0.03;0.1;0.2;0.25;0.3;0.35;0.45}-{0;2520;16920;31920;52920;85920;181920},0),2)</f>
        <v>141.84</v>
      </c>
      <c r="AF8" s="100">
        <v>0</v>
      </c>
      <c r="AG8" s="100">
        <f t="shared" si="6"/>
        <v>141.84</v>
      </c>
      <c r="AH8" s="109">
        <f t="shared" si="7"/>
        <v>9586.16</v>
      </c>
      <c r="AI8" s="108"/>
      <c r="AJ8" s="109">
        <f t="shared" si="8"/>
        <v>9586.16</v>
      </c>
      <c r="AK8" s="109"/>
      <c r="AL8" s="109">
        <f t="shared" si="9"/>
        <v>9728</v>
      </c>
      <c r="AM8" s="109"/>
      <c r="AN8" s="109"/>
      <c r="AO8" s="109"/>
      <c r="AP8" s="109"/>
      <c r="AQ8" s="109"/>
      <c r="AR8" s="117" t="str">
        <f t="shared" si="10"/>
        <v>正确</v>
      </c>
      <c r="AS8" s="117" t="str">
        <f t="shared" si="11"/>
        <v>不</v>
      </c>
      <c r="AT8" s="117" t="str">
        <f t="shared" si="12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127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301.6</v>
      </c>
      <c r="N9" s="71">
        <v>90.4</v>
      </c>
      <c r="O9" s="71">
        <v>11.31</v>
      </c>
      <c r="P9" s="71">
        <v>100</v>
      </c>
      <c r="Q9" s="70">
        <f t="shared" si="0"/>
        <v>503.31</v>
      </c>
      <c r="R9" s="70">
        <v>0</v>
      </c>
      <c r="S9" s="92">
        <f t="shared" si="1"/>
        <v>6500</v>
      </c>
      <c r="T9" s="93">
        <v>5000</v>
      </c>
      <c r="U9" s="93">
        <f t="shared" si="2"/>
        <v>503.31</v>
      </c>
      <c r="V9" s="70"/>
      <c r="W9" s="70"/>
      <c r="X9" s="70"/>
      <c r="Y9" s="70"/>
      <c r="Z9" s="70"/>
      <c r="AA9" s="70"/>
      <c r="AB9" s="92">
        <f t="shared" si="3"/>
        <v>0</v>
      </c>
      <c r="AC9" s="92">
        <f t="shared" si="4"/>
        <v>0</v>
      </c>
      <c r="AD9" s="98">
        <f t="shared" si="5"/>
        <v>996.69</v>
      </c>
      <c r="AE9" s="99">
        <f>ROUND(MAX((AD9)*{0.03;0.1;0.2;0.25;0.3;0.35;0.45}-{0;2520;16920;31920;52920;85920;181920},0),2)</f>
        <v>29.9</v>
      </c>
      <c r="AF9" s="100">
        <v>0</v>
      </c>
      <c r="AG9" s="100">
        <f t="shared" si="6"/>
        <v>29.9</v>
      </c>
      <c r="AH9" s="109">
        <f t="shared" si="7"/>
        <v>5966.79</v>
      </c>
      <c r="AI9" s="108"/>
      <c r="AJ9" s="109">
        <f t="shared" si="8"/>
        <v>5966.79</v>
      </c>
      <c r="AK9" s="109"/>
      <c r="AL9" s="109">
        <f t="shared" si="9"/>
        <v>5996.69</v>
      </c>
      <c r="AM9" s="109"/>
      <c r="AN9" s="109"/>
      <c r="AO9" s="109"/>
      <c r="AP9" s="109"/>
      <c r="AQ9" s="109"/>
      <c r="AR9" s="117" t="str">
        <f t="shared" si="10"/>
        <v>正确</v>
      </c>
      <c r="AS9" s="117" t="str">
        <f t="shared" si="11"/>
        <v>不</v>
      </c>
      <c r="AT9" s="117" t="str">
        <f t="shared" si="12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127" t="s">
        <v>144</v>
      </c>
      <c r="G10" s="39" t="s">
        <v>165</v>
      </c>
      <c r="H10" s="40"/>
      <c r="I10" s="40"/>
      <c r="J10" s="69"/>
      <c r="K10" s="40"/>
      <c r="L10" s="70">
        <v>5500</v>
      </c>
      <c r="M10" s="71">
        <v>329.44</v>
      </c>
      <c r="N10" s="71">
        <v>87.36</v>
      </c>
      <c r="O10" s="71">
        <v>20.59</v>
      </c>
      <c r="P10" s="71">
        <v>105</v>
      </c>
      <c r="Q10" s="70">
        <f t="shared" si="0"/>
        <v>542.39</v>
      </c>
      <c r="R10" s="70">
        <v>0</v>
      </c>
      <c r="S10" s="92">
        <f t="shared" si="1"/>
        <v>5500</v>
      </c>
      <c r="T10" s="93">
        <v>5000</v>
      </c>
      <c r="U10" s="93">
        <f t="shared" si="2"/>
        <v>542.39</v>
      </c>
      <c r="V10" s="70"/>
      <c r="W10" s="70"/>
      <c r="X10" s="70"/>
      <c r="Y10" s="70"/>
      <c r="Z10" s="70"/>
      <c r="AA10" s="70"/>
      <c r="AB10" s="92">
        <f t="shared" si="3"/>
        <v>0</v>
      </c>
      <c r="AC10" s="92">
        <f t="shared" si="4"/>
        <v>0</v>
      </c>
      <c r="AD10" s="98">
        <f t="shared" si="5"/>
        <v>-42.39</v>
      </c>
      <c r="AE10" s="99">
        <f>ROUND(MAX((AD10)*{0.03;0.1;0.2;0.25;0.3;0.35;0.45}-{0;2520;16920;31920;52920;85920;181920},0),2)</f>
        <v>0</v>
      </c>
      <c r="AF10" s="100">
        <v>0</v>
      </c>
      <c r="AG10" s="100">
        <f t="shared" si="6"/>
        <v>0</v>
      </c>
      <c r="AH10" s="109">
        <f t="shared" si="7"/>
        <v>4957.61</v>
      </c>
      <c r="AI10" s="108"/>
      <c r="AJ10" s="109">
        <f t="shared" si="8"/>
        <v>4957.61</v>
      </c>
      <c r="AK10" s="109"/>
      <c r="AL10" s="109">
        <f t="shared" si="9"/>
        <v>4957.61</v>
      </c>
      <c r="AM10" s="109"/>
      <c r="AN10" s="109"/>
      <c r="AO10" s="109"/>
      <c r="AP10" s="109"/>
      <c r="AQ10" s="109"/>
      <c r="AR10" s="117" t="str">
        <f t="shared" si="10"/>
        <v>正确</v>
      </c>
      <c r="AS10" s="117" t="str">
        <f t="shared" si="11"/>
        <v>不</v>
      </c>
      <c r="AT10" s="117" t="str">
        <f t="shared" si="12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127" t="s">
        <v>148</v>
      </c>
      <c r="G11" s="39" t="s">
        <v>170</v>
      </c>
      <c r="H11" s="40"/>
      <c r="I11" s="40"/>
      <c r="J11" s="69"/>
      <c r="K11" s="40"/>
      <c r="L11" s="70">
        <v>4525.84</v>
      </c>
      <c r="M11" s="71">
        <v>380.08</v>
      </c>
      <c r="N11" s="71">
        <v>117.02</v>
      </c>
      <c r="O11" s="71">
        <v>23.76</v>
      </c>
      <c r="P11" s="71">
        <v>109</v>
      </c>
      <c r="Q11" s="70">
        <f t="shared" si="0"/>
        <v>629.86</v>
      </c>
      <c r="R11" s="70">
        <v>0</v>
      </c>
      <c r="S11" s="92">
        <f t="shared" si="1"/>
        <v>4525.84</v>
      </c>
      <c r="T11" s="93">
        <v>5000</v>
      </c>
      <c r="U11" s="93">
        <f t="shared" si="2"/>
        <v>629.86</v>
      </c>
      <c r="V11" s="70"/>
      <c r="W11" s="70"/>
      <c r="X11" s="70"/>
      <c r="Y11" s="70"/>
      <c r="Z11" s="70"/>
      <c r="AA11" s="70"/>
      <c r="AB11" s="92">
        <f t="shared" si="3"/>
        <v>0</v>
      </c>
      <c r="AC11" s="92">
        <f t="shared" si="4"/>
        <v>0</v>
      </c>
      <c r="AD11" s="98">
        <f t="shared" si="5"/>
        <v>-1104.02</v>
      </c>
      <c r="AE11" s="99">
        <f>ROUND(MAX((AD11)*{0.03;0.1;0.2;0.25;0.3;0.35;0.45}-{0;2520;16920;31920;52920;85920;181920},0),2)</f>
        <v>0</v>
      </c>
      <c r="AF11" s="100">
        <v>0</v>
      </c>
      <c r="AG11" s="100">
        <f t="shared" si="6"/>
        <v>0</v>
      </c>
      <c r="AH11" s="109">
        <f t="shared" si="7"/>
        <v>3895.98</v>
      </c>
      <c r="AI11" s="108"/>
      <c r="AJ11" s="109">
        <f t="shared" si="8"/>
        <v>3895.98</v>
      </c>
      <c r="AK11" s="109"/>
      <c r="AL11" s="109">
        <f t="shared" si="9"/>
        <v>3895.98</v>
      </c>
      <c r="AM11" s="109"/>
      <c r="AN11" s="109"/>
      <c r="AO11" s="109"/>
      <c r="AP11" s="109"/>
      <c r="AQ11" s="109"/>
      <c r="AR11" s="117" t="str">
        <f t="shared" si="10"/>
        <v>正确</v>
      </c>
      <c r="AS11" s="117" t="str">
        <f t="shared" si="11"/>
        <v>不</v>
      </c>
      <c r="AT11" s="117" t="str">
        <f t="shared" si="12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173</v>
      </c>
      <c r="D12" s="37" t="s">
        <v>143</v>
      </c>
      <c r="E12" s="326" t="s">
        <v>174</v>
      </c>
      <c r="F12" s="127" t="s">
        <v>144</v>
      </c>
      <c r="G12" s="39">
        <v>18356553626</v>
      </c>
      <c r="H12" s="40"/>
      <c r="I12" s="40"/>
      <c r="J12" s="69"/>
      <c r="K12" s="40"/>
      <c r="L12" s="70">
        <v>8500</v>
      </c>
      <c r="M12" s="71">
        <v>321.52</v>
      </c>
      <c r="N12" s="71">
        <v>120.38</v>
      </c>
      <c r="O12" s="71">
        <v>20.1</v>
      </c>
      <c r="P12" s="71">
        <v>97</v>
      </c>
      <c r="Q12" s="70">
        <f t="shared" si="0"/>
        <v>559</v>
      </c>
      <c r="R12" s="70">
        <v>0</v>
      </c>
      <c r="S12" s="92">
        <f t="shared" si="1"/>
        <v>8500</v>
      </c>
      <c r="T12" s="93">
        <v>5000</v>
      </c>
      <c r="U12" s="93">
        <f t="shared" si="2"/>
        <v>559</v>
      </c>
      <c r="V12" s="70"/>
      <c r="W12" s="70"/>
      <c r="X12" s="70"/>
      <c r="Y12" s="70"/>
      <c r="Z12" s="70"/>
      <c r="AA12" s="70"/>
      <c r="AB12" s="92">
        <f t="shared" si="3"/>
        <v>0</v>
      </c>
      <c r="AC12" s="92">
        <f t="shared" si="4"/>
        <v>0</v>
      </c>
      <c r="AD12" s="98">
        <f t="shared" si="5"/>
        <v>2941</v>
      </c>
      <c r="AE12" s="99">
        <f>ROUND(MAX((AD12)*{0.03;0.1;0.2;0.25;0.3;0.35;0.45}-{0;2520;16920;31920;52920;85920;181920},0),2)</f>
        <v>88.23</v>
      </c>
      <c r="AF12" s="100">
        <v>0</v>
      </c>
      <c r="AG12" s="100">
        <f t="shared" si="6"/>
        <v>88.23</v>
      </c>
      <c r="AH12" s="109">
        <f t="shared" si="7"/>
        <v>7852.77</v>
      </c>
      <c r="AI12" s="108"/>
      <c r="AJ12" s="109">
        <f t="shared" si="8"/>
        <v>7852.77</v>
      </c>
      <c r="AK12" s="109"/>
      <c r="AL12" s="109">
        <f t="shared" si="9"/>
        <v>7941</v>
      </c>
      <c r="AM12" s="109"/>
      <c r="AN12" s="109"/>
      <c r="AO12" s="109"/>
      <c r="AP12" s="109"/>
      <c r="AQ12" s="109"/>
      <c r="AR12" s="117" t="str">
        <f t="shared" si="10"/>
        <v>正确</v>
      </c>
      <c r="AS12" s="117" t="str">
        <f t="shared" si="11"/>
        <v>不</v>
      </c>
      <c r="AT12" s="117" t="str">
        <f t="shared" si="12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175</v>
      </c>
      <c r="D13" s="37" t="s">
        <v>143</v>
      </c>
      <c r="E13" s="326" t="s">
        <v>176</v>
      </c>
      <c r="F13" s="127" t="s">
        <v>144</v>
      </c>
      <c r="G13" s="39">
        <v>18326897140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344</v>
      </c>
      <c r="Q13" s="70">
        <f t="shared" si="0"/>
        <v>772</v>
      </c>
      <c r="R13" s="70">
        <v>0</v>
      </c>
      <c r="S13" s="92">
        <f t="shared" si="1"/>
        <v>7000</v>
      </c>
      <c r="T13" s="93">
        <v>5000</v>
      </c>
      <c r="U13" s="93">
        <f t="shared" si="2"/>
        <v>772</v>
      </c>
      <c r="V13" s="70"/>
      <c r="W13" s="70"/>
      <c r="X13" s="70"/>
      <c r="Y13" s="70"/>
      <c r="Z13" s="70"/>
      <c r="AA13" s="70"/>
      <c r="AB13" s="92">
        <f t="shared" si="3"/>
        <v>0</v>
      </c>
      <c r="AC13" s="92">
        <f t="shared" si="4"/>
        <v>0</v>
      </c>
      <c r="AD13" s="98">
        <f t="shared" si="5"/>
        <v>1228</v>
      </c>
      <c r="AE13" s="99">
        <f>ROUND(MAX((AD13)*{0.03;0.1;0.2;0.25;0.3;0.35;0.45}-{0;2520;16920;31920;52920;85920;181920},0),2)</f>
        <v>36.84</v>
      </c>
      <c r="AF13" s="100">
        <v>0</v>
      </c>
      <c r="AG13" s="100">
        <f t="shared" si="6"/>
        <v>36.84</v>
      </c>
      <c r="AH13" s="109">
        <f t="shared" si="7"/>
        <v>6191.16</v>
      </c>
      <c r="AI13" s="108"/>
      <c r="AJ13" s="109">
        <f t="shared" si="8"/>
        <v>6191.16</v>
      </c>
      <c r="AK13" s="109"/>
      <c r="AL13" s="109">
        <f t="shared" si="9"/>
        <v>6228</v>
      </c>
      <c r="AM13" s="109"/>
      <c r="AN13" s="109"/>
      <c r="AO13" s="109"/>
      <c r="AP13" s="109"/>
      <c r="AQ13" s="109"/>
      <c r="AR13" s="117" t="str">
        <f t="shared" si="10"/>
        <v>正确</v>
      </c>
      <c r="AS13" s="117" t="str">
        <f t="shared" si="11"/>
        <v>不</v>
      </c>
      <c r="AT13" s="117" t="str">
        <f t="shared" si="12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177</v>
      </c>
      <c r="D14" s="37" t="s">
        <v>143</v>
      </c>
      <c r="E14" s="326" t="s">
        <v>178</v>
      </c>
      <c r="F14" s="127" t="s">
        <v>144</v>
      </c>
      <c r="G14" s="39">
        <v>17201857014</v>
      </c>
      <c r="H14" s="40"/>
      <c r="I14" s="40"/>
      <c r="J14" s="69"/>
      <c r="K14" s="40"/>
      <c r="L14" s="70">
        <v>7000</v>
      </c>
      <c r="M14" s="71">
        <v>321.52</v>
      </c>
      <c r="N14" s="71">
        <v>86.38</v>
      </c>
      <c r="O14" s="71">
        <v>20.1</v>
      </c>
      <c r="P14" s="71">
        <v>344</v>
      </c>
      <c r="Q14" s="70">
        <f t="shared" si="0"/>
        <v>772</v>
      </c>
      <c r="R14" s="70">
        <v>0</v>
      </c>
      <c r="S14" s="92">
        <f t="shared" si="1"/>
        <v>7000</v>
      </c>
      <c r="T14" s="93">
        <v>5000</v>
      </c>
      <c r="U14" s="93">
        <f t="shared" si="2"/>
        <v>772</v>
      </c>
      <c r="V14" s="70"/>
      <c r="W14" s="70"/>
      <c r="X14" s="70"/>
      <c r="Y14" s="70"/>
      <c r="Z14" s="70"/>
      <c r="AA14" s="70"/>
      <c r="AB14" s="92">
        <f t="shared" si="3"/>
        <v>0</v>
      </c>
      <c r="AC14" s="92">
        <f t="shared" si="4"/>
        <v>0</v>
      </c>
      <c r="AD14" s="98">
        <f t="shared" si="5"/>
        <v>1228</v>
      </c>
      <c r="AE14" s="99">
        <f>ROUND(MAX((AD14)*{0.03;0.1;0.2;0.25;0.3;0.35;0.45}-{0;2520;16920;31920;52920;85920;181920},0),2)</f>
        <v>36.84</v>
      </c>
      <c r="AF14" s="100">
        <v>0</v>
      </c>
      <c r="AG14" s="100">
        <f t="shared" si="6"/>
        <v>36.84</v>
      </c>
      <c r="AH14" s="109">
        <f t="shared" si="7"/>
        <v>6191.16</v>
      </c>
      <c r="AI14" s="108"/>
      <c r="AJ14" s="109">
        <f t="shared" si="8"/>
        <v>6191.16</v>
      </c>
      <c r="AK14" s="109"/>
      <c r="AL14" s="109">
        <f t="shared" si="9"/>
        <v>6228</v>
      </c>
      <c r="AM14" s="109"/>
      <c r="AN14" s="109"/>
      <c r="AO14" s="109"/>
      <c r="AP14" s="109"/>
      <c r="AQ14" s="109"/>
      <c r="AR14" s="117" t="str">
        <f t="shared" si="10"/>
        <v>正确</v>
      </c>
      <c r="AS14" s="117" t="str">
        <f t="shared" si="11"/>
        <v>不</v>
      </c>
      <c r="AT14" s="117" t="str">
        <f t="shared" si="12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127" t="s">
        <v>148</v>
      </c>
      <c r="G15" s="39" t="s">
        <v>181</v>
      </c>
      <c r="H15" s="40"/>
      <c r="I15" s="40"/>
      <c r="J15" s="69"/>
      <c r="K15" s="40"/>
      <c r="L15" s="70">
        <v>7000</v>
      </c>
      <c r="M15" s="71">
        <v>321.52</v>
      </c>
      <c r="N15" s="71">
        <v>120.38</v>
      </c>
      <c r="O15" s="71">
        <v>20.1</v>
      </c>
      <c r="P15" s="71">
        <v>97</v>
      </c>
      <c r="Q15" s="70">
        <f t="shared" si="0"/>
        <v>559</v>
      </c>
      <c r="R15" s="70">
        <v>0</v>
      </c>
      <c r="S15" s="92">
        <f t="shared" si="1"/>
        <v>7000</v>
      </c>
      <c r="T15" s="93">
        <v>5000</v>
      </c>
      <c r="U15" s="93">
        <f t="shared" si="2"/>
        <v>559</v>
      </c>
      <c r="V15" s="70"/>
      <c r="W15" s="70"/>
      <c r="X15" s="70"/>
      <c r="Y15" s="70"/>
      <c r="Z15" s="70"/>
      <c r="AA15" s="70"/>
      <c r="AB15" s="92">
        <f t="shared" si="3"/>
        <v>0</v>
      </c>
      <c r="AC15" s="92">
        <f t="shared" si="4"/>
        <v>0</v>
      </c>
      <c r="AD15" s="98">
        <f t="shared" si="5"/>
        <v>1441</v>
      </c>
      <c r="AE15" s="99">
        <f>ROUND(MAX((AD15)*{0.03;0.1;0.2;0.25;0.3;0.35;0.45}-{0;2520;16920;31920;52920;85920;181920},0),2)</f>
        <v>43.23</v>
      </c>
      <c r="AF15" s="100">
        <v>0</v>
      </c>
      <c r="AG15" s="100">
        <f t="shared" si="6"/>
        <v>43.23</v>
      </c>
      <c r="AH15" s="109">
        <f t="shared" si="7"/>
        <v>6397.77</v>
      </c>
      <c r="AI15" s="108"/>
      <c r="AJ15" s="109">
        <f t="shared" si="8"/>
        <v>6397.77</v>
      </c>
      <c r="AK15" s="109"/>
      <c r="AL15" s="109">
        <f t="shared" si="9"/>
        <v>6441</v>
      </c>
      <c r="AM15" s="109"/>
      <c r="AN15" s="109"/>
      <c r="AO15" s="109"/>
      <c r="AP15" s="109"/>
      <c r="AQ15" s="109"/>
      <c r="AR15" s="117" t="str">
        <f t="shared" si="10"/>
        <v>正确</v>
      </c>
      <c r="AS15" s="117" t="str">
        <f t="shared" si="11"/>
        <v>不</v>
      </c>
      <c r="AT15" s="117" t="str">
        <f t="shared" si="12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182</v>
      </c>
      <c r="D16" s="37" t="s">
        <v>143</v>
      </c>
      <c r="E16" s="326" t="s">
        <v>183</v>
      </c>
      <c r="F16" s="127" t="s">
        <v>148</v>
      </c>
      <c r="G16" s="39">
        <v>15855788591</v>
      </c>
      <c r="H16" s="40"/>
      <c r="I16" s="40"/>
      <c r="J16" s="69"/>
      <c r="K16" s="40"/>
      <c r="L16" s="70">
        <v>6060</v>
      </c>
      <c r="M16" s="71">
        <v>321.52</v>
      </c>
      <c r="N16" s="71">
        <v>89.09</v>
      </c>
      <c r="O16" s="71">
        <v>20.1</v>
      </c>
      <c r="P16" s="71">
        <v>97</v>
      </c>
      <c r="Q16" s="70">
        <f t="shared" si="0"/>
        <v>527.71</v>
      </c>
      <c r="R16" s="70">
        <v>0</v>
      </c>
      <c r="S16" s="92">
        <f t="shared" si="1"/>
        <v>6060</v>
      </c>
      <c r="T16" s="93">
        <v>5000</v>
      </c>
      <c r="U16" s="93">
        <f t="shared" si="2"/>
        <v>527.71</v>
      </c>
      <c r="V16" s="70"/>
      <c r="W16" s="70"/>
      <c r="X16" s="70"/>
      <c r="Y16" s="70"/>
      <c r="Z16" s="70"/>
      <c r="AA16" s="70"/>
      <c r="AB16" s="92">
        <f t="shared" si="3"/>
        <v>0</v>
      </c>
      <c r="AC16" s="92">
        <f t="shared" si="4"/>
        <v>0</v>
      </c>
      <c r="AD16" s="98">
        <f t="shared" si="5"/>
        <v>532.29</v>
      </c>
      <c r="AE16" s="99">
        <f>ROUND(MAX((AD16)*{0.03;0.1;0.2;0.25;0.3;0.35;0.45}-{0;2520;16920;31920;52920;85920;181920},0),2)</f>
        <v>15.97</v>
      </c>
      <c r="AF16" s="100">
        <v>0</v>
      </c>
      <c r="AG16" s="100">
        <f t="shared" si="6"/>
        <v>15.97</v>
      </c>
      <c r="AH16" s="109">
        <f t="shared" si="7"/>
        <v>5516.32</v>
      </c>
      <c r="AI16" s="108"/>
      <c r="AJ16" s="109">
        <f t="shared" si="8"/>
        <v>5516.32</v>
      </c>
      <c r="AK16" s="109"/>
      <c r="AL16" s="109">
        <f t="shared" si="9"/>
        <v>5532.29</v>
      </c>
      <c r="AM16" s="109"/>
      <c r="AN16" s="109"/>
      <c r="AO16" s="109"/>
      <c r="AP16" s="109"/>
      <c r="AQ16" s="109"/>
      <c r="AR16" s="117" t="str">
        <f t="shared" si="10"/>
        <v>正确</v>
      </c>
      <c r="AS16" s="117" t="str">
        <f t="shared" si="11"/>
        <v>不</v>
      </c>
      <c r="AT16" s="117" t="str">
        <f t="shared" si="12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184</v>
      </c>
      <c r="D17" s="37" t="s">
        <v>143</v>
      </c>
      <c r="E17" s="326" t="s">
        <v>185</v>
      </c>
      <c r="F17" s="127" t="s">
        <v>148</v>
      </c>
      <c r="G17" s="39">
        <v>13873717760</v>
      </c>
      <c r="H17" s="40"/>
      <c r="I17" s="40"/>
      <c r="J17" s="69"/>
      <c r="K17" s="40"/>
      <c r="L17" s="70">
        <v>6560</v>
      </c>
      <c r="M17" s="71">
        <v>-301.6</v>
      </c>
      <c r="N17" s="71">
        <v>-90.4</v>
      </c>
      <c r="O17" s="71">
        <v>-11.31</v>
      </c>
      <c r="P17" s="71">
        <v>-175</v>
      </c>
      <c r="Q17" s="70">
        <f t="shared" si="0"/>
        <v>-578.31</v>
      </c>
      <c r="R17" s="70">
        <v>0</v>
      </c>
      <c r="S17" s="92">
        <f t="shared" si="1"/>
        <v>6560</v>
      </c>
      <c r="T17" s="93">
        <v>5000</v>
      </c>
      <c r="U17" s="93">
        <f t="shared" si="2"/>
        <v>-578.31</v>
      </c>
      <c r="V17" s="70"/>
      <c r="W17" s="70"/>
      <c r="X17" s="70"/>
      <c r="Y17" s="70"/>
      <c r="Z17" s="70"/>
      <c r="AA17" s="70"/>
      <c r="AB17" s="92">
        <f t="shared" si="3"/>
        <v>0</v>
      </c>
      <c r="AC17" s="92">
        <f t="shared" si="4"/>
        <v>0</v>
      </c>
      <c r="AD17" s="98">
        <f t="shared" si="5"/>
        <v>2138.31</v>
      </c>
      <c r="AE17" s="99">
        <f>ROUND(MAX((AD17)*{0.03;0.1;0.2;0.25;0.3;0.35;0.45}-{0;2520;16920;31920;52920;85920;181920},0),2)</f>
        <v>64.15</v>
      </c>
      <c r="AF17" s="100">
        <v>0</v>
      </c>
      <c r="AG17" s="100">
        <f t="shared" si="6"/>
        <v>64.15</v>
      </c>
      <c r="AH17" s="109">
        <f t="shared" si="7"/>
        <v>7074.16</v>
      </c>
      <c r="AI17" s="108"/>
      <c r="AJ17" s="109">
        <f t="shared" si="8"/>
        <v>7074.16</v>
      </c>
      <c r="AK17" s="109"/>
      <c r="AL17" s="109">
        <f t="shared" si="9"/>
        <v>7138.31</v>
      </c>
      <c r="AM17" s="109"/>
      <c r="AN17" s="109"/>
      <c r="AO17" s="109"/>
      <c r="AP17" s="109"/>
      <c r="AQ17" s="109"/>
      <c r="AR17" s="117" t="str">
        <f t="shared" si="10"/>
        <v>正确</v>
      </c>
      <c r="AS17" s="117" t="str">
        <f>IF(SUMPRODUCT(N(E$1:E$18=E17))&gt;1,"重复","不")</f>
        <v>不</v>
      </c>
      <c r="AT17" s="117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186</v>
      </c>
      <c r="D18" s="37" t="s">
        <v>143</v>
      </c>
      <c r="E18" s="326" t="s">
        <v>187</v>
      </c>
      <c r="F18" s="127" t="s">
        <v>148</v>
      </c>
      <c r="G18" s="39"/>
      <c r="H18" s="40"/>
      <c r="I18" s="40"/>
      <c r="J18" s="69"/>
      <c r="K18" s="40"/>
      <c r="L18" s="70">
        <v>6000</v>
      </c>
      <c r="M18" s="71">
        <v>321.52</v>
      </c>
      <c r="N18" s="71">
        <v>80.38</v>
      </c>
      <c r="O18" s="71">
        <v>20.1</v>
      </c>
      <c r="P18" s="71">
        <v>103</v>
      </c>
      <c r="Q18" s="70">
        <f t="shared" si="0"/>
        <v>525</v>
      </c>
      <c r="R18" s="70">
        <v>0</v>
      </c>
      <c r="S18" s="92">
        <f t="shared" si="1"/>
        <v>6000</v>
      </c>
      <c r="T18" s="93">
        <v>5000</v>
      </c>
      <c r="U18" s="93">
        <f t="shared" si="2"/>
        <v>525</v>
      </c>
      <c r="V18" s="70"/>
      <c r="W18" s="70"/>
      <c r="X18" s="70"/>
      <c r="Y18" s="70"/>
      <c r="Z18" s="70"/>
      <c r="AA18" s="70"/>
      <c r="AB18" s="92">
        <f t="shared" si="3"/>
        <v>0</v>
      </c>
      <c r="AC18" s="92">
        <f t="shared" si="4"/>
        <v>0</v>
      </c>
      <c r="AD18" s="98">
        <f t="shared" si="5"/>
        <v>475</v>
      </c>
      <c r="AE18" s="99">
        <f>ROUND(MAX((AD18)*{0.03;0.1;0.2;0.25;0.3;0.35;0.45}-{0;2520;16920;31920;52920;85920;181920},0),2)</f>
        <v>14.25</v>
      </c>
      <c r="AF18" s="100">
        <v>0</v>
      </c>
      <c r="AG18" s="100">
        <f t="shared" si="6"/>
        <v>14.25</v>
      </c>
      <c r="AH18" s="109">
        <f t="shared" si="7"/>
        <v>5460.75</v>
      </c>
      <c r="AI18" s="108"/>
      <c r="AJ18" s="109">
        <f t="shared" si="8"/>
        <v>5460.75</v>
      </c>
      <c r="AK18" s="109"/>
      <c r="AL18" s="109">
        <f t="shared" si="9"/>
        <v>5475</v>
      </c>
      <c r="AM18" s="109"/>
      <c r="AN18" s="109"/>
      <c r="AO18" s="109"/>
      <c r="AP18" s="109"/>
      <c r="AQ18" s="109"/>
      <c r="AR18" s="117" t="str">
        <f t="shared" si="10"/>
        <v>正确</v>
      </c>
      <c r="AS18" s="117" t="str">
        <f>IF(SUMPRODUCT(N(E$1:E$18=E18))&gt;1,"重复","不")</f>
        <v>不</v>
      </c>
      <c r="AT18" s="117" t="str">
        <f>IF(SUMPRODUCT(N(AO$1:AO$18=AO18))&gt;1,"重复","不")</f>
        <v>重复</v>
      </c>
    </row>
    <row r="19" s="13" customFormat="1" ht="18" customHeight="1" spans="1:46">
      <c r="A19" s="41"/>
      <c r="B19" s="42" t="s">
        <v>192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 t="shared" ref="L19:AL19" si="13">SUM(L4:L18)</f>
        <v>126905.84</v>
      </c>
      <c r="M19" s="74">
        <f t="shared" si="13"/>
        <v>4608.66</v>
      </c>
      <c r="N19" s="74">
        <f t="shared" si="13"/>
        <v>1398.38</v>
      </c>
      <c r="O19" s="74">
        <f t="shared" si="13"/>
        <v>258.28</v>
      </c>
      <c r="P19" s="74">
        <f t="shared" si="13"/>
        <v>2135.4</v>
      </c>
      <c r="Q19" s="74">
        <f t="shared" si="13"/>
        <v>8400.72</v>
      </c>
      <c r="R19" s="74">
        <f t="shared" si="13"/>
        <v>0</v>
      </c>
      <c r="S19" s="74">
        <f t="shared" si="13"/>
        <v>126905.84</v>
      </c>
      <c r="T19" s="74">
        <f t="shared" si="13"/>
        <v>75000</v>
      </c>
      <c r="U19" s="74">
        <f t="shared" si="13"/>
        <v>8400.72</v>
      </c>
      <c r="V19" s="74">
        <f t="shared" si="13"/>
        <v>0</v>
      </c>
      <c r="W19" s="74">
        <f t="shared" si="13"/>
        <v>0</v>
      </c>
      <c r="X19" s="74">
        <f t="shared" si="13"/>
        <v>0</v>
      </c>
      <c r="Y19" s="74">
        <f t="shared" si="13"/>
        <v>0</v>
      </c>
      <c r="Z19" s="74">
        <f t="shared" si="13"/>
        <v>0</v>
      </c>
      <c r="AA19" s="74">
        <f t="shared" si="13"/>
        <v>0</v>
      </c>
      <c r="AB19" s="74">
        <f t="shared" si="13"/>
        <v>0</v>
      </c>
      <c r="AC19" s="74">
        <f t="shared" si="13"/>
        <v>0</v>
      </c>
      <c r="AD19" s="74">
        <f t="shared" si="13"/>
        <v>43505.12</v>
      </c>
      <c r="AE19" s="74">
        <f t="shared" si="13"/>
        <v>1339.55</v>
      </c>
      <c r="AF19" s="74">
        <f t="shared" si="13"/>
        <v>0</v>
      </c>
      <c r="AG19" s="74">
        <f t="shared" si="13"/>
        <v>1339.55</v>
      </c>
      <c r="AH19" s="74">
        <f t="shared" si="13"/>
        <v>117165.57</v>
      </c>
      <c r="AI19" s="126">
        <f t="shared" si="13"/>
        <v>0</v>
      </c>
      <c r="AJ19" s="74">
        <f t="shared" si="13"/>
        <v>117165.57</v>
      </c>
      <c r="AK19" s="74">
        <f t="shared" si="13"/>
        <v>0</v>
      </c>
      <c r="AL19" s="74">
        <f t="shared" si="13"/>
        <v>118505.12</v>
      </c>
      <c r="AM19" s="110"/>
      <c r="AN19" s="110"/>
      <c r="AO19" s="110"/>
      <c r="AP19" s="110"/>
      <c r="AQ19" s="110"/>
      <c r="AR19" s="45"/>
      <c r="AS19" s="45"/>
      <c r="AT19" s="118"/>
    </row>
    <row r="22" spans="30:30">
      <c r="AD22" s="101"/>
    </row>
    <row r="23" ht="18.75" customHeight="1" spans="2:30">
      <c r="B23" s="47" t="s">
        <v>131</v>
      </c>
      <c r="C23" s="47" t="s">
        <v>193</v>
      </c>
      <c r="D23" s="47" t="s">
        <v>22</v>
      </c>
      <c r="E23" s="47" t="s">
        <v>23</v>
      </c>
      <c r="AD23" s="10"/>
    </row>
    <row r="24" ht="18.75" customHeight="1" spans="2:5">
      <c r="B24" s="48">
        <f>AJ19</f>
        <v>117165.57</v>
      </c>
      <c r="C24" s="48">
        <f>AG19</f>
        <v>1339.55</v>
      </c>
      <c r="D24" s="48">
        <f>AK19</f>
        <v>0</v>
      </c>
      <c r="E24" s="48">
        <f>B24+C24+D24</f>
        <v>118505.12</v>
      </c>
    </row>
    <row r="25" spans="2:5">
      <c r="B25" s="49"/>
      <c r="C25" s="49"/>
      <c r="D25" s="49"/>
      <c r="E25" s="49"/>
    </row>
    <row r="26" s="14" customFormat="1" spans="1:35">
      <c r="A26" s="51" t="s">
        <v>194</v>
      </c>
      <c r="B26" s="52" t="s">
        <v>195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196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197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198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199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200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201</v>
      </c>
    </row>
    <row r="34" spans="2:2">
      <c r="B34" s="59" t="s">
        <v>202</v>
      </c>
    </row>
    <row r="35" spans="2:2">
      <c r="B35" s="59" t="s">
        <v>203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10" stopIfTrue="1"/>
  </conditionalFormatting>
  <conditionalFormatting sqref="B26:B30">
    <cfRule type="duplicateValues" dxfId="4" priority="1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17" stopIfTrue="1"/>
    <cfRule type="expression" dxfId="5" priority="19" stopIfTrue="1">
      <formula>AND(COUNTIF($B$19:$B$65455,C23)+COUNTIF($B$1:$B$3,C23)&gt;1,NOT(ISBLANK(C23)))</formula>
    </cfRule>
    <cfRule type="expression" dxfId="5" priority="21" stopIfTrue="1">
      <formula>AND(COUNTIF($B$30:$B$65406,C23)+COUNTIF($B$1:$B$29,C23)&gt;1,NOT(ISBLANK(C23)))</formula>
    </cfRule>
    <cfRule type="expression" dxfId="5" priority="23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tabColor rgb="FF00B050"/>
    <pageSetUpPr fitToPage="1"/>
  </sheetPr>
  <dimension ref="A1:AV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2.375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204</v>
      </c>
      <c r="AN2" s="29" t="s">
        <v>205</v>
      </c>
      <c r="AO2" s="114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</v>
      </c>
      <c r="Q4" s="89">
        <f t="shared" ref="Q4:Q19" si="0">ROUND(SUM(M4:P4),2)</f>
        <v>588.3</v>
      </c>
      <c r="R4" s="70">
        <v>0</v>
      </c>
      <c r="S4" s="90">
        <f>L4+IFERROR(VLOOKUP($E:$E,'（居民）工资表-11月'!$E:$S,15,0),0)</f>
        <v>96000</v>
      </c>
      <c r="T4" s="91">
        <f>5000+IFERROR(VLOOKUP($E:$E,'（居民）工资表-11月'!$E:$T,16,0),0)</f>
        <v>60000</v>
      </c>
      <c r="U4" s="91">
        <f>Q4+IFERROR(VLOOKUP($E:$E,'（居民）工资表-11月'!$E:$U,17,0),0)</f>
        <v>7158.01</v>
      </c>
      <c r="V4" s="70">
        <v>12000</v>
      </c>
      <c r="W4" s="70"/>
      <c r="X4" s="70">
        <v>12000</v>
      </c>
      <c r="Y4" s="70"/>
      <c r="Z4" s="70">
        <v>4800</v>
      </c>
      <c r="AA4" s="70"/>
      <c r="AB4" s="90">
        <f t="shared" ref="AB4:AB19" si="1">ROUND(SUM(V4:AA4),2)</f>
        <v>28800</v>
      </c>
      <c r="AC4" s="90">
        <f>R4+IFERROR(VLOOKUP($E:$E,'（居民）工资表-11月'!$E:$AC,25,0),0)</f>
        <v>0</v>
      </c>
      <c r="AD4" s="95">
        <f t="shared" ref="AD4:AD19" si="2">ROUND(S4-T4-U4-AB4-AC4,2)</f>
        <v>41.99</v>
      </c>
      <c r="AE4" s="96">
        <f>ROUND(MAX((AD4)*{0.03;0.1;0.2;0.25;0.3;0.35;0.45}-{0;2520;16920;31920;52920;85920;181920},0),2)</f>
        <v>1.26</v>
      </c>
      <c r="AF4" s="97">
        <f>IFERROR(VLOOKUP(E:E,'（居民）工资表-11月'!E:AF,28,0)+VLOOKUP(E:E,'（居民）工资表-11月'!E:AG,29,0),0)</f>
        <v>792.91</v>
      </c>
      <c r="AG4" s="97">
        <f t="shared" ref="AG4:AG19" si="3">IF((AE4-AF4)&lt;0,0,AE4-AF4)</f>
        <v>0</v>
      </c>
      <c r="AH4" s="107">
        <f t="shared" ref="AH4:AH19" si="4">ROUND(IF((L4-Q4-AG4)&lt;0,0,(L4-Q4-AG4)),2)</f>
        <v>7411.7</v>
      </c>
      <c r="AI4" s="108"/>
      <c r="AJ4" s="107">
        <f t="shared" ref="AJ4:AJ19" si="5">AH4+AI4</f>
        <v>7411.7</v>
      </c>
      <c r="AK4" s="109"/>
      <c r="AL4" s="107">
        <f t="shared" ref="AL4:AL19" si="6">AJ4+AG4+AK4</f>
        <v>7411.7</v>
      </c>
      <c r="AM4" s="109"/>
      <c r="AN4" s="109"/>
      <c r="AO4" s="109"/>
      <c r="AP4" s="109"/>
      <c r="AQ4" s="109"/>
      <c r="AR4" s="116" t="str">
        <f t="shared" ref="AR4:AR19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IF(SUMPRODUCT(N(E$1:E$20=E4))&gt;1,"重复","不")</f>
        <v>不</v>
      </c>
      <c r="AT4" s="116" t="str">
        <f>IF(SUMPRODUCT(N(AO$1:AO$20=AO4))&gt;1,"重复","不")</f>
        <v>重复</v>
      </c>
      <c r="AU4" s="12" t="s">
        <v>40</v>
      </c>
      <c r="AV4" s="12" t="s">
        <v>42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89">
        <f t="shared" si="0"/>
        <v>655.8</v>
      </c>
      <c r="R5" s="70">
        <v>0</v>
      </c>
      <c r="S5" s="90">
        <f>L5+IFERROR(VLOOKUP($E:$E,'（居民）工资表-11月'!$E:$S,15,0),0)</f>
        <v>68800</v>
      </c>
      <c r="T5" s="91">
        <f>5000+IFERROR(VLOOKUP($E:$E,'（居民）工资表-11月'!$E:$T,16,0),0)</f>
        <v>60000</v>
      </c>
      <c r="U5" s="91">
        <f>Q5+IFERROR(VLOOKUP($E:$E,'（居民）工资表-11月'!$E:$U,17,0),0)</f>
        <v>7908.24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R5+IFERROR(VLOOKUP($E:$E,'（居民）工资表-11月'!$E:$AC,25,0),0)</f>
        <v>0</v>
      </c>
      <c r="AD5" s="95">
        <f t="shared" si="2"/>
        <v>891.76</v>
      </c>
      <c r="AE5" s="96">
        <f>ROUND(MAX((AD5)*{0.03;0.1;0.2;0.25;0.3;0.35;0.45}-{0;2520;16920;31920;52920;85920;181920},0),2)</f>
        <v>26.75</v>
      </c>
      <c r="AF5" s="97">
        <f>IFERROR(VLOOKUP(E:E,'（居民）工资表-11月'!E:AF,28,0)+VLOOKUP(E:E,'（居民）工资表-11月'!E:AG,29,0),0)</f>
        <v>25.43</v>
      </c>
      <c r="AG5" s="97">
        <f t="shared" si="3"/>
        <v>1.32</v>
      </c>
      <c r="AH5" s="107">
        <f t="shared" si="4"/>
        <v>5042.88</v>
      </c>
      <c r="AI5" s="108"/>
      <c r="AJ5" s="107">
        <f t="shared" si="5"/>
        <v>5042.88</v>
      </c>
      <c r="AK5" s="109"/>
      <c r="AL5" s="107">
        <f t="shared" si="6"/>
        <v>5044.2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>IF(SUMPRODUCT(N(E$1:E$20=E5))&gt;1,"重复","不")</f>
        <v>不</v>
      </c>
      <c r="AT5" s="116" t="str">
        <f>IF(SUMPRODUCT(N(AO$1:AO$20=AO5))&gt;1,"重复","不")</f>
        <v>重复</v>
      </c>
      <c r="AU5" s="12" t="s">
        <v>145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L6+IFERROR(VLOOKUP($E:$E,'（居民）工资表-11月'!$E:$S,15,0),0)</f>
        <v>366220</v>
      </c>
      <c r="T6" s="91">
        <f>5000+IFERROR(VLOOKUP($E:$E,'（居民）工资表-11月'!$E:$T,16,0),0)</f>
        <v>60000</v>
      </c>
      <c r="U6" s="91">
        <f>Q6+IFERROR(VLOOKUP($E:$E,'（居民）工资表-11月'!$E:$U,17,0),0)</f>
        <v>11383.5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R6+IFERROR(VLOOKUP($E:$E,'（居民）工资表-11月'!$E:$AC,25,0),0)</f>
        <v>0</v>
      </c>
      <c r="AD6" s="95">
        <f t="shared" si="2"/>
        <v>294836.5</v>
      </c>
      <c r="AE6" s="96">
        <f>ROUND(MAX((AD6)*{0.03;0.1;0.2;0.25;0.3;0.35;0.45}-{0;2520;16920;31920;52920;85920;181920},0),2)</f>
        <v>42047.3</v>
      </c>
      <c r="AF6" s="97">
        <f>IFERROR(VLOOKUP(E:E,'（居民）工资表-11月'!E:AF,28,0)+VLOOKUP(E:E,'（居民）工资表-11月'!E:AG,29,0),0)</f>
        <v>37225.01</v>
      </c>
      <c r="AG6" s="97">
        <f t="shared" si="3"/>
        <v>4822.29</v>
      </c>
      <c r="AH6" s="107">
        <f t="shared" si="4"/>
        <v>24289.16</v>
      </c>
      <c r="AI6" s="108"/>
      <c r="AJ6" s="107">
        <f t="shared" si="5"/>
        <v>24289.16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>IF(SUMPRODUCT(N(E$1:E$20=E6))&gt;1,"重复","不")</f>
        <v>不</v>
      </c>
      <c r="AT6" s="116" t="str">
        <f>IF(SUMPRODUCT(N(AO$1:AO$20=AO6))&gt;1,"重复","不")</f>
        <v>重复</v>
      </c>
      <c r="AU6" s="12" t="s">
        <v>50</v>
      </c>
      <c r="AV6" s="12" t="s">
        <v>51</v>
      </c>
    </row>
    <row r="7" s="12" customFormat="1" ht="18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9520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L7+IFERROR(VLOOKUP($E:$E,'（居民）工资表-11月'!$E:$S,15,0),0)</f>
        <v>104220</v>
      </c>
      <c r="T7" s="91">
        <f>5000+IFERROR(VLOOKUP($E:$E,'（居民）工资表-11月'!$E:$T,16,0),0)</f>
        <v>60000</v>
      </c>
      <c r="U7" s="91">
        <f>Q7+IFERROR(VLOOKUP($E:$E,'（居民）工资表-11月'!$E:$U,17,0),0)</f>
        <v>6468.53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R7+IFERROR(VLOOKUP($E:$E,'（居民）工资表-11月'!$E:$AC,25,0),0)</f>
        <v>0</v>
      </c>
      <c r="AD7" s="95">
        <f t="shared" si="2"/>
        <v>37751.47</v>
      </c>
      <c r="AE7" s="96">
        <f>ROUND(MAX((AD7)*{0.03;0.1;0.2;0.25;0.3;0.35;0.45}-{0;2520;16920;31920;52920;85920;181920},0),2)</f>
        <v>1255.15</v>
      </c>
      <c r="AF7" s="97">
        <f>IFERROR(VLOOKUP(E:E,'（居民）工资表-11月'!E:AF,28,0)+VLOOKUP(E:E,'（居民）工资表-11月'!E:AG,29,0),0)</f>
        <v>1012.78</v>
      </c>
      <c r="AG7" s="97">
        <f t="shared" si="3"/>
        <v>242.37</v>
      </c>
      <c r="AH7" s="107">
        <f t="shared" si="4"/>
        <v>8749.92</v>
      </c>
      <c r="AI7" s="108"/>
      <c r="AJ7" s="107">
        <f t="shared" si="5"/>
        <v>8749.92</v>
      </c>
      <c r="AK7" s="109"/>
      <c r="AL7" s="107">
        <f t="shared" si="6"/>
        <v>8992.29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>IF(SUMPRODUCT(N(E$1:E$20=E7))&gt;1,"重复","不")</f>
        <v>不</v>
      </c>
      <c r="AT7" s="116" t="str">
        <f>IF(SUMPRODUCT(N(AO$1:AO$20=AO7))&gt;1,"重复","不")</f>
        <v>重复</v>
      </c>
      <c r="AU7" s="12" t="s">
        <v>152</v>
      </c>
      <c r="AV7" s="12" t="s">
        <v>153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L8+IFERROR(VLOOKUP($E:$E,'（居民）工资表-11月'!$E:$S,15,0),0)</f>
        <v>128300</v>
      </c>
      <c r="T8" s="91">
        <f>5000+IFERROR(VLOOKUP($E:$E,'（居民）工资表-11月'!$E:$T,16,0),0)</f>
        <v>60000</v>
      </c>
      <c r="U8" s="91">
        <f>Q8+IFERROR(VLOOKUP($E:$E,'（居民）工资表-11月'!$E:$U,17,0),0)</f>
        <v>9057.43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R8+IFERROR(VLOOKUP($E:$E,'（居民）工资表-11月'!$E:$AC,25,0),0)</f>
        <v>0</v>
      </c>
      <c r="AD8" s="95">
        <f t="shared" si="2"/>
        <v>59242.57</v>
      </c>
      <c r="AE8" s="96">
        <f>ROUND(MAX((AD8)*{0.03;0.1;0.2;0.25;0.3;0.35;0.45}-{0;2520;16920;31920;52920;85920;181920},0),2)</f>
        <v>3404.26</v>
      </c>
      <c r="AF8" s="97">
        <f>IFERROR(VLOOKUP(E:E,'（居民）工资表-11月'!E:AF,28,0)+VLOOKUP(E:E,'（居民）工资表-11月'!E:AG,29,0),0)</f>
        <v>2931.46</v>
      </c>
      <c r="AG8" s="97">
        <f t="shared" si="3"/>
        <v>472.8</v>
      </c>
      <c r="AH8" s="107">
        <f t="shared" si="4"/>
        <v>9255.2</v>
      </c>
      <c r="AI8" s="108"/>
      <c r="AJ8" s="107">
        <f t="shared" si="5"/>
        <v>9255.2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>IF(SUMPRODUCT(N(E$1:E$20=E8))&gt;1,"重复","不")</f>
        <v>不</v>
      </c>
      <c r="AT8" s="116" t="str">
        <f>IF(SUMPRODUCT(N(AO$1:AO$20=AO8))&gt;1,"重复","不")</f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301.6</v>
      </c>
      <c r="N9" s="71">
        <v>90.4</v>
      </c>
      <c r="O9" s="71">
        <v>11.31</v>
      </c>
      <c r="P9" s="71">
        <v>100</v>
      </c>
      <c r="Q9" s="89">
        <f t="shared" si="0"/>
        <v>503.31</v>
      </c>
      <c r="R9" s="70">
        <v>0</v>
      </c>
      <c r="S9" s="90">
        <f>L9+IFERROR(VLOOKUP($E:$E,'（居民）工资表-11月'!$E:$S,15,0),0)</f>
        <v>78000</v>
      </c>
      <c r="T9" s="91">
        <f>5000+IFERROR(VLOOKUP($E:$E,'（居民）工资表-11月'!$E:$T,16,0),0)</f>
        <v>60000</v>
      </c>
      <c r="U9" s="91">
        <f>Q9+IFERROR(VLOOKUP($E:$E,'（居民）工资表-11月'!$E:$U,17,0),0)</f>
        <v>6098.81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R9+IFERROR(VLOOKUP($E:$E,'（居民）工资表-11月'!$E:$AC,25,0),0)</f>
        <v>0</v>
      </c>
      <c r="AD9" s="95">
        <f t="shared" si="2"/>
        <v>11901.19</v>
      </c>
      <c r="AE9" s="96">
        <f>ROUND(MAX((AD9)*{0.03;0.1;0.2;0.25;0.3;0.35;0.45}-{0;2520;16920;31920;52920;85920;181920},0),2)</f>
        <v>357.04</v>
      </c>
      <c r="AF9" s="97">
        <f>IFERROR(VLOOKUP(E:E,'（居民）工资表-11月'!E:AF,28,0)+VLOOKUP(E:E,'（居民）工资表-11月'!E:AG,29,0),0)</f>
        <v>327.14</v>
      </c>
      <c r="AG9" s="97">
        <f t="shared" si="3"/>
        <v>29.9</v>
      </c>
      <c r="AH9" s="107">
        <f t="shared" si="4"/>
        <v>5966.79</v>
      </c>
      <c r="AI9" s="108"/>
      <c r="AJ9" s="107">
        <f t="shared" si="5"/>
        <v>5966.79</v>
      </c>
      <c r="AK9" s="109"/>
      <c r="AL9" s="107">
        <f t="shared" si="6"/>
        <v>5996.69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>IF(SUMPRODUCT(N(E$1:E$20=E9))&gt;1,"重复","不")</f>
        <v>不</v>
      </c>
      <c r="AT9" s="116" t="str">
        <f>IF(SUMPRODUCT(N(AO$1:AO$20=AO9))&gt;1,"重复","不")</f>
        <v>重复</v>
      </c>
      <c r="AU9" s="12" t="s">
        <v>157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144</v>
      </c>
      <c r="G10" s="39" t="s">
        <v>165</v>
      </c>
      <c r="H10" s="40"/>
      <c r="I10" s="40"/>
      <c r="J10" s="69"/>
      <c r="K10" s="40"/>
      <c r="L10" s="70">
        <v>5500</v>
      </c>
      <c r="M10" s="71">
        <v>329.44</v>
      </c>
      <c r="N10" s="71">
        <v>87.36</v>
      </c>
      <c r="O10" s="71">
        <v>20.59</v>
      </c>
      <c r="P10" s="71">
        <v>105</v>
      </c>
      <c r="Q10" s="89">
        <f t="shared" si="0"/>
        <v>542.39</v>
      </c>
      <c r="R10" s="70">
        <v>0</v>
      </c>
      <c r="S10" s="90">
        <f>L10+IFERROR(VLOOKUP($E:$E,'（居民）工资表-11月'!$E:$S,15,0),0)</f>
        <v>33000</v>
      </c>
      <c r="T10" s="91">
        <f>5000+IFERROR(VLOOKUP($E:$E,'（居民）工资表-11月'!$E:$T,16,0),0)</f>
        <v>30000</v>
      </c>
      <c r="U10" s="91">
        <f>Q10+IFERROR(VLOOKUP($E:$E,'（居民）工资表-11月'!$E:$U,17,0),0)</f>
        <v>3372.69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R10+IFERROR(VLOOKUP($E:$E,'（居民）工资表-11月'!$E:$AC,25,0),0)</f>
        <v>0</v>
      </c>
      <c r="AD10" s="95">
        <f t="shared" si="2"/>
        <v>-372.69</v>
      </c>
      <c r="AE10" s="96">
        <f>ROUND(MAX((AD10)*{0.03;0.1;0.2;0.25;0.3;0.35;0.45}-{0;2520;16920;31920;52920;85920;181920},0),2)</f>
        <v>0</v>
      </c>
      <c r="AF10" s="97">
        <f>IFERROR(VLOOKUP(E:E,'（居民）工资表-11月'!E:AF,28,0)+VLOOKUP(E:E,'（居民）工资表-11月'!E:AG,29,0),0)</f>
        <v>0</v>
      </c>
      <c r="AG10" s="97">
        <f t="shared" si="3"/>
        <v>0</v>
      </c>
      <c r="AH10" s="107">
        <f t="shared" si="4"/>
        <v>4957.61</v>
      </c>
      <c r="AI10" s="108"/>
      <c r="AJ10" s="107">
        <f t="shared" si="5"/>
        <v>4957.61</v>
      </c>
      <c r="AK10" s="109"/>
      <c r="AL10" s="107">
        <f t="shared" si="6"/>
        <v>4957.61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>IF(SUMPRODUCT(N(E$1:E$20=E10))&gt;1,"重复","不")</f>
        <v>不</v>
      </c>
      <c r="AT10" s="116" t="str">
        <f>IF(SUMPRODUCT(N(AO$1:AO$20=AO10))&gt;1,"重复","不")</f>
        <v>重复</v>
      </c>
      <c r="AU10" s="12" t="s">
        <v>162</v>
      </c>
      <c r="AV10" s="12" t="s">
        <v>51</v>
      </c>
    </row>
    <row r="11" s="12" customFormat="1" ht="18" customHeight="1" spans="1:48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148</v>
      </c>
      <c r="G11" s="39" t="s">
        <v>170</v>
      </c>
      <c r="H11" s="40"/>
      <c r="I11" s="40"/>
      <c r="J11" s="69"/>
      <c r="K11" s="40"/>
      <c r="L11" s="70">
        <v>4162.8</v>
      </c>
      <c r="M11" s="71">
        <v>492.4</v>
      </c>
      <c r="N11" s="71">
        <v>144.1</v>
      </c>
      <c r="O11" s="71">
        <v>30.78</v>
      </c>
      <c r="P11" s="71">
        <v>109</v>
      </c>
      <c r="Q11" s="89">
        <f t="shared" si="0"/>
        <v>776.28</v>
      </c>
      <c r="R11" s="70">
        <v>0</v>
      </c>
      <c r="S11" s="90">
        <f>L11+IFERROR(VLOOKUP($E:$E,'（居民）工资表-11月'!$E:$S,15,0),0)</f>
        <v>54311.84</v>
      </c>
      <c r="T11" s="91">
        <f>5000+IFERROR(VLOOKUP($E:$E,'（居民）工资表-11月'!$E:$T,16,0),0)</f>
        <v>60000</v>
      </c>
      <c r="U11" s="91">
        <f>Q11+IFERROR(VLOOKUP($E:$E,'（居民）工资表-11月'!$E:$U,17,0),0)</f>
        <v>7519.44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R11+IFERROR(VLOOKUP($E:$E,'（居民）工资表-11月'!$E:$AC,25,0),0)</f>
        <v>0</v>
      </c>
      <c r="AD11" s="95">
        <f t="shared" si="2"/>
        <v>-13207.6</v>
      </c>
      <c r="AE11" s="96">
        <f>ROUND(MAX((AD11)*{0.03;0.1;0.2;0.25;0.3;0.35;0.45}-{0;2520;16920;31920;52920;85920;181920},0),2)</f>
        <v>0</v>
      </c>
      <c r="AF11" s="97">
        <f>IFERROR(VLOOKUP(E:E,'（居民）工资表-11月'!E:AF,28,0)+VLOOKUP(E:E,'（居民）工资表-11月'!E:AG,29,0),0)</f>
        <v>0</v>
      </c>
      <c r="AG11" s="97">
        <f t="shared" si="3"/>
        <v>0</v>
      </c>
      <c r="AH11" s="107">
        <f t="shared" si="4"/>
        <v>3386.52</v>
      </c>
      <c r="AI11" s="108"/>
      <c r="AJ11" s="107">
        <f t="shared" si="5"/>
        <v>3386.52</v>
      </c>
      <c r="AK11" s="109"/>
      <c r="AL11" s="107">
        <f t="shared" si="6"/>
        <v>3386.52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>IF(SUMPRODUCT(N(E$1:E$20=E11))&gt;1,"重复","不")</f>
        <v>不</v>
      </c>
      <c r="AT11" s="116" t="str">
        <f>IF(SUMPRODUCT(N(AO$1:AO$20=AO11))&gt;1,"重复","不")</f>
        <v>重复</v>
      </c>
      <c r="AU11" s="12" t="s">
        <v>166</v>
      </c>
      <c r="AV11" s="12" t="s">
        <v>167</v>
      </c>
    </row>
    <row r="12" s="12" customFormat="1" ht="18" customHeight="1" spans="1:48">
      <c r="A12" s="36">
        <v>9</v>
      </c>
      <c r="B12" s="37" t="s">
        <v>142</v>
      </c>
      <c r="C12" s="37" t="s">
        <v>173</v>
      </c>
      <c r="D12" s="37" t="s">
        <v>143</v>
      </c>
      <c r="E12" s="326" t="s">
        <v>174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8500</v>
      </c>
      <c r="M12" s="71">
        <v>321.52</v>
      </c>
      <c r="N12" s="71">
        <v>120.38</v>
      </c>
      <c r="O12" s="71">
        <v>20.1</v>
      </c>
      <c r="P12" s="71">
        <v>97</v>
      </c>
      <c r="Q12" s="89">
        <f t="shared" si="0"/>
        <v>559</v>
      </c>
      <c r="R12" s="70">
        <v>0</v>
      </c>
      <c r="S12" s="90">
        <f>L12+IFERROR(VLOOKUP($E:$E,'（居民）工资表-11月'!$E:$S,15,0),0)</f>
        <v>111600</v>
      </c>
      <c r="T12" s="91">
        <f>5000+IFERROR(VLOOKUP($E:$E,'（居民）工资表-11月'!$E:$T,16,0),0)</f>
        <v>60000</v>
      </c>
      <c r="U12" s="91">
        <f>Q12+IFERROR(VLOOKUP($E:$E,'（居民）工资表-11月'!$E:$U,17,0),0)</f>
        <v>6837.13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R12+IFERROR(VLOOKUP($E:$E,'（居民）工资表-11月'!$E:$AC,25,0),0)</f>
        <v>0</v>
      </c>
      <c r="AD12" s="95">
        <f t="shared" si="2"/>
        <v>44762.87</v>
      </c>
      <c r="AE12" s="96">
        <f>ROUND(MAX((AD12)*{0.03;0.1;0.2;0.25;0.3;0.35;0.45}-{0;2520;16920;31920;52920;85920;181920},0),2)</f>
        <v>1956.29</v>
      </c>
      <c r="AF12" s="97">
        <f>IFERROR(VLOOKUP(E:E,'（居民）工资表-11月'!E:AF,28,0)+VLOOKUP(E:E,'（居民）工资表-11月'!E:AG,29,0),0)</f>
        <v>1662.19</v>
      </c>
      <c r="AG12" s="97">
        <f t="shared" si="3"/>
        <v>294.1</v>
      </c>
      <c r="AH12" s="107">
        <f t="shared" si="4"/>
        <v>7646.9</v>
      </c>
      <c r="AI12" s="108"/>
      <c r="AJ12" s="107">
        <f t="shared" si="5"/>
        <v>7646.9</v>
      </c>
      <c r="AK12" s="109"/>
      <c r="AL12" s="107">
        <f t="shared" si="6"/>
        <v>7941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>IF(SUMPRODUCT(N(E$1:E$20=E12))&gt;1,"重复","不")</f>
        <v>不</v>
      </c>
      <c r="AT12" s="116" t="str">
        <f>IF(SUMPRODUCT(N(AO$1:AO$20=AO12))&gt;1,"重复","不")</f>
        <v>重复</v>
      </c>
      <c r="AU12" s="12" t="s">
        <v>171</v>
      </c>
      <c r="AV12" s="12" t="s">
        <v>172</v>
      </c>
    </row>
    <row r="13" s="12" customFormat="1" ht="18" customHeight="1" spans="1:48">
      <c r="A13" s="36">
        <v>10</v>
      </c>
      <c r="B13" s="37" t="s">
        <v>142</v>
      </c>
      <c r="C13" s="37" t="s">
        <v>175</v>
      </c>
      <c r="D13" s="37" t="s">
        <v>143</v>
      </c>
      <c r="E13" s="326" t="s">
        <v>176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L13+IFERROR(VLOOKUP($E:$E,'（居民）工资表-11月'!$E:$S,15,0),0)</f>
        <v>90862.05</v>
      </c>
      <c r="T13" s="91">
        <f>5000+IFERROR(VLOOKUP($E:$E,'（居民）工资表-11月'!$E:$T,16,0),0)</f>
        <v>60000</v>
      </c>
      <c r="U13" s="91">
        <f>Q13+IFERROR(VLOOKUP($E:$E,'（居民）工资表-11月'!$E:$U,17,0),0)</f>
        <v>9057.43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R13+IFERROR(VLOOKUP($E:$E,'（居民）工资表-11月'!$E:$AC,25,0),0)</f>
        <v>0</v>
      </c>
      <c r="AD13" s="95">
        <f t="shared" si="2"/>
        <v>21804.62</v>
      </c>
      <c r="AE13" s="96">
        <f>ROUND(MAX((AD13)*{0.03;0.1;0.2;0.25;0.3;0.35;0.45}-{0;2520;16920;31920;52920;85920;181920},0),2)</f>
        <v>654.14</v>
      </c>
      <c r="AF13" s="97">
        <f>IFERROR(VLOOKUP(E:E,'（居民）工资表-11月'!E:AF,28,0)+VLOOKUP(E:E,'（居民）工资表-11月'!E:AG,29,0),0)</f>
        <v>617.3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>IF(SUMPRODUCT(N(E$1:E$20=E13))&gt;1,"重复","不")</f>
        <v>不</v>
      </c>
      <c r="AT13" s="116" t="str">
        <f>IF(SUMPRODUCT(N(AO$1:AO$20=AO13))&gt;1,"重复","不")</f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177</v>
      </c>
      <c r="D14" s="37" t="s">
        <v>143</v>
      </c>
      <c r="E14" s="326" t="s">
        <v>178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7000</v>
      </c>
      <c r="M14" s="71">
        <v>321.52</v>
      </c>
      <c r="N14" s="71">
        <v>86.38</v>
      </c>
      <c r="O14" s="71">
        <v>20.1</v>
      </c>
      <c r="P14" s="71">
        <v>344</v>
      </c>
      <c r="Q14" s="89">
        <f t="shared" si="0"/>
        <v>772</v>
      </c>
      <c r="R14" s="70">
        <v>0</v>
      </c>
      <c r="S14" s="90">
        <f>L14+IFERROR(VLOOKUP($E:$E,'（居民）工资表-11月'!$E:$S,15,0),0)</f>
        <v>96208.7</v>
      </c>
      <c r="T14" s="91">
        <f>5000+IFERROR(VLOOKUP($E:$E,'（居民）工资表-11月'!$E:$T,16,0),0)</f>
        <v>60000</v>
      </c>
      <c r="U14" s="91">
        <f>Q14+IFERROR(VLOOKUP($E:$E,'（居民）工资表-11月'!$E:$U,17,0),0)</f>
        <v>9057.43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R14+IFERROR(VLOOKUP($E:$E,'（居民）工资表-11月'!$E:$AC,25,0),0)</f>
        <v>0</v>
      </c>
      <c r="AD14" s="95">
        <f t="shared" si="2"/>
        <v>27151.27</v>
      </c>
      <c r="AE14" s="96">
        <f>ROUND(MAX((AD14)*{0.03;0.1;0.2;0.25;0.3;0.35;0.45}-{0;2520;16920;31920;52920;85920;181920},0),2)</f>
        <v>814.54</v>
      </c>
      <c r="AF14" s="97">
        <f>IFERROR(VLOOKUP(E:E,'（居民）工资表-11月'!E:AF,28,0)+VLOOKUP(E:E,'（居民）工资表-11月'!E:AG,29,0),0)</f>
        <v>777.7</v>
      </c>
      <c r="AG14" s="97">
        <f t="shared" si="3"/>
        <v>36.8399999999999</v>
      </c>
      <c r="AH14" s="107">
        <f t="shared" si="4"/>
        <v>6191.16</v>
      </c>
      <c r="AI14" s="108"/>
      <c r="AJ14" s="107">
        <f t="shared" si="5"/>
        <v>6191.16</v>
      </c>
      <c r="AK14" s="109"/>
      <c r="AL14" s="107">
        <f t="shared" si="6"/>
        <v>6228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IF(SUMPRODUCT(N(E$1:E$20=E14))&gt;1,"重复","不")</f>
        <v>不</v>
      </c>
      <c r="AT14" s="116" t="str">
        <f>IF(SUMPRODUCT(N(AO$1:AO$20=AO14))&gt;1,"重复","不")</f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 t="s">
        <v>181</v>
      </c>
      <c r="H15" s="40"/>
      <c r="I15" s="40"/>
      <c r="J15" s="69"/>
      <c r="K15" s="40"/>
      <c r="L15" s="70">
        <v>7000</v>
      </c>
      <c r="M15" s="71">
        <v>321.52</v>
      </c>
      <c r="N15" s="71">
        <v>120.38</v>
      </c>
      <c r="O15" s="71">
        <v>20.1</v>
      </c>
      <c r="P15" s="71">
        <v>97</v>
      </c>
      <c r="Q15" s="89">
        <f t="shared" si="0"/>
        <v>559</v>
      </c>
      <c r="R15" s="70">
        <v>0</v>
      </c>
      <c r="S15" s="90">
        <f>L15+IFERROR(VLOOKUP($E:$E,'（居民）工资表-11月'!$E:$S,15,0),0)</f>
        <v>88500</v>
      </c>
      <c r="T15" s="91">
        <f>5000+IFERROR(VLOOKUP($E:$E,'（居民）工资表-11月'!$E:$T,16,0),0)</f>
        <v>60000</v>
      </c>
      <c r="U15" s="91">
        <f>Q15+IFERROR(VLOOKUP($E:$E,'（居民）工资表-11月'!$E:$U,17,0),0)</f>
        <v>6837.13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R15+IFERROR(VLOOKUP($E:$E,'（居民）工资表-11月'!$E:$AC,25,0),0)</f>
        <v>0</v>
      </c>
      <c r="AD15" s="95">
        <f t="shared" si="2"/>
        <v>21662.87</v>
      </c>
      <c r="AE15" s="96">
        <f>ROUND(MAX((AD15)*{0.03;0.1;0.2;0.25;0.3;0.35;0.45}-{0;2520;16920;31920;52920;85920;181920},0),2)</f>
        <v>649.89</v>
      </c>
      <c r="AF15" s="97">
        <f>IFERROR(VLOOKUP(E:E,'（居民）工资表-11月'!E:AF,28,0)+VLOOKUP(E:E,'（居民）工资表-11月'!E:AG,29,0),0)</f>
        <v>606.66</v>
      </c>
      <c r="AG15" s="97">
        <f t="shared" si="3"/>
        <v>43.23</v>
      </c>
      <c r="AH15" s="107">
        <f t="shared" si="4"/>
        <v>6397.77</v>
      </c>
      <c r="AI15" s="108"/>
      <c r="AJ15" s="107">
        <f t="shared" si="5"/>
        <v>6397.77</v>
      </c>
      <c r="AK15" s="109"/>
      <c r="AL15" s="107">
        <f t="shared" si="6"/>
        <v>6441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IF(SUMPRODUCT(N(E$1:E$20=E15))&gt;1,"重复","不")</f>
        <v>不</v>
      </c>
      <c r="AT15" s="116" t="str">
        <f>IF(SUMPRODUCT(N(AO$1:AO$20=AO15))&gt;1,"重复","不")</f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12</v>
      </c>
      <c r="B16" s="37" t="s">
        <v>142</v>
      </c>
      <c r="C16" s="37" t="s">
        <v>182</v>
      </c>
      <c r="D16" s="37" t="s">
        <v>143</v>
      </c>
      <c r="E16" s="326" t="s">
        <v>183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6380</v>
      </c>
      <c r="M16" s="71">
        <v>321.52</v>
      </c>
      <c r="N16" s="71">
        <v>89.09</v>
      </c>
      <c r="O16" s="71">
        <v>20.1</v>
      </c>
      <c r="P16" s="71">
        <v>97</v>
      </c>
      <c r="Q16" s="89">
        <f t="shared" si="0"/>
        <v>527.71</v>
      </c>
      <c r="R16" s="70">
        <v>0</v>
      </c>
      <c r="S16" s="90">
        <f>L16+IFERROR(VLOOKUP($E:$E,'（居民）工资表-11月'!$E:$S,15,0),0)</f>
        <v>78701.74</v>
      </c>
      <c r="T16" s="91">
        <f>5000+IFERROR(VLOOKUP($E:$E,'（居民）工资表-11月'!$E:$T,16,0),0)</f>
        <v>60000</v>
      </c>
      <c r="U16" s="91">
        <f>Q16+IFERROR(VLOOKUP($E:$E,'（居民）工资表-11月'!$E:$U,17,0),0)</f>
        <v>6468.53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R16+IFERROR(VLOOKUP($E:$E,'（居民）工资表-11月'!$E:$AC,25,0),0)</f>
        <v>0</v>
      </c>
      <c r="AD16" s="95">
        <f t="shared" si="2"/>
        <v>12233.21</v>
      </c>
      <c r="AE16" s="96">
        <f>ROUND(MAX((AD16)*{0.03;0.1;0.2;0.25;0.3;0.35;0.45}-{0;2520;16920;31920;52920;85920;181920},0),2)</f>
        <v>367</v>
      </c>
      <c r="AF16" s="97">
        <f>IFERROR(VLOOKUP(E:E,'（居民）工资表-11月'!E:AF,28,0)+VLOOKUP(E:E,'（居民）工资表-11月'!E:AG,29,0),0)</f>
        <v>341.43</v>
      </c>
      <c r="AG16" s="97">
        <f t="shared" si="3"/>
        <v>25.57</v>
      </c>
      <c r="AH16" s="107">
        <f t="shared" si="4"/>
        <v>5826.72</v>
      </c>
      <c r="AI16" s="108"/>
      <c r="AJ16" s="107">
        <f t="shared" si="5"/>
        <v>5826.72</v>
      </c>
      <c r="AK16" s="109"/>
      <c r="AL16" s="107">
        <f t="shared" si="6"/>
        <v>5852.29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IF(SUMPRODUCT(N(E$1:E$20=E16))&gt;1,"重复","不")</f>
        <v>不</v>
      </c>
      <c r="AT16" s="116" t="str">
        <f>IF(SUMPRODUCT(N(AO$1:AO$20=AO16))&gt;1,"重复","不")</f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12</v>
      </c>
      <c r="B17" s="37" t="s">
        <v>142</v>
      </c>
      <c r="C17" s="37" t="s">
        <v>184</v>
      </c>
      <c r="D17" s="37" t="s">
        <v>143</v>
      </c>
      <c r="E17" s="326" t="s">
        <v>185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6560</v>
      </c>
      <c r="M17" s="71">
        <v>301.6</v>
      </c>
      <c r="N17" s="71">
        <v>90.4</v>
      </c>
      <c r="O17" s="71">
        <v>11.31</v>
      </c>
      <c r="P17" s="71">
        <v>175</v>
      </c>
      <c r="Q17" s="89">
        <f t="shared" si="0"/>
        <v>578.31</v>
      </c>
      <c r="R17" s="70">
        <v>0</v>
      </c>
      <c r="S17" s="90">
        <f>L17+IFERROR(VLOOKUP($E:$E,'（居民）工资表-11月'!$E:$S,15,0),0)</f>
        <v>42860</v>
      </c>
      <c r="T17" s="91">
        <f>5000+IFERROR(VLOOKUP($E:$E,'（居民）工资表-11月'!$E:$T,16,0),0)</f>
        <v>30000</v>
      </c>
      <c r="U17" s="91">
        <f>Q17+IFERROR(VLOOKUP($E:$E,'（居民）工资表-11月'!$E:$U,17,0),0)</f>
        <v>3364.52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R17+IFERROR(VLOOKUP($E:$E,'（居民）工资表-11月'!$E:$AC,25,0),0)</f>
        <v>0</v>
      </c>
      <c r="AD17" s="95">
        <f t="shared" si="2"/>
        <v>9495.48</v>
      </c>
      <c r="AE17" s="96">
        <f>ROUND(MAX((AD17)*{0.03;0.1;0.2;0.25;0.3;0.35;0.45}-{0;2520;16920;31920;52920;85920;181920},0),2)</f>
        <v>284.86</v>
      </c>
      <c r="AF17" s="97">
        <f>IFERROR(VLOOKUP(E:E,'（居民）工资表-11月'!E:AF,28,0)+VLOOKUP(E:E,'（居民）工资表-11月'!E:AG,29,0),0)</f>
        <v>255.41</v>
      </c>
      <c r="AG17" s="97">
        <f t="shared" si="3"/>
        <v>29.45</v>
      </c>
      <c r="AH17" s="107">
        <f t="shared" si="4"/>
        <v>5952.24</v>
      </c>
      <c r="AI17" s="108"/>
      <c r="AJ17" s="107">
        <f t="shared" si="5"/>
        <v>5952.24</v>
      </c>
      <c r="AK17" s="109"/>
      <c r="AL17" s="107">
        <f t="shared" si="6"/>
        <v>5981.69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IF(SUMPRODUCT(N(E$1:E$20=E17))&gt;1,"重复","不")</f>
        <v>不</v>
      </c>
      <c r="AT17" s="116" t="str">
        <f>IF(SUMPRODUCT(N(AO$1:AO$20=AO17))&gt;1,"重复","不")</f>
        <v>重复</v>
      </c>
      <c r="AU17" s="12" t="s">
        <v>157</v>
      </c>
      <c r="AV17" s="12" t="s">
        <v>51</v>
      </c>
    </row>
    <row r="18" s="12" customFormat="1" ht="18" customHeight="1" spans="1:48">
      <c r="A18" s="36">
        <v>12</v>
      </c>
      <c r="B18" s="37" t="s">
        <v>142</v>
      </c>
      <c r="C18" s="37" t="s">
        <v>186</v>
      </c>
      <c r="D18" s="37" t="s">
        <v>143</v>
      </c>
      <c r="E18" s="326" t="s">
        <v>187</v>
      </c>
      <c r="F18" s="38" t="s">
        <v>148</v>
      </c>
      <c r="G18" s="39"/>
      <c r="H18" s="40"/>
      <c r="I18" s="40"/>
      <c r="J18" s="69"/>
      <c r="K18" s="40"/>
      <c r="L18" s="70">
        <v>6000</v>
      </c>
      <c r="M18" s="71">
        <v>321.52</v>
      </c>
      <c r="N18" s="71">
        <v>80.38</v>
      </c>
      <c r="O18" s="71">
        <v>20.1</v>
      </c>
      <c r="P18" s="71">
        <v>103</v>
      </c>
      <c r="Q18" s="89">
        <f t="shared" si="0"/>
        <v>525</v>
      </c>
      <c r="R18" s="70">
        <v>0</v>
      </c>
      <c r="S18" s="90">
        <f>L18+IFERROR(VLOOKUP($E:$E,'（居民）工资表-11月'!$E:$S,15,0),0)</f>
        <v>74600</v>
      </c>
      <c r="T18" s="91">
        <f>5000+IFERROR(VLOOKUP($E:$E,'（居民）工资表-11月'!$E:$T,16,0),0)</f>
        <v>60000</v>
      </c>
      <c r="U18" s="91">
        <f>Q18+IFERROR(VLOOKUP($E:$E,'（居民）工资表-11月'!$E:$U,17,0),0)</f>
        <v>6358.89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R18+IFERROR(VLOOKUP($E:$E,'（居民）工资表-11月'!$E:$AC,25,0),0)</f>
        <v>0</v>
      </c>
      <c r="AD18" s="95">
        <f t="shared" si="2"/>
        <v>8241.11</v>
      </c>
      <c r="AE18" s="96">
        <f>ROUND(MAX((AD18)*{0.03;0.1;0.2;0.25;0.3;0.35;0.45}-{0;2520;16920;31920;52920;85920;181920},0),2)</f>
        <v>247.23</v>
      </c>
      <c r="AF18" s="97">
        <f>IFERROR(VLOOKUP(E:E,'（居民）工资表-11月'!E:AF,28,0)+VLOOKUP(E:E,'（居民）工资表-11月'!E:AG,29,0),0)</f>
        <v>232.98</v>
      </c>
      <c r="AG18" s="97">
        <f t="shared" si="3"/>
        <v>14.25</v>
      </c>
      <c r="AH18" s="107">
        <f t="shared" si="4"/>
        <v>5460.75</v>
      </c>
      <c r="AI18" s="108"/>
      <c r="AJ18" s="107">
        <f t="shared" si="5"/>
        <v>5460.75</v>
      </c>
      <c r="AK18" s="109"/>
      <c r="AL18" s="107">
        <f t="shared" si="6"/>
        <v>5475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IF(SUMPRODUCT(N(E$1:E$20=E18))&gt;1,"重复","不")</f>
        <v>不</v>
      </c>
      <c r="AT18" s="116" t="str">
        <f>IF(SUMPRODUCT(N(AO$1:AO$20=AO18))&gt;1,"重复","不")</f>
        <v>重复</v>
      </c>
      <c r="AU18" s="12" t="s">
        <v>157</v>
      </c>
      <c r="AV18" s="12" t="s">
        <v>51</v>
      </c>
    </row>
    <row r="19" s="12" customFormat="1" ht="18" customHeight="1" spans="1:48">
      <c r="A19" s="36">
        <v>12</v>
      </c>
      <c r="B19" s="37" t="s">
        <v>142</v>
      </c>
      <c r="C19" s="37" t="s">
        <v>188</v>
      </c>
      <c r="D19" s="37" t="s">
        <v>143</v>
      </c>
      <c r="E19" s="326" t="s">
        <v>189</v>
      </c>
      <c r="F19" s="38" t="s">
        <v>148</v>
      </c>
      <c r="G19" s="39">
        <v>15571147351</v>
      </c>
      <c r="H19" s="40"/>
      <c r="I19" s="40"/>
      <c r="J19" s="69"/>
      <c r="K19" s="40"/>
      <c r="L19" s="70">
        <v>7250</v>
      </c>
      <c r="M19" s="71">
        <v>0</v>
      </c>
      <c r="N19" s="71">
        <v>0</v>
      </c>
      <c r="O19" s="71">
        <v>0</v>
      </c>
      <c r="P19" s="71">
        <v>0</v>
      </c>
      <c r="Q19" s="89">
        <f t="shared" si="0"/>
        <v>0</v>
      </c>
      <c r="R19" s="70">
        <v>0</v>
      </c>
      <c r="S19" s="90">
        <f>L19+IFERROR(VLOOKUP($E:$E,'（居民）工资表-11月'!$E:$S,15,0),0)</f>
        <v>27058.14</v>
      </c>
      <c r="T19" s="91">
        <f>5000+IFERROR(VLOOKUP($E:$E,'（居民）工资表-11月'!$E:$T,16,0),0)</f>
        <v>30000</v>
      </c>
      <c r="U19" s="91">
        <f>Q19+IFERROR(VLOOKUP($E:$E,'（居民）工资表-11月'!$E:$U,17,0),0)</f>
        <v>3227.4</v>
      </c>
      <c r="V19" s="70"/>
      <c r="W19" s="70"/>
      <c r="X19" s="70"/>
      <c r="Y19" s="70"/>
      <c r="Z19" s="70"/>
      <c r="AA19" s="70"/>
      <c r="AB19" s="90">
        <f t="shared" si="1"/>
        <v>0</v>
      </c>
      <c r="AC19" s="90">
        <f>R19+IFERROR(VLOOKUP($E:$E,'（居民）工资表-11月'!$E:$AC,25,0),0)</f>
        <v>0</v>
      </c>
      <c r="AD19" s="95">
        <f t="shared" si="2"/>
        <v>-6169.26</v>
      </c>
      <c r="AE19" s="96">
        <f>ROUND(MAX((AD19)*{0.03;0.1;0.2;0.25;0.3;0.35;0.45}-{0;2520;16920;31920;52920;85920;181920},0),2)</f>
        <v>0</v>
      </c>
      <c r="AF19" s="97">
        <f>IFERROR(VLOOKUP(E:E,'（居民）工资表-11月'!E:AF,28,0)+VLOOKUP(E:E,'（居民）工资表-11月'!E:AG,29,0),0)</f>
        <v>0</v>
      </c>
      <c r="AG19" s="97">
        <f t="shared" si="3"/>
        <v>0</v>
      </c>
      <c r="AH19" s="107">
        <f t="shared" si="4"/>
        <v>7250</v>
      </c>
      <c r="AI19" s="108"/>
      <c r="AJ19" s="107">
        <f t="shared" si="5"/>
        <v>7250</v>
      </c>
      <c r="AK19" s="109"/>
      <c r="AL19" s="107">
        <f t="shared" si="6"/>
        <v>7250</v>
      </c>
      <c r="AM19" s="109"/>
      <c r="AN19" s="109"/>
      <c r="AO19" s="109"/>
      <c r="AP19" s="109"/>
      <c r="AQ19" s="109"/>
      <c r="AR19" s="116" t="str">
        <f t="shared" si="7"/>
        <v>正确</v>
      </c>
      <c r="AS19" s="116" t="str">
        <f>IF(SUMPRODUCT(N(E$1:E$20=E19))&gt;1,"重复","不")</f>
        <v>不</v>
      </c>
      <c r="AT19" s="116" t="str">
        <f>IF(SUMPRODUCT(N(AO$1:AO$20=AO19))&gt;1,"重复","不")</f>
        <v>重复</v>
      </c>
      <c r="AU19" s="12" t="s">
        <v>157</v>
      </c>
      <c r="AV19" s="12" t="s">
        <v>51</v>
      </c>
    </row>
    <row r="20" s="12" customFormat="1" ht="18" customHeight="1" spans="1:46">
      <c r="A20" s="36"/>
      <c r="B20" s="37"/>
      <c r="C20" s="37"/>
      <c r="D20" s="37"/>
      <c r="E20" s="37"/>
      <c r="F20" s="38"/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/>
      <c r="R20" s="70"/>
      <c r="S20" s="90"/>
      <c r="T20" s="91"/>
      <c r="U20" s="91"/>
      <c r="V20" s="70"/>
      <c r="W20" s="70"/>
      <c r="X20" s="70"/>
      <c r="Y20" s="70"/>
      <c r="Z20" s="70"/>
      <c r="AA20" s="70"/>
      <c r="AB20" s="90"/>
      <c r="AC20" s="90"/>
      <c r="AD20" s="95"/>
      <c r="AE20" s="96"/>
      <c r="AF20" s="97"/>
      <c r="AG20" s="97"/>
      <c r="AH20" s="107"/>
      <c r="AI20" s="108"/>
      <c r="AJ20" s="107"/>
      <c r="AK20" s="109"/>
      <c r="AL20" s="107"/>
      <c r="AM20" s="109"/>
      <c r="AN20" s="109"/>
      <c r="AO20" s="109"/>
      <c r="AP20" s="109"/>
      <c r="AQ20" s="109"/>
      <c r="AR20" s="116"/>
      <c r="AS20" s="116"/>
      <c r="AT20" s="116"/>
    </row>
    <row r="21" s="13" customFormat="1" ht="18" customHeight="1" spans="1:46">
      <c r="A21" s="41"/>
      <c r="B21" s="42" t="s">
        <v>192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 t="shared" ref="L21:AL21" si="8">SUM(L4:L20)</f>
        <v>135632.8</v>
      </c>
      <c r="M21" s="74">
        <f t="shared" si="8"/>
        <v>5324.18</v>
      </c>
      <c r="N21" s="74">
        <f t="shared" si="8"/>
        <v>1510.26</v>
      </c>
      <c r="O21" s="74">
        <f t="shared" si="8"/>
        <v>287.92</v>
      </c>
      <c r="P21" s="74">
        <f t="shared" si="8"/>
        <v>2485</v>
      </c>
      <c r="Q21" s="74">
        <f t="shared" si="8"/>
        <v>9607.36</v>
      </c>
      <c r="R21" s="74">
        <f t="shared" si="8"/>
        <v>0</v>
      </c>
      <c r="S21" s="74">
        <f t="shared" si="8"/>
        <v>1539242.47</v>
      </c>
      <c r="T21" s="74">
        <f t="shared" si="8"/>
        <v>870000</v>
      </c>
      <c r="U21" s="74">
        <f t="shared" si="8"/>
        <v>110175.11</v>
      </c>
      <c r="V21" s="74">
        <f t="shared" si="8"/>
        <v>12000</v>
      </c>
      <c r="W21" s="74">
        <f t="shared" si="8"/>
        <v>0</v>
      </c>
      <c r="X21" s="74">
        <f t="shared" si="8"/>
        <v>12000</v>
      </c>
      <c r="Y21" s="74">
        <f t="shared" si="8"/>
        <v>0</v>
      </c>
      <c r="Z21" s="74">
        <f t="shared" si="8"/>
        <v>4800</v>
      </c>
      <c r="AA21" s="74">
        <f t="shared" si="8"/>
        <v>0</v>
      </c>
      <c r="AB21" s="74">
        <f t="shared" si="8"/>
        <v>28800</v>
      </c>
      <c r="AC21" s="74">
        <f t="shared" si="8"/>
        <v>0</v>
      </c>
      <c r="AD21" s="74">
        <f t="shared" si="8"/>
        <v>530267.36</v>
      </c>
      <c r="AE21" s="74">
        <f t="shared" si="8"/>
        <v>52065.71</v>
      </c>
      <c r="AF21" s="74">
        <f t="shared" si="8"/>
        <v>46808.4</v>
      </c>
      <c r="AG21" s="74">
        <f t="shared" si="8"/>
        <v>6048.96</v>
      </c>
      <c r="AH21" s="74">
        <f t="shared" si="8"/>
        <v>119976.48</v>
      </c>
      <c r="AI21" s="126">
        <f t="shared" si="8"/>
        <v>0</v>
      </c>
      <c r="AJ21" s="74">
        <f t="shared" si="8"/>
        <v>119976.48</v>
      </c>
      <c r="AK21" s="74">
        <f t="shared" si="8"/>
        <v>0</v>
      </c>
      <c r="AL21" s="74">
        <f t="shared" si="8"/>
        <v>126025.44</v>
      </c>
      <c r="AM21" s="110"/>
      <c r="AN21" s="110"/>
      <c r="AO21" s="110"/>
      <c r="AP21" s="110"/>
      <c r="AQ21" s="110"/>
      <c r="AR21" s="45"/>
      <c r="AS21" s="45"/>
      <c r="AT21" s="118"/>
    </row>
    <row r="24" spans="30:30">
      <c r="AD24" s="101"/>
    </row>
    <row r="25" ht="18.75" customHeight="1" spans="2:30">
      <c r="B25" s="47" t="s">
        <v>131</v>
      </c>
      <c r="C25" s="47" t="s">
        <v>193</v>
      </c>
      <c r="D25" s="47" t="s">
        <v>22</v>
      </c>
      <c r="E25" s="47" t="s">
        <v>23</v>
      </c>
      <c r="AD25" s="10"/>
    </row>
    <row r="26" ht="18.75" customHeight="1" spans="2:5">
      <c r="B26" s="48">
        <f>AJ21</f>
        <v>119976.48</v>
      </c>
      <c r="C26" s="48">
        <f>AG21</f>
        <v>6048.96</v>
      </c>
      <c r="D26" s="48">
        <f>AK21</f>
        <v>0</v>
      </c>
      <c r="E26" s="48">
        <f>B26+C26+D26</f>
        <v>126025.44</v>
      </c>
    </row>
    <row r="27" spans="2:5">
      <c r="B27" s="49"/>
      <c r="C27" s="49"/>
      <c r="D27" s="49"/>
      <c r="E27" s="49"/>
    </row>
    <row r="28" s="14" customFormat="1" spans="1:35">
      <c r="A28" s="51" t="s">
        <v>194</v>
      </c>
      <c r="B28" s="52" t="s">
        <v>195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4"/>
      <c r="B29" s="55" t="s">
        <v>196</v>
      </c>
      <c r="C29" s="50"/>
      <c r="D29" s="50"/>
      <c r="E29" s="50"/>
      <c r="G29" s="53"/>
      <c r="J29" s="75"/>
      <c r="M29" s="76"/>
      <c r="AI29" s="112"/>
    </row>
    <row r="30" s="14" customFormat="1" spans="1:35">
      <c r="A30" s="52"/>
      <c r="B30" s="55" t="s">
        <v>197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12"/>
    </row>
    <row r="31" s="14" customFormat="1" customHeight="1" spans="1:35">
      <c r="A31" s="55"/>
      <c r="B31" s="55" t="s">
        <v>198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199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12"/>
    </row>
    <row r="33" s="14" customFormat="1" customHeight="1" spans="1:35">
      <c r="A33" s="55"/>
      <c r="B33" s="55" t="s">
        <v>200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12"/>
    </row>
    <row r="35" ht="11.25" customHeight="1" spans="2:2">
      <c r="B35" s="58" t="s">
        <v>201</v>
      </c>
    </row>
    <row r="36" spans="2:2">
      <c r="B36" s="59" t="s">
        <v>202</v>
      </c>
    </row>
    <row r="37" spans="2:2">
      <c r="B37" s="59" t="s">
        <v>203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4" priority="2" stopIfTrue="1"/>
  </conditionalFormatting>
  <conditionalFormatting sqref="B28:B32">
    <cfRule type="duplicateValues" dxfId="4" priority="3" stopIfTrue="1"/>
  </conditionalFormatting>
  <conditionalFormatting sqref="B36:B37">
    <cfRule type="duplicateValues" dxfId="4" priority="1" stopIfTrue="1"/>
  </conditionalFormatting>
  <conditionalFormatting sqref="C25:C27">
    <cfRule type="duplicateValues" dxfId="4" priority="4" stopIfTrue="1"/>
    <cfRule type="expression" dxfId="5" priority="5" stopIfTrue="1">
      <formula>AND(COUNTIF($B$21:$B$65457,C25)+COUNTIF($B$1:$B$3,C25)&gt;1,NOT(ISBLANK(C25)))</formula>
    </cfRule>
    <cfRule type="expression" dxfId="5" priority="6" stopIfTrue="1">
      <formula>AND(COUNTIF($B$32:$B$65408,C25)+COUNTIF($B$1:$B$31,C25)&gt;1,NOT(ISBLANK(C25)))</formula>
    </cfRule>
    <cfRule type="expression" dxfId="5" priority="7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tabColor rgb="FF00B050"/>
  </sheetPr>
  <dimension ref="A1:AU3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25" style="15" customWidth="1"/>
    <col min="39" max="39" width="0.75" style="15" hidden="1" customWidth="1"/>
    <col min="40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>
        <f>U4/2</f>
        <v>636.7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217</v>
      </c>
      <c r="AL2" s="103" t="s">
        <v>132</v>
      </c>
      <c r="AM2" s="29" t="s">
        <v>204</v>
      </c>
      <c r="AN2" s="29" t="s">
        <v>205</v>
      </c>
      <c r="AO2" s="114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7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 t="shared" ref="Q4:Q17" si="0">ROUND(SUM(M4:P4),2)</f>
        <v>588.7</v>
      </c>
      <c r="R4" s="70">
        <v>0</v>
      </c>
      <c r="S4" s="90">
        <f>L4+IFERROR(VLOOKUP($E:$E,'（居民）工资表-1月'!$E:$S,15,0),0)</f>
        <v>16000</v>
      </c>
      <c r="T4" s="91">
        <f>5000+IFERROR(VLOOKUP($E:$E,'（居民）工资表-1月'!$E:$T,16,0),0)</f>
        <v>10000</v>
      </c>
      <c r="U4" s="91">
        <f>Q4+IFERROR(VLOOKUP($E:$E,'（居民）工资表-1月'!$E:$U,17,0),0)</f>
        <v>1273.4</v>
      </c>
      <c r="V4" s="70">
        <v>2000</v>
      </c>
      <c r="W4" s="70"/>
      <c r="X4" s="70">
        <v>2000</v>
      </c>
      <c r="Y4" s="70"/>
      <c r="Z4" s="70">
        <v>800</v>
      </c>
      <c r="AA4" s="125"/>
      <c r="AB4" s="90">
        <f>ROUND(SUM(V4:AA4),2)</f>
        <v>4800</v>
      </c>
      <c r="AC4" s="90">
        <f>R4+IFERROR(VLOOKUP($E:$E,'（居民）工资表-1月'!$E:$AC,25,0),0)</f>
        <v>0</v>
      </c>
      <c r="AD4" s="95">
        <f t="shared" ref="AD4:AD17" si="1">ROUND(S4-T4-U4-AB4-AC4,2)</f>
        <v>-73.4</v>
      </c>
      <c r="AE4" s="96">
        <f>ROUND(MAX((AD4)*{0.03;0.1;0.2;0.25;0.3;0.35;0.45}-{0;2520;16920;31920;52920;85920;181920},0),2)</f>
        <v>0</v>
      </c>
      <c r="AF4" s="97">
        <f>IFERROR(VLOOKUP(E:E,'（居民）工资表-1月'!E:AF,28,0)+VLOOKUP(E:E,'（居民）工资表-1月'!E:AG,29,0),0)</f>
        <v>69.46</v>
      </c>
      <c r="AG4" s="97">
        <f t="shared" ref="AG4:AG17" si="2">IF((AE4-AF4)&lt;0,0,AE4-AF4)</f>
        <v>0</v>
      </c>
      <c r="AH4" s="107">
        <f t="shared" ref="AH4:AH17" si="3">ROUND(IF((L4-Q4-AG4)&lt;0,0,(L4-Q4-AG4)),2)</f>
        <v>7411.3</v>
      </c>
      <c r="AI4" s="108"/>
      <c r="AJ4" s="107">
        <f t="shared" ref="AJ4:AJ17" si="4">AH4+AI4</f>
        <v>7411.3</v>
      </c>
      <c r="AK4" s="109"/>
      <c r="AL4" s="107">
        <f t="shared" ref="AL4:AL17" si="5">AJ4+AG4+AK4</f>
        <v>7411.3</v>
      </c>
      <c r="AM4" s="109"/>
      <c r="AN4" s="109"/>
      <c r="AO4" s="109"/>
      <c r="AP4" s="109"/>
      <c r="AQ4" s="109"/>
      <c r="AR4" s="116" t="str">
        <f t="shared" ref="AR4:AR17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2" si="7">IF(SUMPRODUCT(N(E$1:E$8=E4))&gt;1,"重复","不")</f>
        <v>不</v>
      </c>
      <c r="AT4" s="116" t="str">
        <f t="shared" ref="AT4:AT12" si="8">IF(SUMPRODUCT(N(AO$1:AO$8=AO4))&gt;1,"重复","不")</f>
        <v>重复</v>
      </c>
      <c r="AU4" s="12" t="s">
        <v>218</v>
      </c>
    </row>
    <row r="5" s="12" customFormat="1" ht="18" customHeight="1" spans="1:47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126.36</v>
      </c>
      <c r="O5" s="71">
        <v>4.6</v>
      </c>
      <c r="P5" s="71">
        <v>115</v>
      </c>
      <c r="Q5" s="89">
        <f t="shared" si="0"/>
        <v>668.68</v>
      </c>
      <c r="R5" s="70">
        <v>0</v>
      </c>
      <c r="S5" s="90">
        <f>L5+IFERROR(VLOOKUP($E:$E,'（居民）工资表-1月'!$E:$S,15,0),0)</f>
        <v>11400</v>
      </c>
      <c r="T5" s="91">
        <f>5000+IFERROR(VLOOKUP($E:$E,'（居民）工资表-1月'!$E:$T,16,0),0)</f>
        <v>10000</v>
      </c>
      <c r="U5" s="91">
        <f>Q5+IFERROR(VLOOKUP($E:$E,'（居民）工资表-1月'!$E:$U,17,0),0)</f>
        <v>1324.48</v>
      </c>
      <c r="V5" s="125"/>
      <c r="W5" s="125"/>
      <c r="X5" s="125"/>
      <c r="Y5" s="125"/>
      <c r="Z5" s="125"/>
      <c r="AA5" s="125"/>
      <c r="AB5" s="90">
        <f t="shared" ref="AB5:AB17" si="9">ROUND(SUM(V5:AA5),2)</f>
        <v>0</v>
      </c>
      <c r="AC5" s="90">
        <f>R5+IFERROR(VLOOKUP($E:$E,'（居民）工资表-1月'!$E:$AC,25,0),0)</f>
        <v>0</v>
      </c>
      <c r="AD5" s="95">
        <f t="shared" si="1"/>
        <v>75.52</v>
      </c>
      <c r="AE5" s="96">
        <f>ROUND(MAX((AD5)*{0.03;0.1;0.2;0.25;0.3;0.35;0.45}-{0;2520;16920;31920;52920;85920;181920},0),2)</f>
        <v>2.27</v>
      </c>
      <c r="AF5" s="97">
        <f>IFERROR(VLOOKUP(E:E,'（居民）工资表-1月'!E:AF,28,0)+VLOOKUP(E:E,'（居民）工资表-1月'!E:AG,29,0),0)</f>
        <v>1.33</v>
      </c>
      <c r="AG5" s="97">
        <f t="shared" si="2"/>
        <v>0.94</v>
      </c>
      <c r="AH5" s="107">
        <f t="shared" si="3"/>
        <v>5030.38</v>
      </c>
      <c r="AI5" s="108"/>
      <c r="AJ5" s="107">
        <f t="shared" si="4"/>
        <v>5030.38</v>
      </c>
      <c r="AK5" s="109"/>
      <c r="AL5" s="107">
        <f t="shared" si="5"/>
        <v>5031.32</v>
      </c>
      <c r="AM5" s="109"/>
      <c r="AN5" s="109"/>
      <c r="AO5" s="109"/>
      <c r="AP5" s="109"/>
      <c r="AQ5" s="109"/>
      <c r="AR5" s="116" t="str">
        <f t="shared" si="6"/>
        <v>正确</v>
      </c>
      <c r="AS5" s="116" t="str">
        <f t="shared" si="7"/>
        <v>不</v>
      </c>
      <c r="AT5" s="116" t="str">
        <f t="shared" si="8"/>
        <v>重复</v>
      </c>
      <c r="AU5" s="12" t="s">
        <v>219</v>
      </c>
    </row>
    <row r="6" s="12" customFormat="1" ht="18" customHeight="1" spans="1:47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L6+IFERROR(VLOOKUP($E:$E,'（居民）工资表-1月'!$E:$S,15,0),0)</f>
        <v>60120</v>
      </c>
      <c r="T6" s="91">
        <f>5000+IFERROR(VLOOKUP($E:$E,'（居民）工资表-1月'!$E:$T,16,0),0)</f>
        <v>10000</v>
      </c>
      <c r="U6" s="91">
        <f>Q6+IFERROR(VLOOKUP($E:$E,'（居民）工资表-1月'!$E:$U,17,0),0)</f>
        <v>1897.1</v>
      </c>
      <c r="V6" s="125"/>
      <c r="W6" s="125"/>
      <c r="X6" s="125"/>
      <c r="Y6" s="125"/>
      <c r="Z6" s="125"/>
      <c r="AA6" s="125"/>
      <c r="AB6" s="90">
        <f t="shared" si="9"/>
        <v>0</v>
      </c>
      <c r="AC6" s="90">
        <f>R6+IFERROR(VLOOKUP($E:$E,'（居民）工资表-1月'!$E:$AC,25,0),0)</f>
        <v>0</v>
      </c>
      <c r="AD6" s="95">
        <f t="shared" si="1"/>
        <v>48222.9</v>
      </c>
      <c r="AE6" s="96">
        <f>ROUND(MAX((AD6)*{0.03;0.1;0.2;0.25;0.3;0.35;0.45}-{0;2520;16920;31920;52920;85920;181920},0),2)</f>
        <v>2302.29</v>
      </c>
      <c r="AF6" s="97">
        <f>IFERROR(VLOOKUP(E:E,'（居民）工资表-1月'!E:AF,28,0)+VLOOKUP(E:E,'（居民）工资表-1月'!E:AG,29,0),0)</f>
        <v>723.34</v>
      </c>
      <c r="AG6" s="97">
        <f t="shared" si="2"/>
        <v>1578.95</v>
      </c>
      <c r="AH6" s="107">
        <f t="shared" si="3"/>
        <v>27532.5</v>
      </c>
      <c r="AI6" s="108"/>
      <c r="AJ6" s="107">
        <f t="shared" si="4"/>
        <v>27532.5</v>
      </c>
      <c r="AK6" s="109"/>
      <c r="AL6" s="107">
        <f t="shared" si="5"/>
        <v>29111.45</v>
      </c>
      <c r="AM6" s="109"/>
      <c r="AN6" s="109"/>
      <c r="AO6" s="109"/>
      <c r="AP6" s="109"/>
      <c r="AQ6" s="109"/>
      <c r="AR6" s="116" t="str">
        <f t="shared" si="6"/>
        <v>正确</v>
      </c>
      <c r="AS6" s="116" t="str">
        <f t="shared" si="7"/>
        <v>不</v>
      </c>
      <c r="AT6" s="116" t="str">
        <f t="shared" si="8"/>
        <v>重复</v>
      </c>
      <c r="AU6" s="12" t="s">
        <v>220</v>
      </c>
    </row>
    <row r="7" s="12" customFormat="1" ht="18" customHeight="1" spans="1:47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L7+IFERROR(VLOOKUP($E:$E,'（居民）工资表-1月'!$E:$S,15,0),0)</f>
        <v>16000</v>
      </c>
      <c r="T7" s="91">
        <f>5000+IFERROR(VLOOKUP($E:$E,'（居民）工资表-1月'!$E:$T,16,0),0)</f>
        <v>10000</v>
      </c>
      <c r="U7" s="91">
        <f>Q7+IFERROR(VLOOKUP($E:$E,'（居民）工资表-1月'!$E:$U,17,0),0)</f>
        <v>1055.42</v>
      </c>
      <c r="V7" s="125"/>
      <c r="W7" s="125"/>
      <c r="X7" s="125"/>
      <c r="Y7" s="125"/>
      <c r="Z7" s="125"/>
      <c r="AA7" s="125"/>
      <c r="AB7" s="90">
        <f t="shared" si="9"/>
        <v>0</v>
      </c>
      <c r="AC7" s="90">
        <f>R7+IFERROR(VLOOKUP($E:$E,'（居民）工资表-1月'!$E:$AC,25,0),0)</f>
        <v>0</v>
      </c>
      <c r="AD7" s="95">
        <f t="shared" si="1"/>
        <v>4944.58</v>
      </c>
      <c r="AE7" s="96">
        <f>ROUND(MAX((AD7)*{0.03;0.1;0.2;0.25;0.3;0.35;0.45}-{0;2520;16920;31920;52920;85920;181920},0),2)</f>
        <v>148.34</v>
      </c>
      <c r="AF7" s="97">
        <f>IFERROR(VLOOKUP(E:E,'（居民）工资表-1月'!E:AF,28,0)+VLOOKUP(E:E,'（居民）工资表-1月'!E:AG,29,0),0)</f>
        <v>74.17</v>
      </c>
      <c r="AG7" s="97">
        <f t="shared" si="2"/>
        <v>74.17</v>
      </c>
      <c r="AH7" s="107">
        <f t="shared" si="3"/>
        <v>7398.12</v>
      </c>
      <c r="AI7" s="108"/>
      <c r="AJ7" s="107">
        <f t="shared" si="4"/>
        <v>7398.12</v>
      </c>
      <c r="AK7" s="109"/>
      <c r="AL7" s="107">
        <f t="shared" si="5"/>
        <v>7472.29</v>
      </c>
      <c r="AM7" s="109"/>
      <c r="AN7" s="109"/>
      <c r="AO7" s="109"/>
      <c r="AP7" s="109"/>
      <c r="AQ7" s="109"/>
      <c r="AR7" s="116" t="str">
        <f t="shared" si="6"/>
        <v>正确</v>
      </c>
      <c r="AS7" s="116" t="str">
        <f t="shared" si="7"/>
        <v>不</v>
      </c>
      <c r="AT7" s="116" t="str">
        <f t="shared" si="8"/>
        <v>重复</v>
      </c>
      <c r="AU7" s="12" t="s">
        <v>221</v>
      </c>
    </row>
    <row r="8" s="12" customFormat="1" ht="18" customHeight="1" spans="1:47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L8+IFERROR(VLOOKUP($E:$E,'（居民）工资表-1月'!$E:$S,15,0),0)</f>
        <v>21000</v>
      </c>
      <c r="T8" s="91">
        <f>5000+IFERROR(VLOOKUP($E:$E,'（居民）工资表-1月'!$E:$T,16,0),0)</f>
        <v>10000</v>
      </c>
      <c r="U8" s="91">
        <f>Q8+IFERROR(VLOOKUP($E:$E,'（居民）工资表-1月'!$E:$U,17,0),0)</f>
        <v>1544</v>
      </c>
      <c r="V8" s="125"/>
      <c r="W8" s="125"/>
      <c r="X8" s="125"/>
      <c r="Y8" s="125"/>
      <c r="Z8" s="125"/>
      <c r="AA8" s="125"/>
      <c r="AB8" s="90">
        <f t="shared" si="9"/>
        <v>0</v>
      </c>
      <c r="AC8" s="90">
        <f>R8+IFERROR(VLOOKUP($E:$E,'（居民）工资表-1月'!$E:$AC,25,0),0)</f>
        <v>0</v>
      </c>
      <c r="AD8" s="95">
        <f t="shared" si="1"/>
        <v>9456</v>
      </c>
      <c r="AE8" s="96">
        <f>ROUND(MAX((AD8)*{0.03;0.1;0.2;0.25;0.3;0.35;0.45}-{0;2520;16920;31920;52920;85920;181920},0),2)</f>
        <v>283.68</v>
      </c>
      <c r="AF8" s="97">
        <f>IFERROR(VLOOKUP(E:E,'（居民）工资表-1月'!E:AF,28,0)+VLOOKUP(E:E,'（居民）工资表-1月'!E:AG,29,0),0)</f>
        <v>141.84</v>
      </c>
      <c r="AG8" s="97">
        <f t="shared" si="2"/>
        <v>141.84</v>
      </c>
      <c r="AH8" s="107">
        <f t="shared" si="3"/>
        <v>9586.16</v>
      </c>
      <c r="AI8" s="108"/>
      <c r="AJ8" s="107">
        <f t="shared" si="4"/>
        <v>9586.16</v>
      </c>
      <c r="AK8" s="109"/>
      <c r="AL8" s="107">
        <f t="shared" si="5"/>
        <v>9728</v>
      </c>
      <c r="AM8" s="109"/>
      <c r="AN8" s="109"/>
      <c r="AO8" s="109"/>
      <c r="AP8" s="109"/>
      <c r="AQ8" s="109"/>
      <c r="AR8" s="116" t="str">
        <f t="shared" si="6"/>
        <v>正确</v>
      </c>
      <c r="AS8" s="116" t="str">
        <f t="shared" si="7"/>
        <v>不</v>
      </c>
      <c r="AT8" s="116" t="str">
        <f t="shared" si="8"/>
        <v>重复</v>
      </c>
      <c r="AU8" s="12" t="s">
        <v>222</v>
      </c>
    </row>
    <row r="9" s="12" customFormat="1" ht="18" customHeight="1" spans="1:47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369.52</v>
      </c>
      <c r="N9" s="71">
        <v>90.4</v>
      </c>
      <c r="O9" s="71">
        <v>13.86</v>
      </c>
      <c r="P9" s="71">
        <v>100</v>
      </c>
      <c r="Q9" s="89">
        <f t="shared" si="0"/>
        <v>573.78</v>
      </c>
      <c r="R9" s="70">
        <v>0</v>
      </c>
      <c r="S9" s="90">
        <f>L9+IFERROR(VLOOKUP($E:$E,'（居民）工资表-1月'!$E:$S,15,0),0)</f>
        <v>13000</v>
      </c>
      <c r="T9" s="91">
        <f>5000+IFERROR(VLOOKUP($E:$E,'（居民）工资表-1月'!$E:$T,16,0),0)</f>
        <v>10000</v>
      </c>
      <c r="U9" s="91">
        <f>Q9+IFERROR(VLOOKUP($E:$E,'（居民）工资表-1月'!$E:$U,17,0),0)</f>
        <v>1077.09</v>
      </c>
      <c r="V9" s="125"/>
      <c r="W9" s="125"/>
      <c r="X9" s="125"/>
      <c r="Y9" s="125"/>
      <c r="Z9" s="125"/>
      <c r="AA9" s="125"/>
      <c r="AB9" s="90">
        <f t="shared" si="9"/>
        <v>0</v>
      </c>
      <c r="AC9" s="90">
        <f>R9+IFERROR(VLOOKUP($E:$E,'（居民）工资表-1月'!$E:$AC,25,0),0)</f>
        <v>0</v>
      </c>
      <c r="AD9" s="95">
        <f t="shared" si="1"/>
        <v>1922.91</v>
      </c>
      <c r="AE9" s="96">
        <f>ROUND(MAX((AD9)*{0.03;0.1;0.2;0.25;0.3;0.35;0.45}-{0;2520;16920;31920;52920;85920;181920},0),2)</f>
        <v>57.69</v>
      </c>
      <c r="AF9" s="97">
        <f>IFERROR(VLOOKUP(E:E,'（居民）工资表-1月'!E:AF,28,0)+VLOOKUP(E:E,'（居民）工资表-1月'!E:AG,29,0),0)</f>
        <v>29.9</v>
      </c>
      <c r="AG9" s="97">
        <f t="shared" si="2"/>
        <v>27.79</v>
      </c>
      <c r="AH9" s="107">
        <f t="shared" si="3"/>
        <v>5898.43</v>
      </c>
      <c r="AI9" s="108"/>
      <c r="AJ9" s="107">
        <f t="shared" si="4"/>
        <v>5898.43</v>
      </c>
      <c r="AK9" s="109"/>
      <c r="AL9" s="107">
        <f t="shared" si="5"/>
        <v>5926.22</v>
      </c>
      <c r="AM9" s="109"/>
      <c r="AN9" s="109"/>
      <c r="AO9" s="109"/>
      <c r="AP9" s="109"/>
      <c r="AQ9" s="109"/>
      <c r="AR9" s="116" t="str">
        <f t="shared" si="6"/>
        <v>正确</v>
      </c>
      <c r="AS9" s="116" t="str">
        <f t="shared" si="7"/>
        <v>不</v>
      </c>
      <c r="AT9" s="116" t="str">
        <f t="shared" si="8"/>
        <v>重复</v>
      </c>
      <c r="AU9" s="12" t="s">
        <v>223</v>
      </c>
    </row>
    <row r="10" s="12" customFormat="1" ht="18" customHeight="1" spans="1:47">
      <c r="A10" s="36">
        <v>7</v>
      </c>
      <c r="B10" s="37" t="s">
        <v>142</v>
      </c>
      <c r="C10" s="37" t="s">
        <v>168</v>
      </c>
      <c r="D10" s="37" t="s">
        <v>143</v>
      </c>
      <c r="E10" s="326" t="s">
        <v>169</v>
      </c>
      <c r="F10" s="38" t="s">
        <v>148</v>
      </c>
      <c r="G10" s="39" t="s">
        <v>170</v>
      </c>
      <c r="H10" s="40"/>
      <c r="I10" s="40"/>
      <c r="J10" s="69"/>
      <c r="K10" s="40"/>
      <c r="L10" s="70"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L10+IFERROR(VLOOKUP($E:$E,'（居民）工资表-1月'!$E:$S,15,0),0)</f>
        <v>9051.68</v>
      </c>
      <c r="T10" s="91">
        <f>5000+IFERROR(VLOOKUP($E:$E,'（居民）工资表-1月'!$E:$T,16,0),0)</f>
        <v>10000</v>
      </c>
      <c r="U10" s="91">
        <f>Q10+IFERROR(VLOOKUP($E:$E,'（居民）工资表-1月'!$E:$U,17,0),0)</f>
        <v>1259.72</v>
      </c>
      <c r="V10" s="125"/>
      <c r="W10" s="125"/>
      <c r="X10" s="125"/>
      <c r="Y10" s="125"/>
      <c r="Z10" s="125"/>
      <c r="AA10" s="125"/>
      <c r="AB10" s="90">
        <f t="shared" si="9"/>
        <v>0</v>
      </c>
      <c r="AC10" s="90">
        <f>R10+IFERROR(VLOOKUP($E:$E,'（居民）工资表-1月'!$E:$AC,25,0),0)</f>
        <v>0</v>
      </c>
      <c r="AD10" s="95">
        <f t="shared" si="1"/>
        <v>-2208.04</v>
      </c>
      <c r="AE10" s="96">
        <f>ROUND(MAX((AD10)*{0.03;0.1;0.2;0.25;0.3;0.35;0.45}-{0;2520;16920;31920;52920;85920;181920},0),2)</f>
        <v>0</v>
      </c>
      <c r="AF10" s="97">
        <f>IFERROR(VLOOKUP(E:E,'（居民）工资表-1月'!E:AF,28,0)+VLOOKUP(E:E,'（居民）工资表-1月'!E:AG,29,0),0)</f>
        <v>0</v>
      </c>
      <c r="AG10" s="97">
        <f t="shared" si="2"/>
        <v>0</v>
      </c>
      <c r="AH10" s="107">
        <f t="shared" si="3"/>
        <v>3895.98</v>
      </c>
      <c r="AI10" s="108"/>
      <c r="AJ10" s="107">
        <f t="shared" si="4"/>
        <v>3895.98</v>
      </c>
      <c r="AK10" s="109"/>
      <c r="AL10" s="107">
        <f t="shared" si="5"/>
        <v>3895.98</v>
      </c>
      <c r="AM10" s="109"/>
      <c r="AN10" s="109"/>
      <c r="AO10" s="109"/>
      <c r="AP10" s="109"/>
      <c r="AQ10" s="109"/>
      <c r="AR10" s="116" t="str">
        <f t="shared" si="6"/>
        <v>正确</v>
      </c>
      <c r="AS10" s="116" t="str">
        <f t="shared" si="7"/>
        <v>不</v>
      </c>
      <c r="AT10" s="116" t="str">
        <f t="shared" si="8"/>
        <v>重复</v>
      </c>
      <c r="AU10" s="12" t="s">
        <v>224</v>
      </c>
    </row>
    <row r="11" s="12" customFormat="1" ht="18" customHeight="1" spans="1:47">
      <c r="A11" s="36">
        <v>8</v>
      </c>
      <c r="B11" s="37" t="s">
        <v>142</v>
      </c>
      <c r="C11" s="37" t="s">
        <v>173</v>
      </c>
      <c r="D11" s="37" t="s">
        <v>143</v>
      </c>
      <c r="E11" s="326" t="s">
        <v>174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L11+IFERROR(VLOOKUP($E:$E,'（居民）工资表-1月'!$E:$S,15,0),0)</f>
        <v>17000</v>
      </c>
      <c r="T11" s="91">
        <f>5000+IFERROR(VLOOKUP($E:$E,'（居民）工资表-1月'!$E:$T,16,0),0)</f>
        <v>10000</v>
      </c>
      <c r="U11" s="91">
        <f>Q11+IFERROR(VLOOKUP($E:$E,'（居民）工资表-1月'!$E:$U,17,0),0)</f>
        <v>1118</v>
      </c>
      <c r="V11" s="125"/>
      <c r="W11" s="125"/>
      <c r="X11" s="125"/>
      <c r="Y11" s="125"/>
      <c r="Z11" s="125"/>
      <c r="AA11" s="125"/>
      <c r="AB11" s="90">
        <f t="shared" si="9"/>
        <v>0</v>
      </c>
      <c r="AC11" s="90">
        <f>R11+IFERROR(VLOOKUP($E:$E,'（居民）工资表-1月'!$E:$AC,25,0),0)</f>
        <v>0</v>
      </c>
      <c r="AD11" s="95">
        <f t="shared" si="1"/>
        <v>5882</v>
      </c>
      <c r="AE11" s="96">
        <f>ROUND(MAX((AD11)*{0.03;0.1;0.2;0.25;0.3;0.35;0.45}-{0;2520;16920;31920;52920;85920;181920},0),2)</f>
        <v>176.46</v>
      </c>
      <c r="AF11" s="97">
        <f>IFERROR(VLOOKUP(E:E,'（居民）工资表-1月'!E:AF,28,0)+VLOOKUP(E:E,'（居民）工资表-1月'!E:AG,29,0),0)</f>
        <v>88.23</v>
      </c>
      <c r="AG11" s="97">
        <f t="shared" si="2"/>
        <v>88.23</v>
      </c>
      <c r="AH11" s="107">
        <f t="shared" si="3"/>
        <v>7852.77</v>
      </c>
      <c r="AI11" s="108"/>
      <c r="AJ11" s="107">
        <f t="shared" si="4"/>
        <v>7852.77</v>
      </c>
      <c r="AK11" s="109"/>
      <c r="AL11" s="107">
        <f t="shared" si="5"/>
        <v>7941</v>
      </c>
      <c r="AM11" s="109"/>
      <c r="AN11" s="109"/>
      <c r="AO11" s="109"/>
      <c r="AP11" s="109"/>
      <c r="AQ11" s="109"/>
      <c r="AR11" s="116" t="str">
        <f t="shared" si="6"/>
        <v>正确</v>
      </c>
      <c r="AS11" s="116" t="str">
        <f t="shared" si="7"/>
        <v>不</v>
      </c>
      <c r="AT11" s="116" t="str">
        <f t="shared" si="8"/>
        <v>重复</v>
      </c>
      <c r="AU11" s="12" t="s">
        <v>225</v>
      </c>
    </row>
    <row r="12" s="12" customFormat="1" ht="18" customHeight="1" spans="1:47">
      <c r="A12" s="36">
        <v>9</v>
      </c>
      <c r="B12" s="37" t="s">
        <v>142</v>
      </c>
      <c r="C12" s="37" t="s">
        <v>175</v>
      </c>
      <c r="D12" s="37" t="s">
        <v>143</v>
      </c>
      <c r="E12" s="326" t="s">
        <v>176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L12+IFERROR(VLOOKUP($E:$E,'（居民）工资表-1月'!$E:$S,15,0),0)</f>
        <v>14000</v>
      </c>
      <c r="T12" s="91">
        <f>5000+IFERROR(VLOOKUP($E:$E,'（居民）工资表-1月'!$E:$T,16,0),0)</f>
        <v>10000</v>
      </c>
      <c r="U12" s="91">
        <f>Q12+IFERROR(VLOOKUP($E:$E,'（居民）工资表-1月'!$E:$U,17,0),0)</f>
        <v>1544</v>
      </c>
      <c r="V12" s="125"/>
      <c r="W12" s="125"/>
      <c r="X12" s="125"/>
      <c r="Y12" s="125"/>
      <c r="Z12" s="125"/>
      <c r="AA12" s="125"/>
      <c r="AB12" s="90">
        <f t="shared" si="9"/>
        <v>0</v>
      </c>
      <c r="AC12" s="90">
        <f>R12+IFERROR(VLOOKUP($E:$E,'（居民）工资表-1月'!$E:$AC,25,0),0)</f>
        <v>0</v>
      </c>
      <c r="AD12" s="95">
        <f t="shared" si="1"/>
        <v>2456</v>
      </c>
      <c r="AE12" s="96">
        <f>ROUND(MAX((AD12)*{0.03;0.1;0.2;0.25;0.3;0.35;0.45}-{0;2520;16920;31920;52920;85920;181920},0),2)</f>
        <v>73.68</v>
      </c>
      <c r="AF12" s="97">
        <f>IFERROR(VLOOKUP(E:E,'（居民）工资表-1月'!E:AF,28,0)+VLOOKUP(E:E,'（居民）工资表-1月'!E:AG,29,0),0)</f>
        <v>36.84</v>
      </c>
      <c r="AG12" s="97">
        <f t="shared" si="2"/>
        <v>36.84</v>
      </c>
      <c r="AH12" s="107">
        <f t="shared" si="3"/>
        <v>6191.16</v>
      </c>
      <c r="AI12" s="108"/>
      <c r="AJ12" s="107">
        <f t="shared" si="4"/>
        <v>6191.16</v>
      </c>
      <c r="AK12" s="109"/>
      <c r="AL12" s="107">
        <f t="shared" si="5"/>
        <v>6228</v>
      </c>
      <c r="AM12" s="109"/>
      <c r="AN12" s="109"/>
      <c r="AO12" s="109"/>
      <c r="AP12" s="109"/>
      <c r="AQ12" s="109"/>
      <c r="AR12" s="116" t="str">
        <f t="shared" si="6"/>
        <v>正确</v>
      </c>
      <c r="AS12" s="116" t="str">
        <f t="shared" si="7"/>
        <v>不</v>
      </c>
      <c r="AT12" s="116" t="str">
        <f t="shared" si="8"/>
        <v>重复</v>
      </c>
      <c r="AU12" s="12" t="s">
        <v>222</v>
      </c>
    </row>
    <row r="13" s="12" customFormat="1" ht="18" customHeight="1" spans="1:47">
      <c r="A13" s="36">
        <v>10</v>
      </c>
      <c r="B13" s="37" t="s">
        <v>142</v>
      </c>
      <c r="C13" s="37" t="s">
        <v>177</v>
      </c>
      <c r="D13" s="37" t="s">
        <v>143</v>
      </c>
      <c r="E13" s="326" t="s">
        <v>178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7608.7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L13+IFERROR(VLOOKUP($E:$E,'（居民）工资表-1月'!$E:$S,15,0),0)</f>
        <v>14608.7</v>
      </c>
      <c r="T13" s="91">
        <f>5000+IFERROR(VLOOKUP($E:$E,'（居民）工资表-1月'!$E:$T,16,0),0)</f>
        <v>10000</v>
      </c>
      <c r="U13" s="91">
        <f>Q13+IFERROR(VLOOKUP($E:$E,'（居民）工资表-1月'!$E:$U,17,0),0)</f>
        <v>1544</v>
      </c>
      <c r="V13" s="125"/>
      <c r="W13" s="125"/>
      <c r="X13" s="125"/>
      <c r="Y13" s="125"/>
      <c r="Z13" s="125"/>
      <c r="AA13" s="125"/>
      <c r="AB13" s="90">
        <f t="shared" si="9"/>
        <v>0</v>
      </c>
      <c r="AC13" s="90">
        <f>R13+IFERROR(VLOOKUP($E:$E,'（居民）工资表-1月'!$E:$AC,25,0),0)</f>
        <v>0</v>
      </c>
      <c r="AD13" s="95">
        <f t="shared" si="1"/>
        <v>3064.7</v>
      </c>
      <c r="AE13" s="96">
        <f>ROUND(MAX((AD13)*{0.03;0.1;0.2;0.25;0.3;0.35;0.45}-{0;2520;16920;31920;52920;85920;181920},0),2)</f>
        <v>91.94</v>
      </c>
      <c r="AF13" s="97">
        <f>IFERROR(VLOOKUP(E:E,'（居民）工资表-1月'!E:AF,28,0)+VLOOKUP(E:E,'（居民）工资表-1月'!E:AG,29,0),0)</f>
        <v>36.84</v>
      </c>
      <c r="AG13" s="97">
        <f t="shared" si="2"/>
        <v>55.1</v>
      </c>
      <c r="AH13" s="107">
        <f t="shared" si="3"/>
        <v>6781.6</v>
      </c>
      <c r="AI13" s="108"/>
      <c r="AJ13" s="107">
        <f t="shared" si="4"/>
        <v>6781.6</v>
      </c>
      <c r="AK13" s="109"/>
      <c r="AL13" s="107">
        <f t="shared" si="5"/>
        <v>6836.7</v>
      </c>
      <c r="AM13" s="109"/>
      <c r="AN13" s="109"/>
      <c r="AO13" s="109"/>
      <c r="AP13" s="109"/>
      <c r="AQ13" s="109"/>
      <c r="AR13" s="116" t="str">
        <f t="shared" si="6"/>
        <v>正确</v>
      </c>
      <c r="AS13" s="116" t="str">
        <f>IF(SUMPRODUCT(N(E$1:E$8=E13))&gt;1,"重复","不")</f>
        <v>不</v>
      </c>
      <c r="AT13" s="116" t="str">
        <f>IF(SUMPRODUCT(N(AO$1:AO$8=AO13))&gt;1,"重复","不")</f>
        <v>重复</v>
      </c>
      <c r="AU13" s="12" t="s">
        <v>222</v>
      </c>
    </row>
    <row r="14" s="12" customFormat="1" ht="18" customHeight="1" spans="1:47">
      <c r="A14" s="36">
        <v>11</v>
      </c>
      <c r="B14" s="37" t="s">
        <v>142</v>
      </c>
      <c r="C14" s="37" t="s">
        <v>179</v>
      </c>
      <c r="D14" s="37" t="s">
        <v>143</v>
      </c>
      <c r="E14" s="326" t="s">
        <v>180</v>
      </c>
      <c r="F14" s="38" t="s">
        <v>148</v>
      </c>
      <c r="G14" s="39" t="s">
        <v>181</v>
      </c>
      <c r="H14" s="40"/>
      <c r="I14" s="40"/>
      <c r="J14" s="69"/>
      <c r="K14" s="40"/>
      <c r="L14" s="70"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L14+IFERROR(VLOOKUP($E:$E,'（居民）工资表-1月'!$E:$S,15,0),0)</f>
        <v>14000</v>
      </c>
      <c r="T14" s="91">
        <f>5000+IFERROR(VLOOKUP($E:$E,'（居民）工资表-1月'!$E:$T,16,0),0)</f>
        <v>10000</v>
      </c>
      <c r="U14" s="91">
        <f>Q14+IFERROR(VLOOKUP($E:$E,'（居民）工资表-1月'!$E:$U,17,0),0)</f>
        <v>1118</v>
      </c>
      <c r="V14" s="125"/>
      <c r="W14" s="125"/>
      <c r="X14" s="125"/>
      <c r="Y14" s="125"/>
      <c r="Z14" s="125"/>
      <c r="AA14" s="125"/>
      <c r="AB14" s="90">
        <f t="shared" si="9"/>
        <v>0</v>
      </c>
      <c r="AC14" s="90">
        <f>R14+IFERROR(VLOOKUP($E:$E,'（居民）工资表-1月'!$E:$AC,25,0),0)</f>
        <v>0</v>
      </c>
      <c r="AD14" s="95">
        <f t="shared" si="1"/>
        <v>2882</v>
      </c>
      <c r="AE14" s="96">
        <f>ROUND(MAX((AD14)*{0.03;0.1;0.2;0.25;0.3;0.35;0.45}-{0;2520;16920;31920;52920;85920;181920},0),2)</f>
        <v>86.46</v>
      </c>
      <c r="AF14" s="97">
        <f>IFERROR(VLOOKUP(E:E,'（居民）工资表-1月'!E:AF,28,0)+VLOOKUP(E:E,'（居民）工资表-1月'!E:AG,29,0),0)</f>
        <v>43.23</v>
      </c>
      <c r="AG14" s="97">
        <f t="shared" si="2"/>
        <v>43.23</v>
      </c>
      <c r="AH14" s="107">
        <f t="shared" si="3"/>
        <v>6397.77</v>
      </c>
      <c r="AI14" s="108"/>
      <c r="AJ14" s="107">
        <f t="shared" si="4"/>
        <v>6397.77</v>
      </c>
      <c r="AK14" s="109"/>
      <c r="AL14" s="107">
        <f t="shared" si="5"/>
        <v>6441</v>
      </c>
      <c r="AM14" s="109"/>
      <c r="AN14" s="109"/>
      <c r="AO14" s="109"/>
      <c r="AP14" s="109"/>
      <c r="AQ14" s="109"/>
      <c r="AR14" s="116" t="str">
        <f t="shared" si="6"/>
        <v>正确</v>
      </c>
      <c r="AS14" s="116" t="str">
        <f>IF(SUMPRODUCT(N(E$1:E$8=E14))&gt;1,"重复","不")</f>
        <v>不</v>
      </c>
      <c r="AT14" s="116" t="str">
        <f>IF(SUMPRODUCT(N(AO$1:AO$8=AO14))&gt;1,"重复","不")</f>
        <v>重复</v>
      </c>
      <c r="AU14" s="12" t="s">
        <v>225</v>
      </c>
    </row>
    <row r="15" s="12" customFormat="1" ht="18" customHeight="1" spans="1:47">
      <c r="A15" s="36">
        <v>12</v>
      </c>
      <c r="B15" s="37" t="s">
        <v>142</v>
      </c>
      <c r="C15" s="37" t="s">
        <v>182</v>
      </c>
      <c r="D15" s="37" t="s">
        <v>143</v>
      </c>
      <c r="E15" s="326" t="s">
        <v>183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6581.74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L15+IFERROR(VLOOKUP($E:$E,'（居民）工资表-1月'!$E:$S,15,0),0)</f>
        <v>12641.74</v>
      </c>
      <c r="T15" s="91">
        <f>5000+IFERROR(VLOOKUP($E:$E,'（居民）工资表-1月'!$E:$T,16,0),0)</f>
        <v>10000</v>
      </c>
      <c r="U15" s="91">
        <f>Q15+IFERROR(VLOOKUP($E:$E,'（居民）工资表-1月'!$E:$U,17,0),0)</f>
        <v>1055.42</v>
      </c>
      <c r="V15" s="125"/>
      <c r="W15" s="125"/>
      <c r="X15" s="125"/>
      <c r="Y15" s="125"/>
      <c r="Z15" s="125"/>
      <c r="AA15" s="125"/>
      <c r="AB15" s="90">
        <f t="shared" si="9"/>
        <v>0</v>
      </c>
      <c r="AC15" s="90">
        <f>R15+IFERROR(VLOOKUP($E:$E,'（居民）工资表-1月'!$E:$AC,25,0),0)</f>
        <v>0</v>
      </c>
      <c r="AD15" s="95">
        <f t="shared" si="1"/>
        <v>1586.32</v>
      </c>
      <c r="AE15" s="96">
        <f>ROUND(MAX((AD15)*{0.03;0.1;0.2;0.25;0.3;0.35;0.45}-{0;2520;16920;31920;52920;85920;181920},0),2)</f>
        <v>47.59</v>
      </c>
      <c r="AF15" s="97">
        <f>IFERROR(VLOOKUP(E:E,'（居民）工资表-1月'!E:AF,28,0)+VLOOKUP(E:E,'（居民）工资表-1月'!E:AG,29,0),0)</f>
        <v>15.97</v>
      </c>
      <c r="AG15" s="97">
        <f t="shared" si="2"/>
        <v>31.62</v>
      </c>
      <c r="AH15" s="107">
        <f t="shared" si="3"/>
        <v>6022.41</v>
      </c>
      <c r="AI15" s="108"/>
      <c r="AJ15" s="107">
        <f t="shared" si="4"/>
        <v>6022.41</v>
      </c>
      <c r="AK15" s="109"/>
      <c r="AL15" s="107">
        <f t="shared" si="5"/>
        <v>6054.03</v>
      </c>
      <c r="AM15" s="109"/>
      <c r="AN15" s="109"/>
      <c r="AO15" s="109"/>
      <c r="AP15" s="109"/>
      <c r="AQ15" s="109"/>
      <c r="AR15" s="116" t="str">
        <f t="shared" si="6"/>
        <v>正确</v>
      </c>
      <c r="AS15" s="116" t="str">
        <f>IF(SUMPRODUCT(N(E$1:E$8=E15))&gt;1,"重复","不")</f>
        <v>不</v>
      </c>
      <c r="AT15" s="116" t="str">
        <f>IF(SUMPRODUCT(N(AO$1:AO$8=AO15))&gt;1,"重复","不")</f>
        <v>重复</v>
      </c>
      <c r="AU15" s="12" t="s">
        <v>221</v>
      </c>
    </row>
    <row r="16" s="12" customFormat="1" ht="18" customHeight="1" spans="1:47">
      <c r="A16" s="36">
        <v>13</v>
      </c>
      <c r="B16" s="37" t="s">
        <v>142</v>
      </c>
      <c r="C16" s="37" t="s">
        <v>186</v>
      </c>
      <c r="D16" s="37" t="s">
        <v>143</v>
      </c>
      <c r="E16" s="326" t="s">
        <v>187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L16+IFERROR(VLOOKUP($E:$E,'（居民）工资表-1月'!$E:$S,15,0),0)</f>
        <v>12000</v>
      </c>
      <c r="T16" s="91">
        <f>5000+IFERROR(VLOOKUP($E:$E,'（居民）工资表-1月'!$E:$T,16,0),0)</f>
        <v>10000</v>
      </c>
      <c r="U16" s="91">
        <f>Q16+IFERROR(VLOOKUP($E:$E,'（居民）工资表-1月'!$E:$U,17,0),0)</f>
        <v>1050</v>
      </c>
      <c r="V16" s="125"/>
      <c r="W16" s="125"/>
      <c r="X16" s="125"/>
      <c r="Y16" s="125"/>
      <c r="Z16" s="125"/>
      <c r="AA16" s="125"/>
      <c r="AB16" s="90">
        <f t="shared" si="9"/>
        <v>0</v>
      </c>
      <c r="AC16" s="90">
        <f>R16+IFERROR(VLOOKUP($E:$E,'（居民）工资表-1月'!$E:$AC,25,0),0)</f>
        <v>0</v>
      </c>
      <c r="AD16" s="95">
        <f t="shared" si="1"/>
        <v>950</v>
      </c>
      <c r="AE16" s="96">
        <f>ROUND(MAX((AD16)*{0.03;0.1;0.2;0.25;0.3;0.35;0.45}-{0;2520;16920;31920;52920;85920;181920},0),2)</f>
        <v>28.5</v>
      </c>
      <c r="AF16" s="97">
        <f>IFERROR(VLOOKUP(E:E,'（居民）工资表-1月'!E:AF,28,0)+VLOOKUP(E:E,'（居民）工资表-1月'!E:AG,29,0),0)</f>
        <v>14.25</v>
      </c>
      <c r="AG16" s="97">
        <f t="shared" si="2"/>
        <v>14.25</v>
      </c>
      <c r="AH16" s="107">
        <f t="shared" si="3"/>
        <v>5460.75</v>
      </c>
      <c r="AI16" s="108"/>
      <c r="AJ16" s="107">
        <f t="shared" si="4"/>
        <v>5460.75</v>
      </c>
      <c r="AK16" s="109"/>
      <c r="AL16" s="107">
        <f t="shared" si="5"/>
        <v>5475</v>
      </c>
      <c r="AM16" s="109"/>
      <c r="AN16" s="109"/>
      <c r="AO16" s="109"/>
      <c r="AP16" s="109"/>
      <c r="AQ16" s="109"/>
      <c r="AR16" s="116" t="str">
        <f t="shared" si="6"/>
        <v>正确</v>
      </c>
      <c r="AS16" s="116" t="str">
        <f>IF(SUMPRODUCT(N(E$1:E$8=E16))&gt;1,"重复","不")</f>
        <v>不</v>
      </c>
      <c r="AT16" s="116" t="str">
        <f>IF(SUMPRODUCT(N(AO$1:AO$8=AO16))&gt;1,"重复","不")</f>
        <v>重复</v>
      </c>
      <c r="AU16" s="12" t="s">
        <v>226</v>
      </c>
    </row>
    <row r="17" s="12" customFormat="1" ht="18" customHeight="1" spans="1:47">
      <c r="A17" s="36">
        <v>14</v>
      </c>
      <c r="B17" s="37" t="s">
        <v>142</v>
      </c>
      <c r="C17" s="37" t="s">
        <v>212</v>
      </c>
      <c r="D17" s="37" t="s">
        <v>143</v>
      </c>
      <c r="E17" s="326" t="s">
        <v>213</v>
      </c>
      <c r="F17" s="38" t="s">
        <v>144</v>
      </c>
      <c r="G17" s="39"/>
      <c r="H17" s="40"/>
      <c r="I17" s="40"/>
      <c r="J17" s="69"/>
      <c r="K17" s="40"/>
      <c r="L17" s="70">
        <v>7652.17</v>
      </c>
      <c r="M17" s="71">
        <v>964.56</v>
      </c>
      <c r="N17" s="71">
        <v>267.27</v>
      </c>
      <c r="O17" s="71">
        <v>60.3</v>
      </c>
      <c r="P17" s="71">
        <v>291</v>
      </c>
      <c r="Q17" s="89">
        <f t="shared" si="0"/>
        <v>1583.13</v>
      </c>
      <c r="R17" s="70">
        <v>0</v>
      </c>
      <c r="S17" s="90">
        <f>L17+IFERROR(VLOOKUP($E:$E,'（居民）工资表-1月'!$E:$S,15,0),0)</f>
        <v>7652.17</v>
      </c>
      <c r="T17" s="91">
        <f>5000+IFERROR(VLOOKUP($E:$E,'（居民）工资表-1月'!$E:$T,16,0),0)</f>
        <v>5000</v>
      </c>
      <c r="U17" s="91">
        <f>Q17+IFERROR(VLOOKUP($E:$E,'（居民）工资表-1月'!$E:$U,17,0),0)</f>
        <v>1583.13</v>
      </c>
      <c r="V17" s="125"/>
      <c r="W17" s="125"/>
      <c r="X17" s="125"/>
      <c r="Y17" s="125"/>
      <c r="Z17" s="125"/>
      <c r="AA17" s="125"/>
      <c r="AB17" s="90">
        <f t="shared" si="9"/>
        <v>0</v>
      </c>
      <c r="AC17" s="90">
        <f>R17+IFERROR(VLOOKUP($E:$E,'（居民）工资表-1月'!$E:$AC,25,0),0)</f>
        <v>0</v>
      </c>
      <c r="AD17" s="95">
        <f t="shared" si="1"/>
        <v>1069.04</v>
      </c>
      <c r="AE17" s="96">
        <f>ROUND(MAX((AD17)*{0.03;0.1;0.2;0.25;0.3;0.35;0.45}-{0;2520;16920;31920;52920;85920;181920},0),2)</f>
        <v>32.07</v>
      </c>
      <c r="AF17" s="97">
        <f>IFERROR(VLOOKUP(E:E,'（居民）工资表-1月'!E:AF,28,0)+VLOOKUP(E:E,'（居民）工资表-1月'!E:AG,29,0),0)</f>
        <v>0</v>
      </c>
      <c r="AG17" s="97">
        <f t="shared" si="2"/>
        <v>32.07</v>
      </c>
      <c r="AH17" s="107">
        <f t="shared" si="3"/>
        <v>6036.97</v>
      </c>
      <c r="AI17" s="108"/>
      <c r="AJ17" s="107">
        <f t="shared" si="4"/>
        <v>6036.97</v>
      </c>
      <c r="AK17" s="109"/>
      <c r="AL17" s="107">
        <f t="shared" si="5"/>
        <v>6069.04</v>
      </c>
      <c r="AM17" s="109"/>
      <c r="AN17" s="109"/>
      <c r="AO17" s="109"/>
      <c r="AP17" s="109"/>
      <c r="AQ17" s="109"/>
      <c r="AR17" s="116" t="str">
        <f t="shared" si="6"/>
        <v>正确</v>
      </c>
      <c r="AS17" s="116" t="str">
        <f>IF(SUMPRODUCT(N(E$1:E$8=E17))&gt;1,"重复","不")</f>
        <v>不</v>
      </c>
      <c r="AT17" s="116" t="str">
        <f>IF(SUMPRODUCT(N(AO$1:AO$8=AO17))&gt;1,"重复","不")</f>
        <v>重复</v>
      </c>
      <c r="AU17" s="12" t="s">
        <v>221</v>
      </c>
    </row>
    <row r="18" s="12" customFormat="1" ht="18" customHeight="1" spans="1:46">
      <c r="A18" s="36"/>
      <c r="B18" s="37"/>
      <c r="C18" s="37"/>
      <c r="D18" s="37"/>
      <c r="E18" s="37"/>
      <c r="F18" s="38"/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89"/>
      <c r="R18" s="70"/>
      <c r="S18" s="90"/>
      <c r="T18" s="91"/>
      <c r="U18" s="91"/>
      <c r="V18" s="125"/>
      <c r="W18" s="125"/>
      <c r="X18" s="125"/>
      <c r="Y18" s="125"/>
      <c r="Z18" s="125"/>
      <c r="AA18" s="125"/>
      <c r="AB18" s="90"/>
      <c r="AC18" s="90"/>
      <c r="AD18" s="95"/>
      <c r="AE18" s="96"/>
      <c r="AF18" s="97"/>
      <c r="AG18" s="97"/>
      <c r="AH18" s="107"/>
      <c r="AI18" s="108"/>
      <c r="AJ18" s="107"/>
      <c r="AK18" s="109"/>
      <c r="AL18" s="107"/>
      <c r="AM18" s="109"/>
      <c r="AN18" s="109"/>
      <c r="AO18" s="109"/>
      <c r="AP18" s="109"/>
      <c r="AQ18" s="109"/>
      <c r="AR18" s="116"/>
      <c r="AS18" s="116"/>
      <c r="AT18" s="116"/>
    </row>
    <row r="19" s="13" customFormat="1" ht="18" customHeight="1" spans="1:46">
      <c r="A19" s="41"/>
      <c r="B19" s="42" t="s">
        <v>192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>SUM(L4:L18)</f>
        <v>123628.45</v>
      </c>
      <c r="M19" s="74">
        <f t="shared" ref="M19:AL19" si="10">SUM(M4:M18)</f>
        <v>5613.3</v>
      </c>
      <c r="N19" s="74">
        <f t="shared" si="10"/>
        <v>1585.57</v>
      </c>
      <c r="O19" s="74">
        <f t="shared" si="10"/>
        <v>311.85</v>
      </c>
      <c r="P19" s="74">
        <f t="shared" si="10"/>
        <v>2496.4</v>
      </c>
      <c r="Q19" s="74">
        <f t="shared" si="10"/>
        <v>10007.12</v>
      </c>
      <c r="R19" s="74">
        <f t="shared" si="10"/>
        <v>0</v>
      </c>
      <c r="S19" s="74">
        <f t="shared" si="10"/>
        <v>238474.29</v>
      </c>
      <c r="T19" s="74">
        <f t="shared" si="10"/>
        <v>135000</v>
      </c>
      <c r="U19" s="74">
        <f t="shared" si="10"/>
        <v>18443.76</v>
      </c>
      <c r="V19" s="74">
        <f t="shared" si="10"/>
        <v>2000</v>
      </c>
      <c r="W19" s="74">
        <f t="shared" si="10"/>
        <v>0</v>
      </c>
      <c r="X19" s="74">
        <f t="shared" si="10"/>
        <v>2000</v>
      </c>
      <c r="Y19" s="74">
        <f t="shared" si="10"/>
        <v>0</v>
      </c>
      <c r="Z19" s="74">
        <f t="shared" si="10"/>
        <v>800</v>
      </c>
      <c r="AA19" s="74">
        <f t="shared" si="10"/>
        <v>0</v>
      </c>
      <c r="AB19" s="74">
        <f t="shared" si="10"/>
        <v>4800</v>
      </c>
      <c r="AC19" s="74">
        <f t="shared" si="10"/>
        <v>0</v>
      </c>
      <c r="AD19" s="74">
        <f t="shared" si="10"/>
        <v>80230.53</v>
      </c>
      <c r="AE19" s="74">
        <f t="shared" si="10"/>
        <v>3330.97</v>
      </c>
      <c r="AF19" s="74">
        <f t="shared" si="10"/>
        <v>1275.4</v>
      </c>
      <c r="AG19" s="74">
        <f t="shared" si="10"/>
        <v>2125.03</v>
      </c>
      <c r="AH19" s="74">
        <f t="shared" si="10"/>
        <v>111496.3</v>
      </c>
      <c r="AI19" s="74">
        <f t="shared" si="10"/>
        <v>0</v>
      </c>
      <c r="AJ19" s="74">
        <f t="shared" si="10"/>
        <v>111496.3</v>
      </c>
      <c r="AK19" s="74">
        <f t="shared" si="10"/>
        <v>0</v>
      </c>
      <c r="AL19" s="74">
        <f t="shared" si="10"/>
        <v>113621.33</v>
      </c>
      <c r="AM19" s="110"/>
      <c r="AN19" s="110"/>
      <c r="AO19" s="110"/>
      <c r="AP19" s="110"/>
      <c r="AQ19" s="110"/>
      <c r="AR19" s="45"/>
      <c r="AS19" s="45"/>
      <c r="AT19" s="118"/>
    </row>
    <row r="20" spans="38:38">
      <c r="AL20" s="15">
        <v>31841.4778</v>
      </c>
    </row>
    <row r="22" spans="30:30">
      <c r="AD22" s="101"/>
    </row>
    <row r="23" ht="18.75" customHeight="1" spans="2:30">
      <c r="B23" s="47" t="s">
        <v>131</v>
      </c>
      <c r="C23" s="47" t="s">
        <v>193</v>
      </c>
      <c r="D23" s="47" t="s">
        <v>217</v>
      </c>
      <c r="E23" s="47" t="s">
        <v>23</v>
      </c>
      <c r="AD23" s="10"/>
    </row>
    <row r="24" ht="18.75" customHeight="1" spans="2:5">
      <c r="B24" s="48">
        <f>AJ19</f>
        <v>111496.3</v>
      </c>
      <c r="C24" s="48">
        <f>AG19</f>
        <v>2125.03</v>
      </c>
      <c r="D24" s="48">
        <f>AK19</f>
        <v>0</v>
      </c>
      <c r="E24" s="48">
        <f>B24+C24+D24</f>
        <v>113621.33</v>
      </c>
    </row>
    <row r="25" spans="2:5">
      <c r="B25" s="49"/>
      <c r="C25" s="49"/>
      <c r="D25" s="49"/>
      <c r="E25" s="49"/>
    </row>
    <row r="26" s="14" customFormat="1" spans="1:35">
      <c r="A26" s="51" t="s">
        <v>194</v>
      </c>
      <c r="B26" s="52" t="s">
        <v>195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196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197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198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199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200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201</v>
      </c>
    </row>
    <row r="34" spans="2:2">
      <c r="B34" s="59" t="s">
        <v>202</v>
      </c>
    </row>
    <row r="35" spans="2:2">
      <c r="B35" s="59" t="s">
        <v>203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2" stopIfTrue="1"/>
  </conditionalFormatting>
  <conditionalFormatting sqref="B26:B30">
    <cfRule type="duplicateValues" dxfId="4" priority="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4" stopIfTrue="1"/>
    <cfRule type="expression" dxfId="5" priority="5" stopIfTrue="1">
      <formula>AND(COUNTIF($B$19:$B$65455,C23)+COUNTIF($B$1:$B$3,C23)&gt;1,NOT(ISBLANK(C23)))</formula>
    </cfRule>
    <cfRule type="expression" dxfId="5" priority="6" stopIfTrue="1">
      <formula>AND(COUNTIF($B$30:$B$65406,C23)+COUNTIF($B$1:$B$29,C23)&gt;1,NOT(ISBLANK(C23)))</formula>
    </cfRule>
    <cfRule type="expression" dxfId="5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tabColor rgb="FF00B050"/>
    <pageSetUpPr fitToPage="1"/>
  </sheetPr>
  <dimension ref="A1:AV3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C4" sqref="C4:P1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204</v>
      </c>
      <c r="AN2" s="29" t="s">
        <v>205</v>
      </c>
      <c r="AO2" s="114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7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>ROUND(SUM(M4:P4),2)</f>
        <v>588.7</v>
      </c>
      <c r="R4" s="70">
        <v>0</v>
      </c>
      <c r="S4" s="90">
        <f>L4+IFERROR(VLOOKUP($E:$E,'（居民）工资表-2月'!$E:$S,15,0),0)</f>
        <v>24000</v>
      </c>
      <c r="T4" s="91">
        <f>5000+IFERROR(VLOOKUP($E:$E,'（居民）工资表-2月'!$E:$T,16,0),0)</f>
        <v>15000</v>
      </c>
      <c r="U4" s="91">
        <f>Q4+IFERROR(VLOOKUP($E:$E,'（居民）工资表-2月'!$E:$U,17,0),0)</f>
        <v>1862.1</v>
      </c>
      <c r="V4" s="70">
        <v>3000</v>
      </c>
      <c r="W4" s="70"/>
      <c r="X4" s="70">
        <v>3000</v>
      </c>
      <c r="Y4" s="70"/>
      <c r="Z4" s="70">
        <v>1200</v>
      </c>
      <c r="AA4" s="70"/>
      <c r="AB4" s="90">
        <f>ROUND(SUM(V4:AA4),2)</f>
        <v>7200</v>
      </c>
      <c r="AC4" s="90">
        <f>R4+IFERROR(VLOOKUP($E:$E,'（居民）工资表-2月'!$E:$AC,25,0),0)</f>
        <v>0</v>
      </c>
      <c r="AD4" s="95">
        <f>ROUND(S4-T4-U4-AB4-AC4,2)</f>
        <v>-62.1</v>
      </c>
      <c r="AE4" s="96">
        <f>ROUND(MAX((AD4)*{0.03;0.1;0.2;0.25;0.3;0.35;0.45}-{0;2520;16920;31920;52920;85920;181920},0),2)</f>
        <v>0</v>
      </c>
      <c r="AF4" s="97">
        <f>IFERROR(VLOOKUP(E:E,'（居民）工资表-2月'!E:AF,28,0)+VLOOKUP(E:E,'（居民）工资表-2月'!E:AG,29,0),0)</f>
        <v>69.46</v>
      </c>
      <c r="AG4" s="97">
        <f>IF((AE4-AF4)&lt;0,0,AE4-AF4)</f>
        <v>0</v>
      </c>
      <c r="AH4" s="107">
        <f>ROUND(IF((L4-Q4-AG4)&lt;0,0,(L4-Q4-AG4)),2)</f>
        <v>7411.3</v>
      </c>
      <c r="AI4" s="108"/>
      <c r="AJ4" s="107">
        <f>AH4+AI4</f>
        <v>7411.3</v>
      </c>
      <c r="AK4" s="109"/>
      <c r="AL4" s="107">
        <f>AJ4+AG4+AK4</f>
        <v>7411.3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IF(SUMPRODUCT(N(E$1:E$5=E4))&gt;1,"重复","不")</f>
        <v>不</v>
      </c>
      <c r="AT4" s="116" t="str">
        <f>IF(SUMPRODUCT(N(AO$1:AO$5=AO4))&gt;1,"重复","不")</f>
        <v>重复</v>
      </c>
      <c r="AU4" s="12">
        <v>0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119.92</v>
      </c>
      <c r="O5" s="71">
        <v>4.6</v>
      </c>
      <c r="P5" s="71">
        <v>115</v>
      </c>
      <c r="Q5" s="89">
        <f>ROUND(SUM(M5:P5),2)</f>
        <v>662.24</v>
      </c>
      <c r="R5" s="70">
        <v>0</v>
      </c>
      <c r="S5" s="90">
        <f>L5+IFERROR(VLOOKUP($E:$E,'（居民）工资表-2月'!$E:$S,15,0),0)</f>
        <v>17100</v>
      </c>
      <c r="T5" s="91">
        <f>5000+IFERROR(VLOOKUP($E:$E,'（居民）工资表-2月'!$E:$T,16,0),0)</f>
        <v>15000</v>
      </c>
      <c r="U5" s="91">
        <f>Q5+IFERROR(VLOOKUP($E:$E,'（居民）工资表-2月'!$E:$U,17,0),0)</f>
        <v>1986.72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R5+IFERROR(VLOOKUP($E:$E,'（居民）工资表-2月'!$E:$AC,25,0),0)</f>
        <v>0</v>
      </c>
      <c r="AD5" s="95">
        <f>ROUND(S5-T5-U5-AB5-AC5,2)</f>
        <v>113.28</v>
      </c>
      <c r="AE5" s="96">
        <f>ROUND(MAX((AD5)*{0.03;0.1;0.2;0.25;0.3;0.35;0.45}-{0;2520;16920;31920;52920;85920;181920},0),2)</f>
        <v>3.4</v>
      </c>
      <c r="AF5" s="97">
        <f>IFERROR(VLOOKUP(E:E,'（居民）工资表-2月'!E:AF,28,0)+VLOOKUP(E:E,'（居民）工资表-2月'!E:AG,29,0),0)</f>
        <v>2.27</v>
      </c>
      <c r="AG5" s="97">
        <f>IF((AE5-AF5)&lt;0,0,AE5-AF5)</f>
        <v>1.13</v>
      </c>
      <c r="AH5" s="107">
        <f>ROUND(IF((L5-Q5-AG5)&lt;0,0,(L5-Q5-AG5)),2)</f>
        <v>5036.63</v>
      </c>
      <c r="AI5" s="108"/>
      <c r="AJ5" s="107">
        <f>AH5+AI5</f>
        <v>5036.63</v>
      </c>
      <c r="AK5" s="109"/>
      <c r="AL5" s="107">
        <f>AJ5+AG5+AK5</f>
        <v>5037.76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IF(SUMPRODUCT(N(E$1:E$5=E5))&gt;1,"重复","不")</f>
        <v>不</v>
      </c>
      <c r="AT5" s="116" t="str">
        <f>IF(SUMPRODUCT(N(AO$1:AO$5=AO5))&gt;1,"重复","不")</f>
        <v>重复</v>
      </c>
      <c r="AU5" s="12" t="s">
        <v>145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ref="Q6:Q17" si="0">ROUND(SUM(M6:P6),2)</f>
        <v>948.55</v>
      </c>
      <c r="R6" s="70">
        <v>0</v>
      </c>
      <c r="S6" s="90">
        <f>L6+IFERROR(VLOOKUP($E:$E,'（居民）工资表-2月'!$E:$S,15,0),0)</f>
        <v>90180</v>
      </c>
      <c r="T6" s="91">
        <f>5000+IFERROR(VLOOKUP($E:$E,'（居民）工资表-2月'!$E:$T,16,0),0)</f>
        <v>15000</v>
      </c>
      <c r="U6" s="91">
        <f>Q6+IFERROR(VLOOKUP($E:$E,'（居民）工资表-2月'!$E:$U,17,0),0)</f>
        <v>2845.65</v>
      </c>
      <c r="V6" s="70"/>
      <c r="W6" s="70"/>
      <c r="X6" s="70"/>
      <c r="Y6" s="70"/>
      <c r="Z6" s="70"/>
      <c r="AA6" s="70"/>
      <c r="AB6" s="90">
        <f t="shared" ref="AB6:AB17" si="1">ROUND(SUM(V6:AA6),2)</f>
        <v>0</v>
      </c>
      <c r="AC6" s="90">
        <f>R6+IFERROR(VLOOKUP($E:$E,'（居民）工资表-2月'!$E:$AC,25,0),0)</f>
        <v>0</v>
      </c>
      <c r="AD6" s="95">
        <f t="shared" ref="AD6:AD17" si="2">ROUND(S6-T6-U6-AB6-AC6,2)</f>
        <v>72334.35</v>
      </c>
      <c r="AE6" s="96">
        <f>ROUND(MAX((AD6)*{0.03;0.1;0.2;0.25;0.3;0.35;0.45}-{0;2520;16920;31920;52920;85920;181920},0),2)</f>
        <v>4713.44</v>
      </c>
      <c r="AF6" s="97">
        <f>IFERROR(VLOOKUP(E:E,'（居民）工资表-2月'!E:AF,28,0)+VLOOKUP(E:E,'（居民）工资表-2月'!E:AG,29,0),0)</f>
        <v>2302.29</v>
      </c>
      <c r="AG6" s="97">
        <f t="shared" ref="AG6:AG17" si="3">IF((AE6-AF6)&lt;0,0,AE6-AF6)</f>
        <v>2411.15</v>
      </c>
      <c r="AH6" s="107">
        <f t="shared" ref="AH6:AH17" si="4">ROUND(IF((L6-Q6-AG6)&lt;0,0,(L6-Q6-AG6)),2)</f>
        <v>26700.3</v>
      </c>
      <c r="AI6" s="108"/>
      <c r="AJ6" s="107">
        <f t="shared" ref="AJ6:AJ17" si="5">AH6+AI6</f>
        <v>26700.3</v>
      </c>
      <c r="AK6" s="109"/>
      <c r="AL6" s="107">
        <f t="shared" ref="AL6:AL17" si="6">AJ6+AG6+AK6</f>
        <v>29111.45</v>
      </c>
      <c r="AM6" s="109"/>
      <c r="AN6" s="109"/>
      <c r="AO6" s="109"/>
      <c r="AP6" s="109"/>
      <c r="AQ6" s="109"/>
      <c r="AR6" s="116" t="str">
        <f t="shared" ref="AR6:AR17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 t="shared" ref="AS6:AS12" si="8">IF(SUMPRODUCT(N(E$1:E$5=E6))&gt;1,"重复","不")</f>
        <v>不</v>
      </c>
      <c r="AT6" s="116" t="str">
        <f t="shared" ref="AT6:AT12" si="9">IF(SUMPRODUCT(N(AO$1:AO$5=AO6))&gt;1,"重复","不")</f>
        <v>重复</v>
      </c>
      <c r="AU6" s="12" t="s">
        <v>50</v>
      </c>
      <c r="AV6" s="12" t="s">
        <v>51</v>
      </c>
    </row>
    <row r="7" s="12" customFormat="1" ht="18" customHeight="1" spans="1:47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L7+IFERROR(VLOOKUP($E:$E,'（居民）工资表-2月'!$E:$S,15,0),0)</f>
        <v>24000</v>
      </c>
      <c r="T7" s="91">
        <f>5000+IFERROR(VLOOKUP($E:$E,'（居民）工资表-2月'!$E:$T,16,0),0)</f>
        <v>15000</v>
      </c>
      <c r="U7" s="91">
        <f>Q7+IFERROR(VLOOKUP($E:$E,'（居民）工资表-2月'!$E:$U,17,0),0)</f>
        <v>1583.13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R7+IFERROR(VLOOKUP($E:$E,'（居民）工资表-2月'!$E:$AC,25,0),0)</f>
        <v>0</v>
      </c>
      <c r="AD7" s="95">
        <f t="shared" si="2"/>
        <v>7416.87</v>
      </c>
      <c r="AE7" s="96">
        <f>ROUND(MAX((AD7)*{0.03;0.1;0.2;0.25;0.3;0.35;0.45}-{0;2520;16920;31920;52920;85920;181920},0),2)</f>
        <v>222.51</v>
      </c>
      <c r="AF7" s="97">
        <f>IFERROR(VLOOKUP(E:E,'（居民）工资表-2月'!E:AF,28,0)+VLOOKUP(E:E,'（居民）工资表-2月'!E:AG,29,0),0)</f>
        <v>148.34</v>
      </c>
      <c r="AG7" s="97">
        <f t="shared" si="3"/>
        <v>74.17</v>
      </c>
      <c r="AH7" s="107">
        <f t="shared" si="4"/>
        <v>7398.12</v>
      </c>
      <c r="AI7" s="108"/>
      <c r="AJ7" s="107">
        <f t="shared" si="5"/>
        <v>7398.12</v>
      </c>
      <c r="AK7" s="109"/>
      <c r="AL7" s="107">
        <f t="shared" si="6"/>
        <v>7472.29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U7" s="12">
        <v>0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L8+IFERROR(VLOOKUP($E:$E,'（居民）工资表-2月'!$E:$S,15,0),0)</f>
        <v>31500</v>
      </c>
      <c r="T8" s="91">
        <f>5000+IFERROR(VLOOKUP($E:$E,'（居民）工资表-2月'!$E:$T,16,0),0)</f>
        <v>15000</v>
      </c>
      <c r="U8" s="91">
        <f>Q8+IFERROR(VLOOKUP($E:$E,'（居民）工资表-2月'!$E:$U,17,0),0)</f>
        <v>2316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R8+IFERROR(VLOOKUP($E:$E,'（居民）工资表-2月'!$E:$AC,25,0),0)</f>
        <v>0</v>
      </c>
      <c r="AD8" s="95">
        <f t="shared" si="2"/>
        <v>14184</v>
      </c>
      <c r="AE8" s="96">
        <f>ROUND(MAX((AD8)*{0.03;0.1;0.2;0.25;0.3;0.35;0.45}-{0;2520;16920;31920;52920;85920;181920},0),2)</f>
        <v>425.52</v>
      </c>
      <c r="AF8" s="97">
        <f>IFERROR(VLOOKUP(E:E,'（居民）工资表-2月'!E:AF,28,0)+VLOOKUP(E:E,'（居民）工资表-2月'!E:AG,29,0),0)</f>
        <v>283.68</v>
      </c>
      <c r="AG8" s="97">
        <f t="shared" si="3"/>
        <v>141.84</v>
      </c>
      <c r="AH8" s="107">
        <f t="shared" si="4"/>
        <v>9586.16</v>
      </c>
      <c r="AI8" s="108"/>
      <c r="AJ8" s="107">
        <f t="shared" si="5"/>
        <v>9586.16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L9+IFERROR(VLOOKUP($E:$E,'（居民）工资表-2月'!$E:$S,15,0),0)</f>
        <v>19500</v>
      </c>
      <c r="T9" s="91">
        <f>5000+IFERROR(VLOOKUP($E:$E,'（居民）工资表-2月'!$E:$T,16,0),0)</f>
        <v>15000</v>
      </c>
      <c r="U9" s="91">
        <f>Q9+IFERROR(VLOOKUP($E:$E,'（居民）工资表-2月'!$E:$U,17,0),0)</f>
        <v>1603.89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R9+IFERROR(VLOOKUP($E:$E,'（居民）工资表-2月'!$E:$AC,25,0),0)</f>
        <v>0</v>
      </c>
      <c r="AD9" s="95">
        <f t="shared" si="2"/>
        <v>2896.11</v>
      </c>
      <c r="AE9" s="96">
        <f>ROUND(MAX((AD9)*{0.03;0.1;0.2;0.25;0.3;0.35;0.45}-{0;2520;16920;31920;52920;85920;181920},0),2)</f>
        <v>86.88</v>
      </c>
      <c r="AF9" s="97">
        <f>IFERROR(VLOOKUP(E:E,'（居民）工资表-2月'!E:AF,28,0)+VLOOKUP(E:E,'（居民）工资表-2月'!E:AG,29,0),0)</f>
        <v>57.69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U9" s="12" t="s">
        <v>157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168</v>
      </c>
      <c r="D10" s="37" t="s">
        <v>143</v>
      </c>
      <c r="E10" s="326" t="s">
        <v>169</v>
      </c>
      <c r="F10" s="38" t="s">
        <v>148</v>
      </c>
      <c r="G10" s="39" t="s">
        <v>170</v>
      </c>
      <c r="H10" s="40"/>
      <c r="I10" s="40"/>
      <c r="J10" s="69"/>
      <c r="K10" s="40"/>
      <c r="L10" s="70"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L10+IFERROR(VLOOKUP($E:$E,'（居民）工资表-2月'!$E:$S,15,0),0)</f>
        <v>13577.52</v>
      </c>
      <c r="T10" s="91">
        <f>5000+IFERROR(VLOOKUP($E:$E,'（居民）工资表-2月'!$E:$T,16,0),0)</f>
        <v>15000</v>
      </c>
      <c r="U10" s="91">
        <f>Q10+IFERROR(VLOOKUP($E:$E,'（居民）工资表-2月'!$E:$U,17,0),0)</f>
        <v>1889.58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R10+IFERROR(VLOOKUP($E:$E,'（居民）工资表-2月'!$E:$AC,25,0),0)</f>
        <v>0</v>
      </c>
      <c r="AD10" s="95">
        <f t="shared" si="2"/>
        <v>-3312.06</v>
      </c>
      <c r="AE10" s="96">
        <f>ROUND(MAX((AD10)*{0.03;0.1;0.2;0.25;0.3;0.35;0.45}-{0;2520;16920;31920;52920;85920;181920},0),2)</f>
        <v>0</v>
      </c>
      <c r="AF10" s="97">
        <f>IFERROR(VLOOKUP(E:E,'（居民）工资表-2月'!E:AF,28,0)+VLOOKUP(E:E,'（居民）工资表-2月'!E:AG,29,0),0)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U10" s="12" t="s">
        <v>162</v>
      </c>
      <c r="AV10" s="12" t="s">
        <v>51</v>
      </c>
    </row>
    <row r="11" s="12" customFormat="1" ht="18" customHeight="1" spans="1:47">
      <c r="A11" s="36">
        <v>8</v>
      </c>
      <c r="B11" s="37" t="s">
        <v>142</v>
      </c>
      <c r="C11" s="37" t="s">
        <v>173</v>
      </c>
      <c r="D11" s="37" t="s">
        <v>143</v>
      </c>
      <c r="E11" s="326" t="s">
        <v>174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L11+IFERROR(VLOOKUP($E:$E,'（居民）工资表-2月'!$E:$S,15,0),0)</f>
        <v>25500</v>
      </c>
      <c r="T11" s="91">
        <f>5000+IFERROR(VLOOKUP($E:$E,'（居民）工资表-2月'!$E:$T,16,0),0)</f>
        <v>15000</v>
      </c>
      <c r="U11" s="91">
        <f>Q11+IFERROR(VLOOKUP($E:$E,'（居民）工资表-2月'!$E:$U,17,0),0)</f>
        <v>1677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R11+IFERROR(VLOOKUP($E:$E,'（居民）工资表-2月'!$E:$AC,25,0),0)</f>
        <v>0</v>
      </c>
      <c r="AD11" s="95">
        <f t="shared" si="2"/>
        <v>8823</v>
      </c>
      <c r="AE11" s="96">
        <f>ROUND(MAX((AD11)*{0.03;0.1;0.2;0.25;0.3;0.35;0.45}-{0;2520;16920;31920;52920;85920;181920},0),2)</f>
        <v>264.69</v>
      </c>
      <c r="AF11" s="97">
        <f>IFERROR(VLOOKUP(E:E,'（居民）工资表-2月'!E:AF,28,0)+VLOOKUP(E:E,'（居民）工资表-2月'!E:AG,29,0),0)</f>
        <v>176.46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  <c r="AU11" s="12">
        <v>0</v>
      </c>
    </row>
    <row r="12" s="12" customFormat="1" ht="18" customHeight="1" spans="1:47">
      <c r="A12" s="36">
        <v>9</v>
      </c>
      <c r="B12" s="37" t="s">
        <v>142</v>
      </c>
      <c r="C12" s="37" t="s">
        <v>175</v>
      </c>
      <c r="D12" s="37" t="s">
        <v>143</v>
      </c>
      <c r="E12" s="326" t="s">
        <v>176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L12+IFERROR(VLOOKUP($E:$E,'（居民）工资表-2月'!$E:$S,15,0),0)</f>
        <v>21000</v>
      </c>
      <c r="T12" s="91">
        <f>5000+IFERROR(VLOOKUP($E:$E,'（居民）工资表-2月'!$E:$T,16,0),0)</f>
        <v>15000</v>
      </c>
      <c r="U12" s="91">
        <f>Q12+IFERROR(VLOOKUP($E:$E,'（居民）工资表-2月'!$E:$U,17,0),0)</f>
        <v>2316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R12+IFERROR(VLOOKUP($E:$E,'（居民）工资表-2月'!$E:$AC,25,0),0)</f>
        <v>0</v>
      </c>
      <c r="AD12" s="95">
        <f t="shared" si="2"/>
        <v>3684</v>
      </c>
      <c r="AE12" s="96">
        <f>ROUND(MAX((AD12)*{0.03;0.1;0.2;0.25;0.3;0.35;0.45}-{0;2520;16920;31920;52920;85920;181920},0),2)</f>
        <v>110.52</v>
      </c>
      <c r="AF12" s="97">
        <f>IFERROR(VLOOKUP(E:E,'（居民）工资表-2月'!E:AF,28,0)+VLOOKUP(E:E,'（居民）工资表-2月'!E:AG,29,0),0)</f>
        <v>73.68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  <c r="AU12" s="12">
        <v>0</v>
      </c>
    </row>
    <row r="13" s="12" customFormat="1" ht="18" customHeight="1" spans="1:48">
      <c r="A13" s="36">
        <v>10</v>
      </c>
      <c r="B13" s="37" t="s">
        <v>142</v>
      </c>
      <c r="C13" s="37" t="s">
        <v>177</v>
      </c>
      <c r="D13" s="37" t="s">
        <v>143</v>
      </c>
      <c r="E13" s="326" t="s">
        <v>178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L13+IFERROR(VLOOKUP($E:$E,'（居民）工资表-2月'!$E:$S,15,0),0)</f>
        <v>21608.7</v>
      </c>
      <c r="T13" s="91">
        <f>5000+IFERROR(VLOOKUP($E:$E,'（居民）工资表-2月'!$E:$T,16,0),0)</f>
        <v>15000</v>
      </c>
      <c r="U13" s="91">
        <f>Q13+IFERROR(VLOOKUP($E:$E,'（居民）工资表-2月'!$E:$U,17,0),0)</f>
        <v>2316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R13+IFERROR(VLOOKUP($E:$E,'（居民）工资表-2月'!$E:$AC,25,0),0)</f>
        <v>0</v>
      </c>
      <c r="AD13" s="95">
        <f t="shared" si="2"/>
        <v>4292.7</v>
      </c>
      <c r="AE13" s="96">
        <f>ROUND(MAX((AD13)*{0.03;0.1;0.2;0.25;0.3;0.35;0.45}-{0;2520;16920;31920;52920;85920;181920},0),2)</f>
        <v>128.78</v>
      </c>
      <c r="AF13" s="97">
        <f>IFERROR(VLOOKUP(E:E,'（居民）工资表-2月'!E:AF,28,0)+VLOOKUP(E:E,'（居民）工资表-2月'!E:AG,29,0),0)</f>
        <v>91.94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>IF(SUMPRODUCT(N(E$1:E$5=E13))&gt;1,"重复","不")</f>
        <v>不</v>
      </c>
      <c r="AT13" s="116" t="str">
        <f>IF(SUMPRODUCT(N(AO$1:AO$5=AO13))&gt;1,"重复","不")</f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179</v>
      </c>
      <c r="D14" s="37" t="s">
        <v>143</v>
      </c>
      <c r="E14" s="326" t="s">
        <v>180</v>
      </c>
      <c r="F14" s="38" t="s">
        <v>148</v>
      </c>
      <c r="G14" s="39" t="s">
        <v>181</v>
      </c>
      <c r="H14" s="40"/>
      <c r="I14" s="40"/>
      <c r="J14" s="69"/>
      <c r="K14" s="40"/>
      <c r="L14" s="70"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L14+IFERROR(VLOOKUP($E:$E,'（居民）工资表-2月'!$E:$S,15,0),0)</f>
        <v>21000</v>
      </c>
      <c r="T14" s="91">
        <f>5000+IFERROR(VLOOKUP($E:$E,'（居民）工资表-2月'!$E:$T,16,0),0)</f>
        <v>15000</v>
      </c>
      <c r="U14" s="91">
        <f>Q14+IFERROR(VLOOKUP($E:$E,'（居民）工资表-2月'!$E:$U,17,0),0)</f>
        <v>1677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R14+IFERROR(VLOOKUP($E:$E,'（居民）工资表-2月'!$E:$AC,25,0),0)</f>
        <v>0</v>
      </c>
      <c r="AD14" s="95">
        <f t="shared" si="2"/>
        <v>4323</v>
      </c>
      <c r="AE14" s="96">
        <f>ROUND(MAX((AD14)*{0.03;0.1;0.2;0.25;0.3;0.35;0.45}-{0;2520;16920;31920;52920;85920;181920},0),2)</f>
        <v>129.69</v>
      </c>
      <c r="AF14" s="97">
        <f>IFERROR(VLOOKUP(E:E,'（居民）工资表-2月'!E:AF,28,0)+VLOOKUP(E:E,'（居民）工资表-2月'!E:AG,29,0),0)</f>
        <v>86.46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IF(SUMPRODUCT(N(E$1:E$5=E14))&gt;1,"重复","不")</f>
        <v>不</v>
      </c>
      <c r="AT14" s="116" t="str">
        <f>IF(SUMPRODUCT(N(AO$1:AO$5=AO14))&gt;1,"重复","不")</f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182</v>
      </c>
      <c r="D15" s="37" t="s">
        <v>143</v>
      </c>
      <c r="E15" s="326" t="s">
        <v>183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6060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L15+IFERROR(VLOOKUP($E:$E,'（居民）工资表-2月'!$E:$S,15,0),0)</f>
        <v>18701.74</v>
      </c>
      <c r="T15" s="91">
        <f>5000+IFERROR(VLOOKUP($E:$E,'（居民）工资表-2月'!$E:$T,16,0),0)</f>
        <v>15000</v>
      </c>
      <c r="U15" s="91">
        <f>Q15+IFERROR(VLOOKUP($E:$E,'（居民）工资表-2月'!$E:$U,17,0),0)</f>
        <v>1583.13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R15+IFERROR(VLOOKUP($E:$E,'（居民）工资表-2月'!$E:$AC,25,0),0)</f>
        <v>0</v>
      </c>
      <c r="AD15" s="95">
        <f t="shared" si="2"/>
        <v>2118.61</v>
      </c>
      <c r="AE15" s="96">
        <f>ROUND(MAX((AD15)*{0.03;0.1;0.2;0.25;0.3;0.35;0.45}-{0;2520;16920;31920;52920;85920;181920},0),2)</f>
        <v>63.56</v>
      </c>
      <c r="AF15" s="97">
        <f>IFERROR(VLOOKUP(E:E,'（居民）工资表-2月'!E:AF,28,0)+VLOOKUP(E:E,'（居民）工资表-2月'!E:AG,29,0),0)</f>
        <v>47.59</v>
      </c>
      <c r="AG15" s="97">
        <f t="shared" si="3"/>
        <v>15.97</v>
      </c>
      <c r="AH15" s="107">
        <f t="shared" si="4"/>
        <v>5516.32</v>
      </c>
      <c r="AI15" s="108"/>
      <c r="AJ15" s="107">
        <f t="shared" si="5"/>
        <v>5516.32</v>
      </c>
      <c r="AK15" s="109"/>
      <c r="AL15" s="107">
        <f t="shared" si="6"/>
        <v>5532.29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IF(SUMPRODUCT(N(E$1:E$5=E15))&gt;1,"重复","不")</f>
        <v>不</v>
      </c>
      <c r="AT15" s="116" t="str">
        <f>IF(SUMPRODUCT(N(AO$1:AO$5=AO15))&gt;1,"重复","不")</f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186</v>
      </c>
      <c r="D16" s="37" t="s">
        <v>143</v>
      </c>
      <c r="E16" s="326" t="s">
        <v>187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L16+IFERROR(VLOOKUP($E:$E,'（居民）工资表-2月'!$E:$S,15,0),0)</f>
        <v>18000</v>
      </c>
      <c r="T16" s="91">
        <f>5000+IFERROR(VLOOKUP($E:$E,'（居民）工资表-2月'!$E:$T,16,0),0)</f>
        <v>15000</v>
      </c>
      <c r="U16" s="91">
        <f>Q16+IFERROR(VLOOKUP($E:$E,'（居民）工资表-2月'!$E:$U,17,0),0)</f>
        <v>1575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R16+IFERROR(VLOOKUP($E:$E,'（居民）工资表-2月'!$E:$AC,25,0),0)</f>
        <v>0</v>
      </c>
      <c r="AD16" s="95">
        <f t="shared" si="2"/>
        <v>1425</v>
      </c>
      <c r="AE16" s="96">
        <f>ROUND(MAX((AD16)*{0.03;0.1;0.2;0.25;0.3;0.35;0.45}-{0;2520;16920;31920;52920;85920;181920},0),2)</f>
        <v>42.75</v>
      </c>
      <c r="AF16" s="97">
        <f>IFERROR(VLOOKUP(E:E,'（居民）工资表-2月'!E:AF,28,0)+VLOOKUP(E:E,'（居民）工资表-2月'!E:AG,29,0),0)</f>
        <v>28.5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IF(SUMPRODUCT(N(E$1:E$5=E16))&gt;1,"重复","不")</f>
        <v>不</v>
      </c>
      <c r="AT16" s="116" t="str">
        <f>IF(SUMPRODUCT(N(AO$1:AO$5=AO16))&gt;1,"重复","不")</f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212</v>
      </c>
      <c r="D17" s="37" t="s">
        <v>143</v>
      </c>
      <c r="E17" s="326" t="s">
        <v>213</v>
      </c>
      <c r="F17" s="38" t="s">
        <v>144</v>
      </c>
      <c r="G17" s="39"/>
      <c r="H17" s="40"/>
      <c r="I17" s="40"/>
      <c r="J17" s="69"/>
      <c r="K17" s="40"/>
      <c r="L17" s="70">
        <v>9904.76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L17+IFERROR(VLOOKUP($E:$E,'（居民）工资表-2月'!$E:$S,15,0),0)</f>
        <v>17556.93</v>
      </c>
      <c r="T17" s="91">
        <f>5000+IFERROR(VLOOKUP($E:$E,'（居民）工资表-2月'!$E:$T,16,0),0)</f>
        <v>10000</v>
      </c>
      <c r="U17" s="91">
        <f>Q17+IFERROR(VLOOKUP($E:$E,'（居民）工资表-2月'!$E:$U,17,0),0)</f>
        <v>2110.84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R17+IFERROR(VLOOKUP($E:$E,'（居民）工资表-2月'!$E:$AC,25,0),0)</f>
        <v>0</v>
      </c>
      <c r="AD17" s="95">
        <f t="shared" si="2"/>
        <v>5446.09</v>
      </c>
      <c r="AE17" s="96">
        <f>ROUND(MAX((AD17)*{0.03;0.1;0.2;0.25;0.3;0.35;0.45}-{0;2520;16920;31920;52920;85920;181920},0),2)</f>
        <v>163.38</v>
      </c>
      <c r="AF17" s="97">
        <f>IFERROR(VLOOKUP(E:E,'（居民）工资表-2月'!E:AF,28,0)+VLOOKUP(E:E,'（居民）工资表-2月'!E:AG,29,0),0)</f>
        <v>32.07</v>
      </c>
      <c r="AG17" s="97">
        <f t="shared" si="3"/>
        <v>131.31</v>
      </c>
      <c r="AH17" s="107">
        <f t="shared" si="4"/>
        <v>9245.74</v>
      </c>
      <c r="AI17" s="108"/>
      <c r="AJ17" s="107">
        <f t="shared" si="5"/>
        <v>9245.74</v>
      </c>
      <c r="AK17" s="109"/>
      <c r="AL17" s="107">
        <f t="shared" si="6"/>
        <v>9377.05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IF(SUMPRODUCT(N(E$1:E$5=E17))&gt;1,"重复","不")</f>
        <v>不</v>
      </c>
      <c r="AT17" s="116" t="str">
        <f>IF(SUMPRODUCT(N(AO$1:AO$5=AO17))&gt;1,"重复","不")</f>
        <v>重复</v>
      </c>
      <c r="AU17" s="12" t="s">
        <v>157</v>
      </c>
      <c r="AV17" s="12" t="s">
        <v>51</v>
      </c>
    </row>
    <row r="18" s="12" customFormat="1" ht="18" customHeight="1" spans="1:46">
      <c r="A18" s="36"/>
      <c r="B18" s="37"/>
      <c r="C18" s="119"/>
      <c r="D18" s="37"/>
      <c r="E18" s="120"/>
      <c r="F18" s="38"/>
      <c r="G18" s="121"/>
      <c r="H18" s="122"/>
      <c r="I18" s="122"/>
      <c r="J18" s="123"/>
      <c r="K18" s="122"/>
      <c r="L18" s="124"/>
      <c r="M18" s="124"/>
      <c r="N18" s="124"/>
      <c r="O18" s="124"/>
      <c r="P18" s="124"/>
      <c r="Q18" s="89"/>
      <c r="R18" s="70"/>
      <c r="S18" s="90"/>
      <c r="T18" s="91"/>
      <c r="U18" s="91"/>
      <c r="V18" s="70"/>
      <c r="W18" s="70"/>
      <c r="X18" s="70"/>
      <c r="Y18" s="70"/>
      <c r="Z18" s="70"/>
      <c r="AA18" s="70"/>
      <c r="AB18" s="90"/>
      <c r="AC18" s="90"/>
      <c r="AD18" s="95"/>
      <c r="AE18" s="96"/>
      <c r="AF18" s="97"/>
      <c r="AG18" s="97"/>
      <c r="AH18" s="107"/>
      <c r="AI18" s="108"/>
      <c r="AJ18" s="107"/>
      <c r="AK18" s="109"/>
      <c r="AL18" s="107"/>
      <c r="AM18" s="109"/>
      <c r="AN18" s="109"/>
      <c r="AO18" s="109"/>
      <c r="AP18" s="109"/>
      <c r="AQ18" s="109"/>
      <c r="AR18" s="116"/>
      <c r="AS18" s="116"/>
      <c r="AT18" s="116"/>
    </row>
    <row r="19" s="13" customFormat="1" ht="18" customHeight="1" spans="1:46">
      <c r="A19" s="41"/>
      <c r="B19" s="42" t="s">
        <v>192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>SUM(L4:L18)</f>
        <v>124750.6</v>
      </c>
      <c r="M19" s="74">
        <f>SUM(M4:M18)</f>
        <v>4924.98</v>
      </c>
      <c r="N19" s="74">
        <f>SUM(N4:N18)</f>
        <v>1400.95</v>
      </c>
      <c r="O19" s="74">
        <f>SUM(O4:O18)</f>
        <v>269.95</v>
      </c>
      <c r="P19" s="74">
        <f t="shared" ref="P19:AL19" si="10">SUM(P4:P18)</f>
        <v>2302.4</v>
      </c>
      <c r="Q19" s="74">
        <f t="shared" si="10"/>
        <v>8898.28</v>
      </c>
      <c r="R19" s="74">
        <f t="shared" si="10"/>
        <v>0</v>
      </c>
      <c r="S19" s="74">
        <f t="shared" si="10"/>
        <v>363224.89</v>
      </c>
      <c r="T19" s="74">
        <f t="shared" si="10"/>
        <v>205000</v>
      </c>
      <c r="U19" s="74">
        <f t="shared" si="10"/>
        <v>27342.04</v>
      </c>
      <c r="V19" s="74">
        <f t="shared" si="10"/>
        <v>3000</v>
      </c>
      <c r="W19" s="74">
        <f t="shared" si="10"/>
        <v>0</v>
      </c>
      <c r="X19" s="74">
        <f t="shared" si="10"/>
        <v>3000</v>
      </c>
      <c r="Y19" s="74">
        <f t="shared" si="10"/>
        <v>0</v>
      </c>
      <c r="Z19" s="74">
        <f t="shared" si="10"/>
        <v>1200</v>
      </c>
      <c r="AA19" s="74">
        <f t="shared" si="10"/>
        <v>0</v>
      </c>
      <c r="AB19" s="74">
        <f t="shared" si="10"/>
        <v>7200</v>
      </c>
      <c r="AC19" s="74">
        <f t="shared" si="10"/>
        <v>0</v>
      </c>
      <c r="AD19" s="74">
        <f t="shared" si="10"/>
        <v>123682.85</v>
      </c>
      <c r="AE19" s="74">
        <f t="shared" si="10"/>
        <v>6355.12</v>
      </c>
      <c r="AF19" s="74">
        <f t="shared" si="10"/>
        <v>3400.43</v>
      </c>
      <c r="AG19" s="74">
        <f t="shared" si="10"/>
        <v>3024.15</v>
      </c>
      <c r="AH19" s="74">
        <f t="shared" si="10"/>
        <v>112828.17</v>
      </c>
      <c r="AI19" s="74">
        <f t="shared" si="10"/>
        <v>0</v>
      </c>
      <c r="AJ19" s="74">
        <f t="shared" si="10"/>
        <v>112828.17</v>
      </c>
      <c r="AK19" s="74">
        <f t="shared" si="10"/>
        <v>0</v>
      </c>
      <c r="AL19" s="74">
        <f t="shared" si="10"/>
        <v>115852.32</v>
      </c>
      <c r="AM19" s="110"/>
      <c r="AN19" s="110"/>
      <c r="AO19" s="110"/>
      <c r="AP19" s="110"/>
      <c r="AQ19" s="110"/>
      <c r="AR19" s="45"/>
      <c r="AS19" s="45"/>
      <c r="AT19" s="118"/>
    </row>
    <row r="22" spans="30:30">
      <c r="AD22" s="101"/>
    </row>
    <row r="23" ht="18.75" customHeight="1" spans="2:30">
      <c r="B23" s="47" t="s">
        <v>131</v>
      </c>
      <c r="C23" s="47" t="s">
        <v>193</v>
      </c>
      <c r="D23" s="47" t="s">
        <v>22</v>
      </c>
      <c r="E23" s="47" t="s">
        <v>23</v>
      </c>
      <c r="AD23" s="10"/>
    </row>
    <row r="24" ht="18.75" customHeight="1" spans="2:5">
      <c r="B24" s="48">
        <f>AJ19</f>
        <v>112828.17</v>
      </c>
      <c r="C24" s="48">
        <f>AG19</f>
        <v>3024.15</v>
      </c>
      <c r="D24" s="48">
        <f>AK19</f>
        <v>0</v>
      </c>
      <c r="E24" s="48">
        <f>B24+C24+D24</f>
        <v>115852.32</v>
      </c>
    </row>
    <row r="25" spans="2:5">
      <c r="B25" s="49"/>
      <c r="C25" s="49"/>
      <c r="D25" s="49"/>
      <c r="E25" s="49"/>
    </row>
    <row r="26" s="14" customFormat="1" spans="1:35">
      <c r="A26" s="51" t="s">
        <v>194</v>
      </c>
      <c r="B26" s="52" t="s">
        <v>195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196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197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198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199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200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201</v>
      </c>
    </row>
    <row r="34" spans="2:2">
      <c r="B34" s="59" t="s">
        <v>202</v>
      </c>
    </row>
    <row r="35" spans="2:2">
      <c r="B35" s="59" t="s">
        <v>203</v>
      </c>
    </row>
  </sheetData>
  <autoFilter ref="A3:AT1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2" stopIfTrue="1"/>
  </conditionalFormatting>
  <conditionalFormatting sqref="B26:B30">
    <cfRule type="duplicateValues" dxfId="4" priority="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4" stopIfTrue="1"/>
    <cfRule type="expression" dxfId="5" priority="5" stopIfTrue="1">
      <formula>AND(COUNTIF($B$19:$B$65455,C23)+COUNTIF($B$1:$B$3,C23)&gt;1,NOT(ISBLANK(C23)))</formula>
    </cfRule>
    <cfRule type="expression" dxfId="5" priority="6" stopIfTrue="1">
      <formula>AND(COUNTIF($B$30:$B$65406,C23)+COUNTIF($B$1:$B$29,C23)&gt;1,NOT(ISBLANK(C23)))</formula>
    </cfRule>
    <cfRule type="expression" dxfId="5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90833333333333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47" width="9" style="15" customWidth="1"/>
    <col min="48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204</v>
      </c>
      <c r="AN2" s="29" t="s">
        <v>205</v>
      </c>
      <c r="AO2" s="114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f>VLOOKUP(C4,[1]Sheet1!$B$2:$D$16,3,0)</f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 t="shared" ref="Q4:Q22" si="0">ROUND(SUM(M4:P4),2)</f>
        <v>588.7</v>
      </c>
      <c r="R4" s="70">
        <v>0</v>
      </c>
      <c r="S4" s="90">
        <f>L4+IFERROR(VLOOKUP($E:$E,'（居民）工资表-3月'!$E:$S,15,0),0)</f>
        <v>32000</v>
      </c>
      <c r="T4" s="91">
        <f>5000+IFERROR(VLOOKUP($E:$E,'（居民）工资表-3月'!$E:$T,16,0),0)</f>
        <v>20000</v>
      </c>
      <c r="U4" s="91">
        <f>Q4+IFERROR(VLOOKUP($E:$E,'（居民）工资表-3月'!$E:$U,17,0),0)</f>
        <v>2450.8</v>
      </c>
      <c r="V4" s="70"/>
      <c r="W4" s="70"/>
      <c r="X4" s="70"/>
      <c r="Y4" s="70"/>
      <c r="Z4" s="70"/>
      <c r="AA4" s="70"/>
      <c r="AB4" s="90">
        <f t="shared" ref="AB4:AB22" si="1">ROUND(SUM(V4:AA4),2)</f>
        <v>0</v>
      </c>
      <c r="AC4" s="90">
        <f>R4+IFERROR(VLOOKUP($E:$E,'（居民）工资表-3月'!$E:$AC,25,0),0)</f>
        <v>0</v>
      </c>
      <c r="AD4" s="95">
        <f t="shared" ref="AD4:AD22" si="2">ROUND(S4-T4-U4-AB4-AC4,2)</f>
        <v>9549.2</v>
      </c>
      <c r="AE4" s="96">
        <f>ROUND(MAX((AD4)*{0.03;0.1;0.2;0.25;0.3;0.35;0.45}-{0;2520;16920;31920;52920;85920;181920},0),2)</f>
        <v>286.48</v>
      </c>
      <c r="AF4" s="97">
        <f>IFERROR(VLOOKUP(E:E,'（居民）工资表-3月'!E:AF,28,0)+VLOOKUP(E:E,'（居民）工资表-3月'!E:AG,29,0),0)</f>
        <v>69.46</v>
      </c>
      <c r="AG4" s="97">
        <f t="shared" ref="AG4:AG22" si="3">IF((AE4-AF4)&lt;0,0,AE4-AF4)</f>
        <v>217.02</v>
      </c>
      <c r="AH4" s="107">
        <f t="shared" ref="AH4:AH22" si="4">ROUND(IF((L4-Q4-AG4)&lt;0,0,(L4-Q4-AG4)),2)</f>
        <v>7194.28</v>
      </c>
      <c r="AI4" s="108"/>
      <c r="AJ4" s="107">
        <f t="shared" ref="AJ4:AJ22" si="5">AH4+AI4</f>
        <v>7194.28</v>
      </c>
      <c r="AK4" s="109"/>
      <c r="AL4" s="107">
        <f t="shared" ref="AL4:AL22" si="6">AJ4+AG4+AK4</f>
        <v>7411.3</v>
      </c>
      <c r="AM4" s="109"/>
      <c r="AN4" s="109"/>
      <c r="AO4" s="109"/>
      <c r="AP4" s="109"/>
      <c r="AQ4" s="109"/>
      <c r="AR4" s="116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1" si="8">IF(SUMPRODUCT(N(E$1:E$5=E4))&gt;1,"重复","不")</f>
        <v>不</v>
      </c>
      <c r="AT4" s="116" t="str">
        <f t="shared" ref="AT4:AT11" si="9">IF(SUMPRODUCT(N(AO$1:AO$5=AO4))&gt;1,"重复","不")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f>VLOOKUP(C5,[1]Sheet1!$B$2:$D$16,3,0)</f>
        <v>5700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L5+IFERROR(VLOOKUP($E:$E,'（居民）工资表-3月'!$E:$S,15,0),0)</f>
        <v>22800</v>
      </c>
      <c r="T5" s="91">
        <f>5000+IFERROR(VLOOKUP($E:$E,'（居民）工资表-3月'!$E:$T,16,0),0)</f>
        <v>20000</v>
      </c>
      <c r="U5" s="91">
        <f>Q5+IFERROR(VLOOKUP($E:$E,'（居民）工资表-3月'!$E:$U,17,0),0)</f>
        <v>2648.96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R5+IFERROR(VLOOKUP($E:$E,'（居民）工资表-3月'!$E:$AC,25,0),0)</f>
        <v>0</v>
      </c>
      <c r="AD5" s="95">
        <f t="shared" si="2"/>
        <v>151.04</v>
      </c>
      <c r="AE5" s="96">
        <f>ROUND(MAX((AD5)*{0.03;0.1;0.2;0.25;0.3;0.35;0.45}-{0;2520;16920;31920;52920;85920;181920},0),2)</f>
        <v>4.53</v>
      </c>
      <c r="AF5" s="97">
        <f>IFERROR(VLOOKUP(E:E,'（居民）工资表-3月'!E:AF,28,0)+VLOOKUP(E:E,'（居民）工资表-3月'!E:AG,29,0),0)</f>
        <v>3.4</v>
      </c>
      <c r="AG5" s="97">
        <f t="shared" si="3"/>
        <v>1.13</v>
      </c>
      <c r="AH5" s="107">
        <f t="shared" si="4"/>
        <v>5036.63</v>
      </c>
      <c r="AI5" s="108"/>
      <c r="AJ5" s="107">
        <f t="shared" si="5"/>
        <v>5036.63</v>
      </c>
      <c r="AK5" s="109"/>
      <c r="AL5" s="107">
        <f t="shared" si="6"/>
        <v>5037.76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 t="shared" si="8"/>
        <v>不</v>
      </c>
      <c r="AT5" s="116" t="str">
        <f t="shared" si="9"/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f>VLOOKUP(C6,[1]Sheet1!$B$2:$D$16,3,0)</f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L6+IFERROR(VLOOKUP($E:$E,'（居民）工资表-3月'!$E:$S,15,0),0)</f>
        <v>120240</v>
      </c>
      <c r="T6" s="91">
        <f>5000+IFERROR(VLOOKUP($E:$E,'（居民）工资表-3月'!$E:$T,16,0),0)</f>
        <v>20000</v>
      </c>
      <c r="U6" s="91">
        <f>Q6+IFERROR(VLOOKUP($E:$E,'（居民）工资表-3月'!$E:$U,17,0),0)</f>
        <v>3794.2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R6+IFERROR(VLOOKUP($E:$E,'（居民）工资表-3月'!$E:$AC,25,0),0)</f>
        <v>0</v>
      </c>
      <c r="AD6" s="95">
        <f t="shared" si="2"/>
        <v>96445.8</v>
      </c>
      <c r="AE6" s="96">
        <f>ROUND(MAX((AD6)*{0.03;0.1;0.2;0.25;0.3;0.35;0.45}-{0;2520;16920;31920;52920;85920;181920},0),2)</f>
        <v>7124.58</v>
      </c>
      <c r="AF6" s="97">
        <f>IFERROR(VLOOKUP(E:E,'（居民）工资表-3月'!E:AF,28,0)+VLOOKUP(E:E,'（居民）工资表-3月'!E:AG,29,0),0)</f>
        <v>4713.44</v>
      </c>
      <c r="AG6" s="97">
        <f t="shared" si="3"/>
        <v>2411.14</v>
      </c>
      <c r="AH6" s="107">
        <f t="shared" si="4"/>
        <v>26700.31</v>
      </c>
      <c r="AI6" s="108"/>
      <c r="AJ6" s="107">
        <f t="shared" si="5"/>
        <v>26700.31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f>VLOOKUP(C7,[1]Sheet1!$B$2:$D$16,3,0)</f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L7+IFERROR(VLOOKUP($E:$E,'（居民）工资表-3月'!$E:$S,15,0),0)</f>
        <v>32000</v>
      </c>
      <c r="T7" s="91">
        <f>5000+IFERROR(VLOOKUP($E:$E,'（居民）工资表-3月'!$E:$T,16,0),0)</f>
        <v>20000</v>
      </c>
      <c r="U7" s="91">
        <f>Q7+IFERROR(VLOOKUP($E:$E,'（居民）工资表-3月'!$E:$U,17,0),0)</f>
        <v>2110.84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R7+IFERROR(VLOOKUP($E:$E,'（居民）工资表-3月'!$E:$AC,25,0),0)</f>
        <v>0</v>
      </c>
      <c r="AD7" s="95">
        <f t="shared" si="2"/>
        <v>9889.16</v>
      </c>
      <c r="AE7" s="96">
        <f>ROUND(MAX((AD7)*{0.03;0.1;0.2;0.25;0.3;0.35;0.45}-{0;2520;16920;31920;52920;85920;181920},0),2)</f>
        <v>296.67</v>
      </c>
      <c r="AF7" s="97">
        <f>IFERROR(VLOOKUP(E:E,'（居民）工资表-3月'!E:AF,28,0)+VLOOKUP(E:E,'（居民）工资表-3月'!E:AG,29,0),0)</f>
        <v>222.51</v>
      </c>
      <c r="AG7" s="97">
        <f t="shared" si="3"/>
        <v>74.16</v>
      </c>
      <c r="AH7" s="107">
        <f t="shared" si="4"/>
        <v>7398.13</v>
      </c>
      <c r="AI7" s="108"/>
      <c r="AJ7" s="107">
        <f t="shared" si="5"/>
        <v>7398.13</v>
      </c>
      <c r="AK7" s="109"/>
      <c r="AL7" s="107">
        <f t="shared" si="6"/>
        <v>7472.29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f>VLOOKUP(C8,[1]Sheet1!$B$2:$D$16,3,0)</f>
        <v>10500</v>
      </c>
      <c r="M8" s="71">
        <v>321.52</v>
      </c>
      <c r="N8" s="71">
        <v>86.38</v>
      </c>
      <c r="O8" s="71">
        <v>20.1</v>
      </c>
      <c r="P8" s="71">
        <v>344</v>
      </c>
      <c r="Q8" s="70">
        <f t="shared" si="0"/>
        <v>772</v>
      </c>
      <c r="R8" s="70">
        <v>0</v>
      </c>
      <c r="S8" s="92">
        <f>L8+IFERROR(VLOOKUP($E:$E,'（居民）工资表-3月'!$E:$S,15,0),0)</f>
        <v>42000</v>
      </c>
      <c r="T8" s="93">
        <f>5000+IFERROR(VLOOKUP($E:$E,'（居民）工资表-3月'!$E:$T,16,0),0)</f>
        <v>20000</v>
      </c>
      <c r="U8" s="93">
        <f>Q8+IFERROR(VLOOKUP($E:$E,'（居民）工资表-3月'!$E:$U,17,0),0)</f>
        <v>3088</v>
      </c>
      <c r="V8" s="70"/>
      <c r="W8" s="70"/>
      <c r="X8" s="70"/>
      <c r="Y8" s="70"/>
      <c r="Z8" s="70"/>
      <c r="AA8" s="70"/>
      <c r="AB8" s="92">
        <f t="shared" si="1"/>
        <v>0</v>
      </c>
      <c r="AC8" s="92">
        <f>R8+IFERROR(VLOOKUP($E:$E,'（居民）工资表-3月'!$E:$AC,25,0),0)</f>
        <v>0</v>
      </c>
      <c r="AD8" s="98">
        <f t="shared" si="2"/>
        <v>18912</v>
      </c>
      <c r="AE8" s="99">
        <f>ROUND(MAX((AD8)*{0.03;0.1;0.2;0.25;0.3;0.35;0.45}-{0;2520;16920;31920;52920;85920;181920},0),2)</f>
        <v>567.36</v>
      </c>
      <c r="AF8" s="100">
        <f>IFERROR(VLOOKUP(E:E,'（居民）工资表-3月'!E:AF,28,0)+VLOOKUP(E:E,'（居民）工资表-3月'!E:AG,29,0),0)</f>
        <v>425.52</v>
      </c>
      <c r="AG8" s="100">
        <f t="shared" si="3"/>
        <v>141.84</v>
      </c>
      <c r="AH8" s="109">
        <f t="shared" si="4"/>
        <v>9586.16</v>
      </c>
      <c r="AI8" s="108"/>
      <c r="AJ8" s="109">
        <f t="shared" si="5"/>
        <v>9586.16</v>
      </c>
      <c r="AK8" s="109"/>
      <c r="AL8" s="109">
        <f t="shared" si="6"/>
        <v>9728</v>
      </c>
      <c r="AM8" s="109"/>
      <c r="AN8" s="109"/>
      <c r="AO8" s="109"/>
      <c r="AP8" s="109"/>
      <c r="AQ8" s="109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f>VLOOKUP(C9,[1]Sheet1!$B$2:$D$16,3,0)</f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L9+IFERROR(VLOOKUP($E:$E,'（居民）工资表-3月'!$E:$S,15,0),0)</f>
        <v>26000</v>
      </c>
      <c r="T9" s="91">
        <f>5000+IFERROR(VLOOKUP($E:$E,'（居民）工资表-3月'!$E:$T,16,0),0)</f>
        <v>20000</v>
      </c>
      <c r="U9" s="91">
        <f>Q9+IFERROR(VLOOKUP($E:$E,'（居民）工资表-3月'!$E:$U,17,0),0)</f>
        <v>2130.69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R9+IFERROR(VLOOKUP($E:$E,'（居民）工资表-3月'!$E:$AC,25,0),0)</f>
        <v>0</v>
      </c>
      <c r="AD9" s="95">
        <f t="shared" si="2"/>
        <v>3869.31</v>
      </c>
      <c r="AE9" s="96">
        <f>ROUND(MAX((AD9)*{0.03;0.1;0.2;0.25;0.3;0.35;0.45}-{0;2520;16920;31920;52920;85920;181920},0),2)</f>
        <v>116.08</v>
      </c>
      <c r="AF9" s="97">
        <f>IFERROR(VLOOKUP(E:E,'（居民）工资表-3月'!E:AF,28,0)+VLOOKUP(E:E,'（居民）工资表-3月'!E:AG,29,0),0)</f>
        <v>86.88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168</v>
      </c>
      <c r="D10" s="37" t="s">
        <v>143</v>
      </c>
      <c r="E10" s="326" t="s">
        <v>169</v>
      </c>
      <c r="F10" s="38" t="s">
        <v>148</v>
      </c>
      <c r="G10" s="39" t="s">
        <v>170</v>
      </c>
      <c r="H10" s="40"/>
      <c r="I10" s="40"/>
      <c r="J10" s="69"/>
      <c r="K10" s="40"/>
      <c r="L10" s="70">
        <f>VLOOKUP(C10,[1]Sheet1!$B$2:$D$16,3,0)</f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L10+IFERROR(VLOOKUP($E:$E,'（居民）工资表-3月'!$E:$S,15,0),0)</f>
        <v>18103.36</v>
      </c>
      <c r="T10" s="91">
        <f>5000+IFERROR(VLOOKUP($E:$E,'（居民）工资表-3月'!$E:$T,16,0),0)</f>
        <v>20000</v>
      </c>
      <c r="U10" s="91">
        <f>Q10+IFERROR(VLOOKUP($E:$E,'（居民）工资表-3月'!$E:$U,17,0),0)</f>
        <v>2519.44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R10+IFERROR(VLOOKUP($E:$E,'（居民）工资表-3月'!$E:$AC,25,0),0)</f>
        <v>0</v>
      </c>
      <c r="AD10" s="95">
        <f t="shared" si="2"/>
        <v>-4416.08</v>
      </c>
      <c r="AE10" s="96">
        <f>ROUND(MAX((AD10)*{0.03;0.1;0.2;0.25;0.3;0.35;0.45}-{0;2520;16920;31920;52920;85920;181920},0),2)</f>
        <v>0</v>
      </c>
      <c r="AF10" s="97">
        <f>IFERROR(VLOOKUP(E:E,'（居民）工资表-3月'!E:AF,28,0)+VLOOKUP(E:E,'（居民）工资表-3月'!E:AG,29,0),0)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173</v>
      </c>
      <c r="D11" s="37" t="s">
        <v>143</v>
      </c>
      <c r="E11" s="326" t="s">
        <v>174</v>
      </c>
      <c r="F11" s="38" t="s">
        <v>144</v>
      </c>
      <c r="G11" s="39">
        <v>18356553626</v>
      </c>
      <c r="H11" s="40"/>
      <c r="I11" s="40"/>
      <c r="J11" s="69"/>
      <c r="K11" s="40"/>
      <c r="L11" s="70">
        <f>VLOOKUP(C11,[1]Sheet1!$B$2:$D$16,3,0)</f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L11+IFERROR(VLOOKUP($E:$E,'（居民）工资表-3月'!$E:$S,15,0),0)</f>
        <v>34000</v>
      </c>
      <c r="T11" s="91">
        <f>5000+IFERROR(VLOOKUP($E:$E,'（居民）工资表-3月'!$E:$T,16,0),0)</f>
        <v>20000</v>
      </c>
      <c r="U11" s="91">
        <f>Q11+IFERROR(VLOOKUP($E:$E,'（居民）工资表-3月'!$E:$U,17,0),0)</f>
        <v>2236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R11+IFERROR(VLOOKUP($E:$E,'（居民）工资表-3月'!$E:$AC,25,0),0)</f>
        <v>0</v>
      </c>
      <c r="AD11" s="95">
        <f t="shared" si="2"/>
        <v>11764</v>
      </c>
      <c r="AE11" s="96">
        <f>ROUND(MAX((AD11)*{0.03;0.1;0.2;0.25;0.3;0.35;0.45}-{0;2520;16920;31920;52920;85920;181920},0),2)</f>
        <v>352.92</v>
      </c>
      <c r="AF11" s="97">
        <f>IFERROR(VLOOKUP(E:E,'（居民）工资表-3月'!E:AF,28,0)+VLOOKUP(E:E,'（居民）工资表-3月'!E:AG,29,0),0)</f>
        <v>264.69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175</v>
      </c>
      <c r="D12" s="37" t="s">
        <v>143</v>
      </c>
      <c r="E12" s="326" t="s">
        <v>176</v>
      </c>
      <c r="F12" s="38" t="s">
        <v>144</v>
      </c>
      <c r="G12" s="39">
        <v>18326897140</v>
      </c>
      <c r="H12" s="40"/>
      <c r="I12" s="40"/>
      <c r="J12" s="69"/>
      <c r="K12" s="40"/>
      <c r="L12" s="70">
        <f>VLOOKUP(C12,[1]Sheet1!$B$2:$D$16,3,0)</f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L12+IFERROR(VLOOKUP($E:$E,'（居民）工资表-3月'!$E:$S,15,0),0)</f>
        <v>28000</v>
      </c>
      <c r="T12" s="91">
        <f>5000+IFERROR(VLOOKUP($E:$E,'（居民）工资表-3月'!$E:$T,16,0),0)</f>
        <v>20000</v>
      </c>
      <c r="U12" s="91">
        <f>Q12+IFERROR(VLOOKUP($E:$E,'（居民）工资表-3月'!$E:$U,17,0),0)</f>
        <v>3088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R12+IFERROR(VLOOKUP($E:$E,'（居民）工资表-3月'!$E:$AC,25,0),0)</f>
        <v>0</v>
      </c>
      <c r="AD12" s="95">
        <f t="shared" si="2"/>
        <v>4912</v>
      </c>
      <c r="AE12" s="96">
        <f>ROUND(MAX((AD12)*{0.03;0.1;0.2;0.25;0.3;0.35;0.45}-{0;2520;16920;31920;52920;85920;181920},0),2)</f>
        <v>147.36</v>
      </c>
      <c r="AF12" s="97">
        <f>IFERROR(VLOOKUP(E:E,'（居民）工资表-3月'!E:AF,28,0)+VLOOKUP(E:E,'（居民）工资表-3月'!E:AG,29,0),0)</f>
        <v>110.52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/>
      <c r="AS12" s="116"/>
      <c r="AT12" s="116"/>
    </row>
    <row r="13" s="12" customFormat="1" ht="18" customHeight="1" spans="1:46">
      <c r="A13" s="36">
        <v>10</v>
      </c>
      <c r="B13" s="37" t="s">
        <v>142</v>
      </c>
      <c r="C13" s="37" t="s">
        <v>177</v>
      </c>
      <c r="D13" s="37" t="s">
        <v>143</v>
      </c>
      <c r="E13" s="326" t="s">
        <v>178</v>
      </c>
      <c r="F13" s="38" t="s">
        <v>144</v>
      </c>
      <c r="G13" s="39">
        <v>17201857014</v>
      </c>
      <c r="H13" s="40"/>
      <c r="I13" s="40"/>
      <c r="J13" s="69"/>
      <c r="K13" s="40"/>
      <c r="L13" s="70">
        <f>VLOOKUP(C13,[1]Sheet1!$B$2:$D$16,3,0)</f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L13+IFERROR(VLOOKUP($E:$E,'（居民）工资表-3月'!$E:$S,15,0),0)</f>
        <v>28608.7</v>
      </c>
      <c r="T13" s="91">
        <f>5000+IFERROR(VLOOKUP($E:$E,'（居民）工资表-3月'!$E:$T,16,0),0)</f>
        <v>20000</v>
      </c>
      <c r="U13" s="91">
        <f>Q13+IFERROR(VLOOKUP($E:$E,'（居民）工资表-3月'!$E:$U,17,0),0)</f>
        <v>3088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R13+IFERROR(VLOOKUP($E:$E,'（居民）工资表-3月'!$E:$AC,25,0),0)</f>
        <v>0</v>
      </c>
      <c r="AD13" s="95">
        <f t="shared" si="2"/>
        <v>5520.7</v>
      </c>
      <c r="AE13" s="96">
        <f>ROUND(MAX((AD13)*{0.03;0.1;0.2;0.25;0.3;0.35;0.45}-{0;2520;16920;31920;52920;85920;181920},0),2)</f>
        <v>165.62</v>
      </c>
      <c r="AF13" s="97">
        <f>IFERROR(VLOOKUP(E:E,'（居民）工资表-3月'!E:AF,28,0)+VLOOKUP(E:E,'（居民）工资表-3月'!E:AG,29,0),0)</f>
        <v>128.78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/>
      <c r="AS13" s="116"/>
      <c r="AT13" s="116"/>
    </row>
    <row r="14" s="12" customFormat="1" ht="17" customHeight="1" spans="1:46">
      <c r="A14" s="36">
        <v>11</v>
      </c>
      <c r="B14" s="37" t="s">
        <v>142</v>
      </c>
      <c r="C14" s="37" t="s">
        <v>179</v>
      </c>
      <c r="D14" s="37" t="s">
        <v>143</v>
      </c>
      <c r="E14" s="326" t="s">
        <v>180</v>
      </c>
      <c r="F14" s="38" t="s">
        <v>148</v>
      </c>
      <c r="G14" s="39" t="s">
        <v>181</v>
      </c>
      <c r="H14" s="40"/>
      <c r="I14" s="40"/>
      <c r="J14" s="69"/>
      <c r="K14" s="40"/>
      <c r="L14" s="70">
        <f>VLOOKUP(C14,[1]Sheet1!$B$2:$D$16,3,0)</f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L14+IFERROR(VLOOKUP($E:$E,'（居民）工资表-3月'!$E:$S,15,0),0)</f>
        <v>28000</v>
      </c>
      <c r="T14" s="91">
        <f>5000+IFERROR(VLOOKUP($E:$E,'（居民）工资表-3月'!$E:$T,16,0),0)</f>
        <v>20000</v>
      </c>
      <c r="U14" s="91">
        <f>Q14+IFERROR(VLOOKUP($E:$E,'（居民）工资表-3月'!$E:$U,17,0),0)</f>
        <v>2236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R14+IFERROR(VLOOKUP($E:$E,'（居民）工资表-3月'!$E:$AC,25,0),0)</f>
        <v>0</v>
      </c>
      <c r="AD14" s="95">
        <f t="shared" si="2"/>
        <v>5764</v>
      </c>
      <c r="AE14" s="96">
        <f>ROUND(MAX((AD14)*{0.03;0.1;0.2;0.25;0.3;0.35;0.45}-{0;2520;16920;31920;52920;85920;181920},0),2)</f>
        <v>172.92</v>
      </c>
      <c r="AF14" s="97">
        <f>IFERROR(VLOOKUP(E:E,'（居民）工资表-3月'!E:AF,28,0)+VLOOKUP(E:E,'（居民）工资表-3月'!E:AG,29,0),0)</f>
        <v>129.69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/>
      <c r="AS14" s="116"/>
      <c r="AT14" s="116"/>
    </row>
    <row r="15" s="12" customFormat="1" ht="17" customHeight="1" spans="1:46">
      <c r="A15" s="36">
        <v>12</v>
      </c>
      <c r="B15" s="37" t="s">
        <v>142</v>
      </c>
      <c r="C15" s="37" t="s">
        <v>182</v>
      </c>
      <c r="D15" s="37" t="s">
        <v>143</v>
      </c>
      <c r="E15" s="326" t="s">
        <v>183</v>
      </c>
      <c r="F15" s="38" t="s">
        <v>148</v>
      </c>
      <c r="G15" s="39">
        <v>15855788591</v>
      </c>
      <c r="H15" s="40"/>
      <c r="I15" s="40"/>
      <c r="J15" s="69"/>
      <c r="K15" s="40"/>
      <c r="L15" s="70">
        <f>VLOOKUP(C15,[1]Sheet1!$B$2:$D$16,3,0)</f>
        <v>6300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L15+IFERROR(VLOOKUP($E:$E,'（居民）工资表-3月'!$E:$S,15,0),0)</f>
        <v>25001.74</v>
      </c>
      <c r="T15" s="91">
        <f>5000+IFERROR(VLOOKUP($E:$E,'（居民）工资表-3月'!$E:$T,16,0),0)</f>
        <v>20000</v>
      </c>
      <c r="U15" s="91">
        <f>Q15+IFERROR(VLOOKUP($E:$E,'（居民）工资表-3月'!$E:$U,17,0),0)</f>
        <v>2110.84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R15+IFERROR(VLOOKUP($E:$E,'（居民）工资表-3月'!$E:$AC,25,0),0)</f>
        <v>0</v>
      </c>
      <c r="AD15" s="95">
        <f t="shared" si="2"/>
        <v>2890.9</v>
      </c>
      <c r="AE15" s="96">
        <f>ROUND(MAX((AD15)*{0.03;0.1;0.2;0.25;0.3;0.35;0.45}-{0;2520;16920;31920;52920;85920;181920},0),2)</f>
        <v>86.73</v>
      </c>
      <c r="AF15" s="97">
        <f>IFERROR(VLOOKUP(E:E,'（居民）工资表-3月'!E:AF,28,0)+VLOOKUP(E:E,'（居民）工资表-3月'!E:AG,29,0),0)</f>
        <v>63.56</v>
      </c>
      <c r="AG15" s="97">
        <f t="shared" si="3"/>
        <v>23.17</v>
      </c>
      <c r="AH15" s="107">
        <f t="shared" si="4"/>
        <v>5749.12</v>
      </c>
      <c r="AI15" s="108"/>
      <c r="AJ15" s="107">
        <f t="shared" si="5"/>
        <v>5749.12</v>
      </c>
      <c r="AK15" s="109"/>
      <c r="AL15" s="107">
        <f t="shared" si="6"/>
        <v>5772.29</v>
      </c>
      <c r="AM15" s="109"/>
      <c r="AN15" s="109"/>
      <c r="AO15" s="109"/>
      <c r="AP15" s="109"/>
      <c r="AQ15" s="109"/>
      <c r="AR15" s="116"/>
      <c r="AS15" s="116"/>
      <c r="AT15" s="116"/>
    </row>
    <row r="16" s="12" customFormat="1" ht="17" customHeight="1" spans="1:46">
      <c r="A16" s="36">
        <v>13</v>
      </c>
      <c r="B16" s="37" t="s">
        <v>142</v>
      </c>
      <c r="C16" s="37" t="s">
        <v>186</v>
      </c>
      <c r="D16" s="37" t="s">
        <v>143</v>
      </c>
      <c r="E16" s="326" t="s">
        <v>187</v>
      </c>
      <c r="F16" s="38" t="s">
        <v>148</v>
      </c>
      <c r="G16" s="39"/>
      <c r="H16" s="40"/>
      <c r="I16" s="40"/>
      <c r="J16" s="69"/>
      <c r="K16" s="40"/>
      <c r="L16" s="70">
        <f>VLOOKUP(C16,[1]Sheet1!$B$2:$D$16,3,0)</f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L16+IFERROR(VLOOKUP($E:$E,'（居民）工资表-3月'!$E:$S,15,0),0)</f>
        <v>24000</v>
      </c>
      <c r="T16" s="91">
        <f>5000+IFERROR(VLOOKUP($E:$E,'（居民）工资表-3月'!$E:$T,16,0),0)</f>
        <v>20000</v>
      </c>
      <c r="U16" s="91">
        <f>Q16+IFERROR(VLOOKUP($E:$E,'（居民）工资表-3月'!$E:$U,17,0),0)</f>
        <v>2100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R16+IFERROR(VLOOKUP($E:$E,'（居民）工资表-3月'!$E:$AC,25,0),0)</f>
        <v>0</v>
      </c>
      <c r="AD16" s="95">
        <f t="shared" si="2"/>
        <v>1900</v>
      </c>
      <c r="AE16" s="96">
        <f>ROUND(MAX((AD16)*{0.03;0.1;0.2;0.25;0.3;0.35;0.45}-{0;2520;16920;31920;52920;85920;181920},0),2)</f>
        <v>57</v>
      </c>
      <c r="AF16" s="97">
        <f>IFERROR(VLOOKUP(E:E,'（居民）工资表-3月'!E:AF,28,0)+VLOOKUP(E:E,'（居民）工资表-3月'!E:AG,29,0),0)</f>
        <v>42.75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/>
      <c r="AS16" s="116"/>
      <c r="AT16" s="116"/>
    </row>
    <row r="17" s="12" customFormat="1" ht="17" customHeight="1" spans="1:46">
      <c r="A17" s="36">
        <v>14</v>
      </c>
      <c r="B17" s="37" t="s">
        <v>142</v>
      </c>
      <c r="C17" s="37" t="s">
        <v>212</v>
      </c>
      <c r="D17" s="37" t="s">
        <v>143</v>
      </c>
      <c r="E17" s="326" t="s">
        <v>213</v>
      </c>
      <c r="F17" s="38" t="s">
        <v>144</v>
      </c>
      <c r="G17" s="39">
        <v>15056587375</v>
      </c>
      <c r="H17" s="40"/>
      <c r="I17" s="40"/>
      <c r="J17" s="69"/>
      <c r="K17" s="40"/>
      <c r="L17" s="70">
        <f>VLOOKUP(C17,[1]Sheet1!$B$2:$D$16,3,0)</f>
        <v>10000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L17+IFERROR(VLOOKUP($E:$E,'（居民）工资表-3月'!$E:$S,15,0),0)</f>
        <v>27556.93</v>
      </c>
      <c r="T17" s="91">
        <f>5000+IFERROR(VLOOKUP($E:$E,'（居民）工资表-3月'!$E:$T,16,0),0)</f>
        <v>15000</v>
      </c>
      <c r="U17" s="91">
        <f>Q17+IFERROR(VLOOKUP($E:$E,'（居民）工资表-3月'!$E:$U,17,0),0)</f>
        <v>2638.55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R17+IFERROR(VLOOKUP($E:$E,'（居民）工资表-3月'!$E:$AC,25,0),0)</f>
        <v>0</v>
      </c>
      <c r="AD17" s="95">
        <f t="shared" si="2"/>
        <v>9918.38</v>
      </c>
      <c r="AE17" s="96">
        <f>ROUND(MAX((AD17)*{0.03;0.1;0.2;0.25;0.3;0.35;0.45}-{0;2520;16920;31920;52920;85920;181920},0),2)</f>
        <v>297.55</v>
      </c>
      <c r="AF17" s="97">
        <f>IFERROR(VLOOKUP(E:E,'（居民）工资表-3月'!E:AF,28,0)+VLOOKUP(E:E,'（居民）工资表-3月'!E:AG,29,0),0)</f>
        <v>163.38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/>
      <c r="AS17" s="116"/>
      <c r="AT17" s="116"/>
    </row>
    <row r="18" s="12" customFormat="1" ht="17" customHeight="1" spans="1:46">
      <c r="A18" s="36">
        <v>15</v>
      </c>
      <c r="B18" s="37" t="s">
        <v>142</v>
      </c>
      <c r="C18" s="37" t="s">
        <v>214</v>
      </c>
      <c r="D18" s="37" t="s">
        <v>143</v>
      </c>
      <c r="E18" s="37" t="s">
        <v>215</v>
      </c>
      <c r="F18" s="38" t="s">
        <v>144</v>
      </c>
      <c r="G18" s="39">
        <v>13711361074</v>
      </c>
      <c r="H18" s="40"/>
      <c r="I18" s="40"/>
      <c r="J18" s="69"/>
      <c r="K18" s="40"/>
      <c r="L18" s="70">
        <f>VLOOKUP(C18,[1]Sheet1!$B$2:$D$16,3,0)</f>
        <v>2026.67</v>
      </c>
      <c r="M18" s="71">
        <v>675.84</v>
      </c>
      <c r="N18" s="71">
        <v>182.96</v>
      </c>
      <c r="O18" s="71">
        <v>25.34</v>
      </c>
      <c r="P18" s="71">
        <v>221</v>
      </c>
      <c r="Q18" s="89">
        <f t="shared" si="0"/>
        <v>1105.14</v>
      </c>
      <c r="R18" s="70">
        <v>0</v>
      </c>
      <c r="S18" s="90">
        <f>L18+IFERROR(VLOOKUP($E:$E,'（居民）工资表-3月'!$E:$S,15,0),0)</f>
        <v>2026.67</v>
      </c>
      <c r="T18" s="91">
        <f>5000+IFERROR(VLOOKUP($E:$E,'（居民）工资表-3月'!$E:$T,16,0),0)</f>
        <v>5000</v>
      </c>
      <c r="U18" s="91">
        <f>Q18+IFERROR(VLOOKUP($E:$E,'（居民）工资表-3月'!$E:$U,17,0),0)</f>
        <v>1105.14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R18+IFERROR(VLOOKUP($E:$E,'（居民）工资表-3月'!$E:$AC,25,0),0)</f>
        <v>0</v>
      </c>
      <c r="AD18" s="95">
        <f t="shared" si="2"/>
        <v>-4078.47</v>
      </c>
      <c r="AE18" s="96">
        <f>ROUND(MAX((AD18)*{0.03;0.1;0.2;0.25;0.3;0.35;0.45}-{0;2520;16920;31920;52920;85920;181920},0),2)</f>
        <v>0</v>
      </c>
      <c r="AF18" s="97">
        <f>IFERROR(VLOOKUP(E:E,'（居民）工资表-3月'!E:AF,28,0)+VLOOKUP(E:E,'（居民）工资表-3月'!E:AG,29,0),0)</f>
        <v>0</v>
      </c>
      <c r="AG18" s="97">
        <f t="shared" si="3"/>
        <v>0</v>
      </c>
      <c r="AH18" s="107">
        <f t="shared" si="4"/>
        <v>921.53</v>
      </c>
      <c r="AI18" s="108"/>
      <c r="AJ18" s="107">
        <f t="shared" si="5"/>
        <v>921.53</v>
      </c>
      <c r="AK18" s="109"/>
      <c r="AL18" s="107">
        <f t="shared" si="6"/>
        <v>921.53</v>
      </c>
      <c r="AM18" s="109"/>
      <c r="AN18" s="109"/>
      <c r="AO18" s="109"/>
      <c r="AP18" s="109"/>
      <c r="AQ18" s="109"/>
      <c r="AR18" s="116"/>
      <c r="AS18" s="116"/>
      <c r="AT18" s="116"/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192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127112.51</v>
      </c>
      <c r="M20" s="74">
        <f t="shared" ref="M20:AL20" si="10">SUM(M4:M19)</f>
        <v>5600.82</v>
      </c>
      <c r="N20" s="74">
        <f t="shared" si="10"/>
        <v>1583.91</v>
      </c>
      <c r="O20" s="74">
        <f t="shared" si="10"/>
        <v>295.29</v>
      </c>
      <c r="P20" s="74">
        <f t="shared" si="10"/>
        <v>2523.4</v>
      </c>
      <c r="Q20" s="74">
        <f t="shared" si="10"/>
        <v>10003.42</v>
      </c>
      <c r="R20" s="74">
        <f t="shared" si="10"/>
        <v>0</v>
      </c>
      <c r="S20" s="74">
        <f t="shared" si="10"/>
        <v>490337.4</v>
      </c>
      <c r="T20" s="74">
        <f t="shared" si="10"/>
        <v>280000</v>
      </c>
      <c r="U20" s="74">
        <f t="shared" si="10"/>
        <v>37345.46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172991.94</v>
      </c>
      <c r="AE20" s="74">
        <f t="shared" si="10"/>
        <v>9675.8</v>
      </c>
      <c r="AF20" s="74">
        <f t="shared" si="10"/>
        <v>6424.58</v>
      </c>
      <c r="AG20" s="74">
        <f t="shared" si="10"/>
        <v>3251.22</v>
      </c>
      <c r="AH20" s="74">
        <f t="shared" si="10"/>
        <v>113857.87</v>
      </c>
      <c r="AI20" s="74">
        <f t="shared" si="10"/>
        <v>0</v>
      </c>
      <c r="AJ20" s="74">
        <f t="shared" si="10"/>
        <v>113857.87</v>
      </c>
      <c r="AK20" s="74">
        <f t="shared" si="10"/>
        <v>0</v>
      </c>
      <c r="AL20" s="74">
        <f t="shared" si="10"/>
        <v>117109.09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3">
      <c r="B24" s="47" t="s">
        <v>131</v>
      </c>
      <c r="C24" s="47" t="s">
        <v>193</v>
      </c>
      <c r="D24" s="47" t="s">
        <v>22</v>
      </c>
      <c r="E24" s="47" t="s">
        <v>23</v>
      </c>
      <c r="AD24" s="10"/>
      <c r="AG24" s="111"/>
    </row>
    <row r="25" ht="18.75" customHeight="1" spans="2:5">
      <c r="B25" s="48">
        <f>AJ20</f>
        <v>113857.87</v>
      </c>
      <c r="C25" s="48">
        <f>AG20</f>
        <v>3251.22</v>
      </c>
      <c r="D25" s="48">
        <f>AK20</f>
        <v>0</v>
      </c>
      <c r="E25" s="48">
        <f>B25+C25+D25</f>
        <v>117109.09</v>
      </c>
    </row>
    <row r="26" spans="2:5">
      <c r="B26" s="49"/>
      <c r="C26" s="49"/>
      <c r="D26" s="49"/>
      <c r="E26" s="50"/>
    </row>
    <row r="27" s="14" customFormat="1" spans="1:35">
      <c r="A27" s="51" t="s">
        <v>194</v>
      </c>
      <c r="B27" s="52" t="s">
        <v>195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196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197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198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199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200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201</v>
      </c>
    </row>
    <row r="35" spans="2:2">
      <c r="B35" s="59" t="s">
        <v>202</v>
      </c>
    </row>
    <row r="36" spans="2:2">
      <c r="B36" s="59" t="s">
        <v>203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25" customWidth="1"/>
    <col min="5" max="5" width="16.0916666666667" customWidth="1"/>
  </cols>
  <sheetData>
    <row r="1" ht="57" customHeight="1" spans="2:5">
      <c r="B1" s="1" t="s">
        <v>227</v>
      </c>
      <c r="C1" s="1"/>
      <c r="D1" s="1"/>
      <c r="E1" s="1"/>
    </row>
    <row r="2" ht="21" spans="2:2">
      <c r="B2" s="2"/>
    </row>
    <row r="3" ht="27.75" customHeight="1" spans="2:5">
      <c r="B3" s="3" t="s">
        <v>228</v>
      </c>
      <c r="C3" s="4" t="s">
        <v>229</v>
      </c>
      <c r="D3" s="4" t="s">
        <v>230</v>
      </c>
      <c r="E3" s="4" t="s">
        <v>231</v>
      </c>
    </row>
    <row r="4" ht="29.25" customHeight="1" spans="2:5">
      <c r="B4" s="5">
        <v>1</v>
      </c>
      <c r="C4" s="6" t="s">
        <v>232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233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234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235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236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237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238</v>
      </c>
      <c r="D10" s="7">
        <v>0.45</v>
      </c>
      <c r="E10" s="8">
        <v>181920</v>
      </c>
    </row>
    <row r="13" ht="57" customHeight="1" spans="2:5">
      <c r="B13" s="1" t="s">
        <v>239</v>
      </c>
      <c r="C13" s="1"/>
      <c r="D13" s="1"/>
      <c r="E13" s="1"/>
    </row>
    <row r="14" ht="21" spans="2:2">
      <c r="B14" s="2"/>
    </row>
    <row r="15" ht="27.75" customHeight="1" spans="2:5">
      <c r="B15" s="3" t="s">
        <v>228</v>
      </c>
      <c r="C15" s="4" t="s">
        <v>240</v>
      </c>
      <c r="D15" s="4" t="s">
        <v>230</v>
      </c>
      <c r="E15" s="4" t="s">
        <v>231</v>
      </c>
    </row>
    <row r="16" ht="29.25" customHeight="1" spans="2:5">
      <c r="B16" s="5">
        <v>1</v>
      </c>
      <c r="C16" s="6" t="s">
        <v>241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242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243</v>
      </c>
      <c r="D18" s="7">
        <v>0.4</v>
      </c>
      <c r="E18" s="8">
        <v>7000</v>
      </c>
    </row>
    <row r="21" ht="47.25" customHeight="1" spans="2:5">
      <c r="B21" s="1" t="s">
        <v>244</v>
      </c>
      <c r="C21" s="1"/>
      <c r="D21" s="1"/>
      <c r="E21" s="1"/>
    </row>
    <row r="22" ht="21" spans="2:2">
      <c r="B22" s="2"/>
    </row>
    <row r="23" ht="27.75" customHeight="1" spans="2:5">
      <c r="B23" s="3" t="s">
        <v>228</v>
      </c>
      <c r="C23" s="4" t="s">
        <v>245</v>
      </c>
      <c r="D23" s="4" t="s">
        <v>230</v>
      </c>
      <c r="E23" s="4" t="s">
        <v>231</v>
      </c>
    </row>
    <row r="24" ht="29.25" customHeight="1" spans="2:5">
      <c r="B24" s="5">
        <v>1</v>
      </c>
      <c r="C24" s="6" t="s">
        <v>246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247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248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249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250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251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252</v>
      </c>
      <c r="D30" s="7">
        <v>0.45</v>
      </c>
      <c r="E30" s="8">
        <v>15160</v>
      </c>
    </row>
    <row r="35" ht="57" customHeight="1" spans="2:5">
      <c r="B35" s="9" t="s">
        <v>253</v>
      </c>
      <c r="C35" s="9"/>
      <c r="D35" s="9"/>
      <c r="E35" s="9"/>
    </row>
    <row r="36" ht="14.25"/>
    <row r="37" ht="21.75" customHeight="1" spans="2:5">
      <c r="B37" s="3" t="s">
        <v>228</v>
      </c>
      <c r="C37" s="4" t="s">
        <v>254</v>
      </c>
      <c r="D37" s="4" t="s">
        <v>255</v>
      </c>
      <c r="E37" s="4" t="s">
        <v>231</v>
      </c>
    </row>
    <row r="38" ht="21.75" customHeight="1" spans="2:5">
      <c r="B38" s="5">
        <v>1</v>
      </c>
      <c r="C38" s="6" t="s">
        <v>246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247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248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249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250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251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252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26"/>
  <sheetViews>
    <sheetView workbookViewId="0">
      <selection activeCell="G19" sqref="G19"/>
    </sheetView>
  </sheetViews>
  <sheetFormatPr defaultColWidth="9" defaultRowHeight="13.5"/>
  <cols>
    <col min="1" max="2" width="9" style="130"/>
    <col min="3" max="3" width="10.725" style="130" customWidth="1"/>
    <col min="4" max="4" width="16.725" style="130" customWidth="1"/>
    <col min="5" max="5" width="11.725" style="130" customWidth="1"/>
    <col min="6" max="6" width="9" style="130"/>
    <col min="7" max="7" width="10.725" style="130" customWidth="1"/>
    <col min="8" max="12" width="9" style="130"/>
    <col min="13" max="13" width="9.45" style="130" customWidth="1"/>
    <col min="14" max="14" width="16.45" style="130" customWidth="1"/>
    <col min="15" max="16384" width="9" style="130"/>
  </cols>
  <sheetData>
    <row r="1" ht="25.5" spans="1:14">
      <c r="A1" s="131" t="s">
        <v>67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ht="14.25" spans="1:14">
      <c r="A2" s="132"/>
      <c r="B2" s="133"/>
      <c r="C2" s="133"/>
      <c r="D2" s="134"/>
      <c r="E2" s="134"/>
      <c r="F2" s="134"/>
      <c r="G2" s="132"/>
      <c r="H2" s="132"/>
      <c r="I2" s="132"/>
      <c r="J2" s="134"/>
      <c r="K2" s="134"/>
      <c r="L2" s="134"/>
      <c r="M2" s="134"/>
      <c r="N2" s="134"/>
    </row>
    <row r="3" spans="1:14">
      <c r="A3" s="135"/>
      <c r="B3" s="136"/>
      <c r="C3" s="137"/>
      <c r="D3" s="138"/>
      <c r="E3" s="139"/>
      <c r="F3" s="139"/>
      <c r="G3" s="140"/>
      <c r="H3" s="141"/>
      <c r="I3" s="136"/>
      <c r="J3" s="137"/>
      <c r="K3" s="138"/>
      <c r="L3" s="209"/>
      <c r="M3" s="134"/>
      <c r="N3" s="134"/>
    </row>
    <row r="4" spans="1:14">
      <c r="A4" s="135"/>
      <c r="B4" s="142" t="s">
        <v>68</v>
      </c>
      <c r="C4" s="142"/>
      <c r="D4" s="142"/>
      <c r="E4" s="142"/>
      <c r="F4" s="143"/>
      <c r="G4" s="142"/>
      <c r="H4" s="141"/>
      <c r="K4" s="134"/>
      <c r="L4" s="210"/>
      <c r="M4" s="211"/>
      <c r="N4" s="134"/>
    </row>
    <row r="5" spans="1:14">
      <c r="A5" s="144"/>
      <c r="B5" s="145" t="s">
        <v>69</v>
      </c>
      <c r="C5" s="138"/>
      <c r="D5" s="138"/>
      <c r="E5" s="138"/>
      <c r="F5" s="138"/>
      <c r="G5" s="138"/>
      <c r="H5" s="146"/>
      <c r="I5" s="141"/>
      <c r="J5" s="136"/>
      <c r="K5" s="137"/>
      <c r="L5" s="209"/>
      <c r="M5" s="134"/>
      <c r="N5" s="134"/>
    </row>
    <row r="6" ht="9.75" customHeight="1" spans="1:14">
      <c r="A6" s="147"/>
      <c r="B6" s="147"/>
      <c r="C6" s="147"/>
      <c r="D6" s="147"/>
      <c r="E6" s="147"/>
      <c r="F6" s="147"/>
      <c r="G6" s="147"/>
      <c r="H6" s="147"/>
      <c r="I6" s="212"/>
      <c r="J6" s="212"/>
      <c r="K6" s="213"/>
      <c r="L6" s="213"/>
      <c r="M6" s="213"/>
      <c r="N6" s="213"/>
    </row>
    <row r="7" ht="17.25" spans="1:14">
      <c r="A7" s="147"/>
      <c r="B7" s="148" t="s">
        <v>70</v>
      </c>
      <c r="C7" s="149"/>
      <c r="D7" s="149"/>
      <c r="E7" s="149"/>
      <c r="F7" s="149"/>
      <c r="G7" s="149"/>
      <c r="H7" s="149"/>
      <c r="I7" s="214" t="s">
        <v>71</v>
      </c>
      <c r="J7" s="214"/>
      <c r="K7" s="215" t="s">
        <v>47</v>
      </c>
      <c r="L7" s="215"/>
      <c r="M7" s="215"/>
      <c r="N7" s="216"/>
    </row>
    <row r="8" ht="17.25" spans="1:14">
      <c r="A8" s="147"/>
      <c r="B8" s="150" t="s">
        <v>72</v>
      </c>
      <c r="C8" s="151"/>
      <c r="D8" s="151"/>
      <c r="E8" s="152">
        <f>D10</f>
        <v>122874.99</v>
      </c>
      <c r="F8" s="153"/>
      <c r="G8" s="153"/>
      <c r="H8" s="154"/>
      <c r="I8" s="217" t="s">
        <v>73</v>
      </c>
      <c r="J8" s="218" t="s">
        <v>74</v>
      </c>
      <c r="K8" s="219" t="s">
        <v>75</v>
      </c>
      <c r="L8" s="219"/>
      <c r="M8" s="219"/>
      <c r="N8" s="220"/>
    </row>
    <row r="9" ht="15.75" spans="1:14">
      <c r="A9" s="147"/>
      <c r="B9" s="155" t="s">
        <v>76</v>
      </c>
      <c r="C9" s="156"/>
      <c r="D9" s="156"/>
      <c r="E9" s="157">
        <f>G24</f>
        <v>122874.99</v>
      </c>
      <c r="F9" s="158"/>
      <c r="G9" s="158"/>
      <c r="H9" s="159"/>
      <c r="I9" s="219" t="s">
        <v>73</v>
      </c>
      <c r="J9" s="221" t="s">
        <v>77</v>
      </c>
      <c r="K9" s="222" t="s">
        <v>78</v>
      </c>
      <c r="L9" s="222"/>
      <c r="M9" s="222"/>
      <c r="N9" s="223"/>
    </row>
    <row r="10" ht="30.75" spans="1:14">
      <c r="A10" s="147"/>
      <c r="B10" s="160" t="s">
        <v>79</v>
      </c>
      <c r="C10" s="161"/>
      <c r="D10" s="162">
        <f>G24</f>
        <v>122874.99</v>
      </c>
      <c r="E10" s="163" t="s">
        <v>80</v>
      </c>
      <c r="F10" s="164"/>
      <c r="G10" s="165"/>
      <c r="H10" s="166">
        <v>0</v>
      </c>
      <c r="I10" s="224" t="s">
        <v>73</v>
      </c>
      <c r="J10" s="225" t="s">
        <v>81</v>
      </c>
      <c r="K10" s="226" t="s">
        <v>82</v>
      </c>
      <c r="L10" s="226"/>
      <c r="M10" s="226"/>
      <c r="N10" s="227"/>
    </row>
    <row r="11" ht="14.25" spans="1:14">
      <c r="A11" s="147"/>
      <c r="B11" s="167" t="s">
        <v>83</v>
      </c>
      <c r="C11" s="168"/>
      <c r="D11" s="169"/>
      <c r="E11" s="170" t="s">
        <v>84</v>
      </c>
      <c r="F11" s="171"/>
      <c r="G11" s="172"/>
      <c r="H11" s="173"/>
      <c r="I11" s="228"/>
      <c r="J11" s="229"/>
      <c r="K11" s="228"/>
      <c r="L11" s="228"/>
      <c r="M11" s="228"/>
      <c r="N11" s="230"/>
    </row>
    <row r="12" spans="1:14">
      <c r="A12" s="144"/>
      <c r="B12" s="167" t="s">
        <v>85</v>
      </c>
      <c r="C12" s="168"/>
      <c r="D12" s="169">
        <v>0</v>
      </c>
      <c r="E12" s="170" t="s">
        <v>86</v>
      </c>
      <c r="F12" s="171"/>
      <c r="G12" s="172"/>
      <c r="H12" s="173"/>
      <c r="I12" s="231"/>
      <c r="J12" s="232"/>
      <c r="K12" s="233"/>
      <c r="L12" s="233"/>
      <c r="M12" s="233"/>
      <c r="N12" s="233"/>
    </row>
    <row r="13" ht="14.25" spans="1:14">
      <c r="A13" s="134"/>
      <c r="B13" s="174" t="s">
        <v>87</v>
      </c>
      <c r="C13" s="175"/>
      <c r="D13" s="176">
        <v>0</v>
      </c>
      <c r="E13" s="177"/>
      <c r="F13" s="178"/>
      <c r="G13" s="179"/>
      <c r="H13" s="180"/>
      <c r="I13" s="147"/>
      <c r="J13" s="234"/>
      <c r="K13" s="235"/>
      <c r="L13" s="235"/>
      <c r="M13" s="235"/>
      <c r="N13" s="235"/>
    </row>
    <row r="14" ht="5.25" customHeight="1" spans="1:14">
      <c r="A14" s="181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</row>
    <row r="15" spans="1:14">
      <c r="A15" s="134" t="s">
        <v>88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ht="3" customHeight="1" spans="1:14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ht="18.75" spans="2:13">
      <c r="B17" s="182" t="s">
        <v>0</v>
      </c>
      <c r="C17" s="183" t="s">
        <v>89</v>
      </c>
      <c r="D17" s="183" t="s">
        <v>90</v>
      </c>
      <c r="E17" s="183"/>
      <c r="F17" s="184" t="s">
        <v>91</v>
      </c>
      <c r="G17" s="185" t="s">
        <v>31</v>
      </c>
      <c r="H17" s="186" t="s">
        <v>24</v>
      </c>
      <c r="J17" s="236" t="s">
        <v>92</v>
      </c>
      <c r="K17" s="236"/>
      <c r="L17" s="236"/>
      <c r="M17" s="236"/>
    </row>
    <row r="18" ht="16.5" spans="2:13">
      <c r="B18" s="187">
        <v>1</v>
      </c>
      <c r="C18" s="188" t="s">
        <v>93</v>
      </c>
      <c r="D18" s="189" t="s">
        <v>94</v>
      </c>
      <c r="E18" s="189"/>
      <c r="F18" s="190"/>
      <c r="G18" s="191">
        <f>'（居民）工资表-6月'!E25</f>
        <v>122874.99</v>
      </c>
      <c r="H18" s="192"/>
      <c r="J18" s="236"/>
      <c r="K18" s="236"/>
      <c r="L18" s="236"/>
      <c r="M18" s="236"/>
    </row>
    <row r="19" ht="16.5" spans="2:13">
      <c r="B19" s="187">
        <v>2</v>
      </c>
      <c r="C19" s="188"/>
      <c r="D19" s="193" t="s">
        <v>95</v>
      </c>
      <c r="E19" s="194" t="s">
        <v>96</v>
      </c>
      <c r="F19" s="190"/>
      <c r="G19" s="191"/>
      <c r="H19" s="195"/>
      <c r="J19" s="236"/>
      <c r="K19" s="236"/>
      <c r="L19" s="236"/>
      <c r="M19" s="236"/>
    </row>
    <row r="20" ht="16.5" spans="2:13">
      <c r="B20" s="187">
        <v>3</v>
      </c>
      <c r="C20" s="188"/>
      <c r="D20" s="193" t="s">
        <v>97</v>
      </c>
      <c r="E20" s="194" t="s">
        <v>96</v>
      </c>
      <c r="F20" s="190"/>
      <c r="G20" s="191"/>
      <c r="H20" s="195"/>
      <c r="J20" s="236"/>
      <c r="K20" s="236"/>
      <c r="L20" s="236"/>
      <c r="M20" s="236"/>
    </row>
    <row r="21" ht="16.5" spans="2:13">
      <c r="B21" s="187">
        <v>4</v>
      </c>
      <c r="C21" s="188"/>
      <c r="D21" s="196" t="s">
        <v>38</v>
      </c>
      <c r="E21" s="196"/>
      <c r="F21" s="190"/>
      <c r="G21" s="197">
        <f>G18+G19+G20</f>
        <v>122874.99</v>
      </c>
      <c r="H21" s="198"/>
      <c r="J21" s="236"/>
      <c r="K21" s="236"/>
      <c r="L21" s="236"/>
      <c r="M21" s="236"/>
    </row>
    <row r="22" ht="16.5" spans="2:13">
      <c r="B22" s="187">
        <v>5</v>
      </c>
      <c r="C22" s="188" t="s">
        <v>98</v>
      </c>
      <c r="D22" s="196" t="s">
        <v>99</v>
      </c>
      <c r="E22" s="196"/>
      <c r="F22" s="190"/>
      <c r="G22" s="197"/>
      <c r="H22" s="192"/>
      <c r="J22" s="236"/>
      <c r="K22" s="236"/>
      <c r="L22" s="236"/>
      <c r="M22" s="236"/>
    </row>
    <row r="23" ht="18" customHeight="1" spans="2:13">
      <c r="B23" s="187">
        <v>6</v>
      </c>
      <c r="C23" s="199" t="s">
        <v>100</v>
      </c>
      <c r="D23" s="200">
        <v>0.056</v>
      </c>
      <c r="E23" s="200"/>
      <c r="F23" s="200"/>
      <c r="G23" s="197"/>
      <c r="H23" s="192"/>
      <c r="J23" s="236"/>
      <c r="K23" s="236"/>
      <c r="L23" s="236"/>
      <c r="M23" s="236"/>
    </row>
    <row r="24" ht="16.5" spans="2:8">
      <c r="B24" s="201" t="s">
        <v>101</v>
      </c>
      <c r="C24" s="202"/>
      <c r="D24" s="202"/>
      <c r="E24" s="202"/>
      <c r="F24" s="202"/>
      <c r="G24" s="203">
        <f>G21+G22</f>
        <v>122874.99</v>
      </c>
      <c r="H24" s="204"/>
    </row>
    <row r="25" ht="16" customHeight="1" spans="2:8">
      <c r="B25" s="205" t="s">
        <v>102</v>
      </c>
      <c r="C25" s="206"/>
      <c r="D25" s="206"/>
      <c r="E25" s="206"/>
      <c r="F25" s="206"/>
      <c r="G25" s="207">
        <f>G24</f>
        <v>122874.99</v>
      </c>
      <c r="H25" s="208"/>
    </row>
    <row r="26" ht="14.25"/>
  </sheetData>
  <mergeCells count="32">
    <mergeCell ref="A1:N1"/>
    <mergeCell ref="B4:F4"/>
    <mergeCell ref="B7:H7"/>
    <mergeCell ref="I7:J7"/>
    <mergeCell ref="K7:M7"/>
    <mergeCell ref="B8:D8"/>
    <mergeCell ref="E8:H8"/>
    <mergeCell ref="K8:M8"/>
    <mergeCell ref="B9:D9"/>
    <mergeCell ref="E9:H9"/>
    <mergeCell ref="K9:M9"/>
    <mergeCell ref="B10:C10"/>
    <mergeCell ref="E10:G10"/>
    <mergeCell ref="K10:M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C18:C21"/>
    <mergeCell ref="J17:M23"/>
  </mergeCells>
  <conditionalFormatting sqref="G20:H21 C21:E21 F19:F22">
    <cfRule type="cellIs" dxfId="2" priority="1" stopIfTrue="1" operator="equal">
      <formula>"信用卡"</formula>
    </cfRule>
    <cfRule type="cellIs" dxfId="3" priority="2" stopIfTrue="1" operator="equal">
      <formula>"現金"</formula>
    </cfRule>
  </conditionalFormatting>
  <pageMargins left="0.75" right="0.75" top="1" bottom="1" header="0.5" footer="0.5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00B050"/>
    <pageSetUpPr fitToPage="1"/>
  </sheetPr>
  <dimension ref="A1:AN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M11" sqref="M11:P11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16384" width="9" style="15"/>
  </cols>
  <sheetData>
    <row r="1" s="10" customFormat="1" ht="29.25" customHeight="1" spans="1:38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</row>
    <row r="2" s="11" customFormat="1" ht="20.15" customHeight="1" spans="1:38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</row>
    <row r="3" s="11" customFormat="1" ht="27" customHeight="1" spans="1:38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</row>
    <row r="4" s="12" customFormat="1" ht="18" customHeight="1" spans="1:40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296.26</v>
      </c>
      <c r="N4" s="71">
        <v>76.62</v>
      </c>
      <c r="O4" s="71">
        <v>11.11</v>
      </c>
      <c r="P4" s="71">
        <v>177</v>
      </c>
      <c r="Q4" s="89">
        <f>ROUND(SUM(M4:P4),2)</f>
        <v>560.99</v>
      </c>
      <c r="R4" s="70">
        <v>0</v>
      </c>
      <c r="S4" s="90">
        <f>L4+IFERROR(VLOOKUP($E:$E,'（居民）工资表-6月'!$E:$S,15,0),0)</f>
        <v>56000</v>
      </c>
      <c r="T4" s="91">
        <f>5000+IFERROR(VLOOKUP($E:$E,'（居民）工资表-6月'!$E:$T,16,0),0)</f>
        <v>35000</v>
      </c>
      <c r="U4" s="91">
        <f>Q4+IFERROR(VLOOKUP($E:$E,'（居民）工资表-6月'!$E:$U,17,0),0)</f>
        <v>4189.19</v>
      </c>
      <c r="V4" s="70">
        <v>7000</v>
      </c>
      <c r="W4" s="70"/>
      <c r="X4" s="70">
        <v>7000</v>
      </c>
      <c r="Y4" s="70"/>
      <c r="Z4" s="70">
        <v>2800</v>
      </c>
      <c r="AA4" s="70"/>
      <c r="AB4" s="90">
        <f>ROUND(SUM(V4:AA4),2)</f>
        <v>16800</v>
      </c>
      <c r="AC4" s="90">
        <f>R4+IFERROR(VLOOKUP($E:$E,'（居民）工资表-6月'!$E:$AC,25,0),0)</f>
        <v>0</v>
      </c>
      <c r="AD4" s="95">
        <f>ROUND(S4-T4-U4-AB4-AC4,2)</f>
        <v>10.81</v>
      </c>
      <c r="AE4" s="96">
        <f>ROUND(MAX((AD4)*{0.03;0.1;0.2;0.25;0.3;0.35;0.45}-{0;2520;16920;31920;52920;85920;181920},0),2)</f>
        <v>0.32</v>
      </c>
      <c r="AF4" s="97">
        <f>IFERROR(VLOOKUP(E:E,'（居民）工资表-6月'!E:AF,28,0)+VLOOKUP(E:E,'（居民）工资表-6月'!E:AG,29,0),0)</f>
        <v>431.15</v>
      </c>
      <c r="AG4" s="97">
        <f>IF((AE4-AF4)&lt;0,0,AE4-AF4)</f>
        <v>0</v>
      </c>
      <c r="AH4" s="107">
        <f>ROUND(IF((L4-Q4-AG4)&lt;0,0,(L4-Q4-AG4)),2)</f>
        <v>7439.01</v>
      </c>
      <c r="AI4" s="108"/>
      <c r="AJ4" s="107">
        <f>AH4+AI4</f>
        <v>7439.01</v>
      </c>
      <c r="AK4" s="109"/>
      <c r="AL4" s="107">
        <f>AJ4+AG4+AK4</f>
        <v>7439.01</v>
      </c>
      <c r="AM4" s="12" t="s">
        <v>145</v>
      </c>
      <c r="AN4" s="12" t="s">
        <v>51</v>
      </c>
    </row>
    <row r="5" s="12" customFormat="1" ht="18" customHeight="1" spans="1:40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367.04</v>
      </c>
      <c r="N5" s="71">
        <v>113.48</v>
      </c>
      <c r="O5" s="71">
        <v>4.6</v>
      </c>
      <c r="P5" s="71">
        <v>115</v>
      </c>
      <c r="Q5" s="89">
        <f>ROUND(SUM(M5:P5),2)</f>
        <v>600.12</v>
      </c>
      <c r="R5" s="70">
        <v>0</v>
      </c>
      <c r="S5" s="90">
        <f>L5+IFERROR(VLOOKUP($E:$E,'（居民）工资表-6月'!$E:$S,15,0),0)</f>
        <v>40300</v>
      </c>
      <c r="T5" s="91">
        <f>5000+IFERROR(VLOOKUP($E:$E,'（居民）工资表-6月'!$E:$T,16,0),0)</f>
        <v>35000</v>
      </c>
      <c r="U5" s="91">
        <f>Q5+IFERROR(VLOOKUP($E:$E,'（居民）工资表-6月'!$E:$U,17,0),0)</f>
        <v>4573.56</v>
      </c>
      <c r="V5" s="70"/>
      <c r="W5" s="70"/>
      <c r="X5" s="70">
        <v>7000</v>
      </c>
      <c r="Y5" s="70"/>
      <c r="Z5" s="70"/>
      <c r="AA5" s="70"/>
      <c r="AB5" s="90">
        <f>ROUND(SUM(V5:AA5),2)</f>
        <v>7000</v>
      </c>
      <c r="AC5" s="90">
        <f>R5+IFERROR(VLOOKUP($E:$E,'（居民）工资表-6月'!$E:$AC,25,0),0)</f>
        <v>0</v>
      </c>
      <c r="AD5" s="95">
        <f>ROUND(S5-T5-U5-AB5-AC5,2)</f>
        <v>-6273.56</v>
      </c>
      <c r="AE5" s="96">
        <f>ROUND(MAX((AD5)*{0.03;0.1;0.2;0.25;0.3;0.35;0.45}-{0;2520;16920;31920;52920;85920;181920},0),2)</f>
        <v>0</v>
      </c>
      <c r="AF5" s="97">
        <f>IFERROR(VLOOKUP(E:E,'（居民）工资表-6月'!E:AF,28,0)+VLOOKUP(E:E,'（居民）工资表-6月'!E:AG,29,0),0)</f>
        <v>18.8</v>
      </c>
      <c r="AG5" s="97">
        <f>IF((AE5-AF5)&lt;0,0,AE5-AF5)</f>
        <v>0</v>
      </c>
      <c r="AH5" s="107">
        <f>ROUND(IF((L5-Q5-AG5)&lt;0,0,(L5-Q5-AG5)),2)</f>
        <v>5099.88</v>
      </c>
      <c r="AI5" s="108"/>
      <c r="AJ5" s="107">
        <f>AH5+AI5</f>
        <v>5099.88</v>
      </c>
      <c r="AK5" s="109"/>
      <c r="AL5" s="107">
        <f>AJ5+AG5+AK5</f>
        <v>5099.88</v>
      </c>
      <c r="AM5" s="12" t="s">
        <v>50</v>
      </c>
      <c r="AN5" s="12" t="s">
        <v>51</v>
      </c>
    </row>
    <row r="6" s="12" customFormat="1" ht="18" customHeight="1" spans="1:40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30560</v>
      </c>
      <c r="M6" s="71">
        <v>584.8</v>
      </c>
      <c r="N6" s="71">
        <v>146.2</v>
      </c>
      <c r="O6" s="71">
        <v>36.55</v>
      </c>
      <c r="P6" s="71">
        <v>181.3</v>
      </c>
      <c r="Q6" s="89">
        <f>ROUND(SUM(M6:P6),2)</f>
        <v>948.85</v>
      </c>
      <c r="R6" s="70">
        <v>0</v>
      </c>
      <c r="S6" s="90">
        <f>L6+IFERROR(VLOOKUP($E:$E,'（居民）工资表-6月'!$E:$S,15,0),0)</f>
        <v>210920</v>
      </c>
      <c r="T6" s="91">
        <f>5000+IFERROR(VLOOKUP($E:$E,'（居民）工资表-6月'!$E:$T,16,0),0)</f>
        <v>35000</v>
      </c>
      <c r="U6" s="91">
        <f>Q6+IFERROR(VLOOKUP($E:$E,'（居民）工资表-6月'!$E:$U,17,0),0)</f>
        <v>6640.15</v>
      </c>
      <c r="V6" s="70"/>
      <c r="W6" s="70"/>
      <c r="X6" s="70"/>
      <c r="Y6" s="70">
        <v>10500</v>
      </c>
      <c r="Z6" s="70"/>
      <c r="AA6" s="70"/>
      <c r="AB6" s="90">
        <f>ROUND(SUM(V6:AA6),2)</f>
        <v>10500</v>
      </c>
      <c r="AC6" s="90">
        <f>R6+IFERROR(VLOOKUP($E:$E,'（居民）工资表-6月'!$E:$AC,25,0),0)</f>
        <v>0</v>
      </c>
      <c r="AD6" s="95">
        <f>ROUND(S6-T6-U6-AB6-AC6,2)</f>
        <v>158779.85</v>
      </c>
      <c r="AE6" s="96">
        <f>ROUND(MAX((AD6)*{0.03;0.1;0.2;0.25;0.3;0.35;0.45}-{0;2520;16920;31920;52920;85920;181920},0),2)</f>
        <v>14835.97</v>
      </c>
      <c r="AF6" s="97">
        <f>IFERROR(VLOOKUP(E:E,'（居民）工资表-6月'!E:AF,28,0)+VLOOKUP(E:E,'（居民）工资表-6月'!E:AG,29,0),0)</f>
        <v>12013.74</v>
      </c>
      <c r="AG6" s="97">
        <f>IF((AE6-AF6)&lt;0,0,AE6-AF6)</f>
        <v>2822.23</v>
      </c>
      <c r="AH6" s="107">
        <f>ROUND(IF((L6-Q6-AG6)&lt;0,0,(L6-Q6-AG6)),2)</f>
        <v>26788.92</v>
      </c>
      <c r="AI6" s="108"/>
      <c r="AJ6" s="107">
        <f>AH6+AI6</f>
        <v>26788.92</v>
      </c>
      <c r="AK6" s="109"/>
      <c r="AL6" s="107">
        <f>AJ6+AG6+AK6</f>
        <v>29611.15</v>
      </c>
      <c r="AM6" s="12" t="s">
        <v>152</v>
      </c>
      <c r="AN6" s="12" t="s">
        <v>153</v>
      </c>
    </row>
    <row r="7" s="12" customFormat="1" ht="18" customHeight="1" spans="1:40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9100</v>
      </c>
      <c r="M7" s="71">
        <v>306.56</v>
      </c>
      <c r="N7" s="71">
        <v>84.64</v>
      </c>
      <c r="O7" s="71">
        <v>19.16</v>
      </c>
      <c r="P7" s="71">
        <v>97</v>
      </c>
      <c r="Q7" s="89">
        <f t="shared" ref="Q7:Q19" si="0">ROUND(SUM(M7:P7),2)</f>
        <v>507.36</v>
      </c>
      <c r="R7" s="70">
        <v>0</v>
      </c>
      <c r="S7" s="90">
        <f>L7+IFERROR(VLOOKUP($E:$E,'（居民）工资表-6月'!$E:$S,15,0),0)</f>
        <v>59100</v>
      </c>
      <c r="T7" s="91">
        <f>5000+IFERROR(VLOOKUP($E:$E,'（居民）工资表-6月'!$E:$T,16,0),0)</f>
        <v>35000</v>
      </c>
      <c r="U7" s="91">
        <f>Q7+IFERROR(VLOOKUP($E:$E,'（居民）工资表-6月'!$E:$U,17,0),0)</f>
        <v>3673.62</v>
      </c>
      <c r="V7" s="70"/>
      <c r="W7" s="70"/>
      <c r="X7" s="70">
        <v>5000</v>
      </c>
      <c r="Y7" s="70"/>
      <c r="Z7" s="70"/>
      <c r="AA7" s="70"/>
      <c r="AB7" s="90">
        <f t="shared" ref="AB7:AB19" si="1">ROUND(SUM(V7:AA7),2)</f>
        <v>5000</v>
      </c>
      <c r="AC7" s="90">
        <f>R7+IFERROR(VLOOKUP($E:$E,'（居民）工资表-6月'!$E:$AC,25,0),0)</f>
        <v>0</v>
      </c>
      <c r="AD7" s="95">
        <f t="shared" ref="AD7:AD19" si="2">ROUND(S7-T7-U7-AB7-AC7,2)</f>
        <v>15426.38</v>
      </c>
      <c r="AE7" s="96">
        <f>ROUND(MAX((AD7)*{0.03;0.1;0.2;0.25;0.3;0.35;0.45}-{0;2520;16920;31920;52920;85920;181920},0),2)</f>
        <v>462.79</v>
      </c>
      <c r="AF7" s="97">
        <f>IFERROR(VLOOKUP(E:E,'（居民）工资表-6月'!E:AF,28,0)+VLOOKUP(E:E,'（居民）工资表-6月'!E:AG,29,0),0)</f>
        <v>505.01</v>
      </c>
      <c r="AG7" s="97">
        <f t="shared" ref="AG7:AG19" si="3">IF((AE7-AF7)&lt;0,0,AE7-AF7)</f>
        <v>0</v>
      </c>
      <c r="AH7" s="107">
        <f t="shared" ref="AH7:AH19" si="4">ROUND(IF((L7-Q7-AG7)&lt;0,0,(L7-Q7-AG7)),2)</f>
        <v>8592.64</v>
      </c>
      <c r="AI7" s="108"/>
      <c r="AJ7" s="107">
        <f t="shared" ref="AJ7:AJ19" si="5">AH7+AI7</f>
        <v>8592.64</v>
      </c>
      <c r="AK7" s="109"/>
      <c r="AL7" s="107">
        <f t="shared" ref="AL7:AL19" si="6">AJ7+AG7+AK7</f>
        <v>8592.64</v>
      </c>
      <c r="AM7" s="12" t="s">
        <v>157</v>
      </c>
      <c r="AN7" s="12" t="s">
        <v>51</v>
      </c>
    </row>
    <row r="8" s="12" customFormat="1" ht="18" customHeight="1" spans="1:40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10300</v>
      </c>
      <c r="M8" s="71">
        <v>306.56</v>
      </c>
      <c r="N8" s="71">
        <v>82.64</v>
      </c>
      <c r="O8" s="71">
        <v>19.16</v>
      </c>
      <c r="P8" s="71">
        <v>172</v>
      </c>
      <c r="Q8" s="89">
        <f t="shared" si="0"/>
        <v>580.36</v>
      </c>
      <c r="R8" s="70">
        <v>0</v>
      </c>
      <c r="S8" s="90">
        <f>L8+IFERROR(VLOOKUP($E:$E,'（居民）工资表-6月'!$E:$S,15,0),0)</f>
        <v>73300</v>
      </c>
      <c r="T8" s="91">
        <f>5000+IFERROR(VLOOKUP($E:$E,'（居民）工资表-6月'!$E:$T,16,0),0)</f>
        <v>35000</v>
      </c>
      <c r="U8" s="91">
        <f>Q8+IFERROR(VLOOKUP($E:$E,'（居民）工资表-6月'!$E:$U,17,0),0)</f>
        <v>5212.36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R8+IFERROR(VLOOKUP($E:$E,'（居民）工资表-6月'!$E:$AC,25,0),0)</f>
        <v>0</v>
      </c>
      <c r="AD8" s="95">
        <f t="shared" si="2"/>
        <v>33087.64</v>
      </c>
      <c r="AE8" s="96">
        <f>ROUND(MAX((AD8)*{0.03;0.1;0.2;0.25;0.3;0.35;0.45}-{0;2520;16920;31920;52920;85920;181920},0),2)</f>
        <v>992.63</v>
      </c>
      <c r="AF8" s="97">
        <f>IFERROR(VLOOKUP(E:E,'（居民）工资表-6月'!E:AF,28,0)+VLOOKUP(E:E,'（居民）工资表-6月'!E:AG,29,0),0)</f>
        <v>851.04</v>
      </c>
      <c r="AG8" s="97">
        <f t="shared" si="3"/>
        <v>141.59</v>
      </c>
      <c r="AH8" s="107">
        <f t="shared" si="4"/>
        <v>9578.05</v>
      </c>
      <c r="AI8" s="108"/>
      <c r="AJ8" s="107">
        <f t="shared" si="5"/>
        <v>9578.05</v>
      </c>
      <c r="AK8" s="109"/>
      <c r="AL8" s="107">
        <f t="shared" si="6"/>
        <v>9719.64</v>
      </c>
      <c r="AM8" s="12" t="s">
        <v>157</v>
      </c>
      <c r="AN8" s="12" t="s">
        <v>51</v>
      </c>
    </row>
    <row r="9" s="12" customFormat="1" ht="18" customHeight="1" spans="1:40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315.6</v>
      </c>
      <c r="N9" s="71">
        <v>86.72</v>
      </c>
      <c r="O9" s="71">
        <v>11.84</v>
      </c>
      <c r="P9" s="71">
        <v>100</v>
      </c>
      <c r="Q9" s="89">
        <f t="shared" si="0"/>
        <v>514.16</v>
      </c>
      <c r="R9" s="70">
        <v>0</v>
      </c>
      <c r="S9" s="90">
        <f>L9+IFERROR(VLOOKUP($E:$E,'（居民）工资表-6月'!$E:$S,15,0),0)</f>
        <v>45500</v>
      </c>
      <c r="T9" s="91">
        <f>5000+IFERROR(VLOOKUP($E:$E,'（居民）工资表-6月'!$E:$T,16,0),0)</f>
        <v>35000</v>
      </c>
      <c r="U9" s="91">
        <f>Q9+IFERROR(VLOOKUP($E:$E,'（居民）工资表-6月'!$E:$U,17,0),0)</f>
        <v>3698.45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R9+IFERROR(VLOOKUP($E:$E,'（居民）工资表-6月'!$E:$AC,25,0),0)</f>
        <v>0</v>
      </c>
      <c r="AD9" s="95">
        <f t="shared" si="2"/>
        <v>6801.55</v>
      </c>
      <c r="AE9" s="96">
        <f>ROUND(MAX((AD9)*{0.03;0.1;0.2;0.25;0.3;0.35;0.45}-{0;2520;16920;31920;52920;85920;181920},0),2)</f>
        <v>204.05</v>
      </c>
      <c r="AF9" s="97">
        <f>IFERROR(VLOOKUP(E:E,'（居民）工资表-6月'!E:AF,28,0)+VLOOKUP(E:E,'（居民）工资表-6月'!E:AG,29,0),0)</f>
        <v>174.47</v>
      </c>
      <c r="AG9" s="97">
        <f t="shared" si="3"/>
        <v>29.58</v>
      </c>
      <c r="AH9" s="107">
        <f t="shared" si="4"/>
        <v>5956.26</v>
      </c>
      <c r="AI9" s="108"/>
      <c r="AJ9" s="107">
        <f t="shared" si="5"/>
        <v>5956.26</v>
      </c>
      <c r="AK9" s="109"/>
      <c r="AL9" s="107">
        <f t="shared" si="6"/>
        <v>5985.84</v>
      </c>
      <c r="AM9" s="12" t="s">
        <v>162</v>
      </c>
      <c r="AN9" s="12" t="s">
        <v>51</v>
      </c>
    </row>
    <row r="10" s="12" customFormat="1" ht="18" customHeight="1" spans="1:40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144</v>
      </c>
      <c r="G10" s="39" t="s">
        <v>165</v>
      </c>
      <c r="H10" s="40"/>
      <c r="I10" s="40"/>
      <c r="J10" s="69"/>
      <c r="K10" s="40"/>
      <c r="L10" s="70">
        <v>5500</v>
      </c>
      <c r="M10" s="71">
        <v>316.56</v>
      </c>
      <c r="N10" s="71">
        <v>84.14</v>
      </c>
      <c r="O10" s="71">
        <v>19.79</v>
      </c>
      <c r="P10" s="71">
        <v>105</v>
      </c>
      <c r="Q10" s="89">
        <f t="shared" si="0"/>
        <v>525.49</v>
      </c>
      <c r="R10" s="70">
        <v>0</v>
      </c>
      <c r="S10" s="90">
        <f>L10+IFERROR(VLOOKUP($E:$E,'（居民）工资表-6月'!$E:$S,15,0),0)</f>
        <v>5500</v>
      </c>
      <c r="T10" s="91">
        <f>5000+IFERROR(VLOOKUP($E:$E,'（居民）工资表-6月'!$E:$T,16,0),0)</f>
        <v>5000</v>
      </c>
      <c r="U10" s="91">
        <f>Q10+IFERROR(VLOOKUP($E:$E,'（居民）工资表-6月'!$E:$U,17,0),0)</f>
        <v>525.49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R10+IFERROR(VLOOKUP($E:$E,'（居民）工资表-6月'!$E:$AC,25,0),0)</f>
        <v>0</v>
      </c>
      <c r="AD10" s="95">
        <f t="shared" si="2"/>
        <v>-25.49</v>
      </c>
      <c r="AE10" s="96">
        <f>ROUND(MAX((AD10)*{0.03;0.1;0.2;0.25;0.3;0.35;0.45}-{0;2520;16920;31920;52920;85920;181920},0),2)</f>
        <v>0</v>
      </c>
      <c r="AF10" s="97">
        <f>IFERROR(VLOOKUP(E:E,'（居民）工资表-6月'!E:AF,28,0)+VLOOKUP(E:E,'（居民）工资表-6月'!E:AG,29,0),0)</f>
        <v>0</v>
      </c>
      <c r="AG10" s="97">
        <f t="shared" si="3"/>
        <v>0</v>
      </c>
      <c r="AH10" s="107">
        <f t="shared" si="4"/>
        <v>4974.51</v>
      </c>
      <c r="AI10" s="108"/>
      <c r="AJ10" s="107">
        <f t="shared" si="5"/>
        <v>4974.51</v>
      </c>
      <c r="AK10" s="109"/>
      <c r="AL10" s="107">
        <f t="shared" si="6"/>
        <v>4974.51</v>
      </c>
      <c r="AM10" s="12" t="s">
        <v>166</v>
      </c>
      <c r="AN10" s="12" t="s">
        <v>167</v>
      </c>
    </row>
    <row r="11" s="12" customFormat="1" ht="18" customHeight="1" spans="1:40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148</v>
      </c>
      <c r="G11" s="39" t="s">
        <v>170</v>
      </c>
      <c r="H11" s="40"/>
      <c r="I11" s="40"/>
      <c r="J11" s="69"/>
      <c r="K11" s="40"/>
      <c r="L11" s="70">
        <v>4598.8</v>
      </c>
      <c r="M11" s="71">
        <v>352</v>
      </c>
      <c r="N11" s="71">
        <v>110</v>
      </c>
      <c r="O11" s="71">
        <v>22</v>
      </c>
      <c r="P11" s="71">
        <v>109</v>
      </c>
      <c r="Q11" s="89">
        <f t="shared" si="0"/>
        <v>593</v>
      </c>
      <c r="R11" s="70">
        <v>0</v>
      </c>
      <c r="S11" s="90">
        <f>L11+IFERROR(VLOOKUP($E:$E,'（居民）工资表-6月'!$E:$S,15,0),0)</f>
        <v>31753.84</v>
      </c>
      <c r="T11" s="91">
        <f>5000+IFERROR(VLOOKUP($E:$E,'（居民）工资表-6月'!$E:$T,16,0),0)</f>
        <v>35000</v>
      </c>
      <c r="U11" s="91">
        <f>Q11+IFERROR(VLOOKUP($E:$E,'（居民）工资表-6月'!$E:$U,17,0),0)</f>
        <v>4372.16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R11+IFERROR(VLOOKUP($E:$E,'（居民）工资表-6月'!$E:$AC,25,0),0)</f>
        <v>0</v>
      </c>
      <c r="AD11" s="95">
        <f t="shared" si="2"/>
        <v>-7618.32</v>
      </c>
      <c r="AE11" s="96">
        <f>ROUND(MAX((AD11)*{0.03;0.1;0.2;0.25;0.3;0.35;0.45}-{0;2520;16920;31920;52920;85920;181920},0),2)</f>
        <v>0</v>
      </c>
      <c r="AF11" s="97">
        <f>IFERROR(VLOOKUP(E:E,'（居民）工资表-6月'!E:AF,28,0)+VLOOKUP(E:E,'（居民）工资表-6月'!E:AG,29,0),0)</f>
        <v>0</v>
      </c>
      <c r="AG11" s="97">
        <f t="shared" si="3"/>
        <v>0</v>
      </c>
      <c r="AH11" s="107">
        <f t="shared" si="4"/>
        <v>4005.8</v>
      </c>
      <c r="AI11" s="108"/>
      <c r="AJ11" s="107">
        <f t="shared" si="5"/>
        <v>4005.8</v>
      </c>
      <c r="AK11" s="109"/>
      <c r="AL11" s="107">
        <f t="shared" si="6"/>
        <v>4005.8</v>
      </c>
      <c r="AM11" s="12" t="s">
        <v>171</v>
      </c>
      <c r="AN11" s="12" t="s">
        <v>172</v>
      </c>
    </row>
    <row r="12" s="12" customFormat="1" ht="18" customHeight="1" spans="1:40">
      <c r="A12" s="36">
        <v>9</v>
      </c>
      <c r="B12" s="37" t="s">
        <v>142</v>
      </c>
      <c r="C12" s="37" t="s">
        <v>173</v>
      </c>
      <c r="D12" s="37" t="s">
        <v>143</v>
      </c>
      <c r="E12" s="326" t="s">
        <v>174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10300</v>
      </c>
      <c r="M12" s="71">
        <v>306.56</v>
      </c>
      <c r="N12" s="71">
        <v>112.49</v>
      </c>
      <c r="O12" s="71">
        <v>19.16</v>
      </c>
      <c r="P12" s="71">
        <v>97</v>
      </c>
      <c r="Q12" s="89">
        <f t="shared" si="0"/>
        <v>535.21</v>
      </c>
      <c r="R12" s="70">
        <v>0</v>
      </c>
      <c r="S12" s="90">
        <f>L12+IFERROR(VLOOKUP($E:$E,'（居民）工资表-6月'!$E:$S,15,0),0)</f>
        <v>61300</v>
      </c>
      <c r="T12" s="91">
        <f>5000+IFERROR(VLOOKUP($E:$E,'（居民）工资表-6月'!$E:$T,16,0),0)</f>
        <v>35000</v>
      </c>
      <c r="U12" s="91">
        <f>Q12+IFERROR(VLOOKUP($E:$E,'（居民）工资表-6月'!$E:$U,17,0),0)</f>
        <v>3889.21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R12+IFERROR(VLOOKUP($E:$E,'（居民）工资表-6月'!$E:$AC,25,0),0)</f>
        <v>0</v>
      </c>
      <c r="AD12" s="95">
        <f t="shared" si="2"/>
        <v>22410.79</v>
      </c>
      <c r="AE12" s="96">
        <f>ROUND(MAX((AD12)*{0.03;0.1;0.2;0.25;0.3;0.35;0.45}-{0;2520;16920;31920;52920;85920;181920},0),2)</f>
        <v>672.32</v>
      </c>
      <c r="AF12" s="97">
        <f>IFERROR(VLOOKUP(E:E,'（居民）工资表-6月'!E:AF,28,0)+VLOOKUP(E:E,'（居民）工资表-6月'!E:AG,29,0),0)</f>
        <v>529.38</v>
      </c>
      <c r="AG12" s="97">
        <f t="shared" si="3"/>
        <v>142.94</v>
      </c>
      <c r="AH12" s="107">
        <f t="shared" si="4"/>
        <v>9621.85</v>
      </c>
      <c r="AI12" s="108"/>
      <c r="AJ12" s="107">
        <f t="shared" si="5"/>
        <v>9621.85</v>
      </c>
      <c r="AK12" s="109"/>
      <c r="AL12" s="107">
        <f t="shared" si="6"/>
        <v>9764.79</v>
      </c>
      <c r="AM12" s="12" t="s">
        <v>157</v>
      </c>
      <c r="AN12" s="12" t="s">
        <v>51</v>
      </c>
    </row>
    <row r="13" s="12" customFormat="1" ht="18" customHeight="1" spans="1:40">
      <c r="A13" s="36">
        <v>10</v>
      </c>
      <c r="B13" s="37" t="s">
        <v>142</v>
      </c>
      <c r="C13" s="37" t="s">
        <v>175</v>
      </c>
      <c r="D13" s="37" t="s">
        <v>143</v>
      </c>
      <c r="E13" s="326" t="s">
        <v>176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9000</v>
      </c>
      <c r="M13" s="71">
        <v>306.56</v>
      </c>
      <c r="N13" s="71">
        <v>82.64</v>
      </c>
      <c r="O13" s="71">
        <v>19.16</v>
      </c>
      <c r="P13" s="71">
        <v>172</v>
      </c>
      <c r="Q13" s="89">
        <f t="shared" si="0"/>
        <v>580.36</v>
      </c>
      <c r="R13" s="70">
        <v>0</v>
      </c>
      <c r="S13" s="90">
        <f>L13+IFERROR(VLOOKUP($E:$E,'（居民）工资表-6月'!$E:$S,15,0),0)</f>
        <v>51000</v>
      </c>
      <c r="T13" s="91">
        <f>5000+IFERROR(VLOOKUP($E:$E,'（居民）工资表-6月'!$E:$T,16,0),0)</f>
        <v>35000</v>
      </c>
      <c r="U13" s="91">
        <f>Q13+IFERROR(VLOOKUP($E:$E,'（居民）工资表-6月'!$E:$U,17,0),0)</f>
        <v>5212.36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R13+IFERROR(VLOOKUP($E:$E,'（居民）工资表-6月'!$E:$AC,25,0),0)</f>
        <v>0</v>
      </c>
      <c r="AD13" s="95">
        <f t="shared" si="2"/>
        <v>10787.64</v>
      </c>
      <c r="AE13" s="96">
        <f>ROUND(MAX((AD13)*{0.03;0.1;0.2;0.25;0.3;0.35;0.45}-{0;2520;16920;31920;52920;85920;181920},0),2)</f>
        <v>323.63</v>
      </c>
      <c r="AF13" s="97">
        <f>IFERROR(VLOOKUP(E:E,'（居民）工资表-6月'!E:AF,28,0)+VLOOKUP(E:E,'（居民）工资表-6月'!E:AG,29,0),0)</f>
        <v>221.04</v>
      </c>
      <c r="AG13" s="97">
        <f t="shared" si="3"/>
        <v>102.59</v>
      </c>
      <c r="AH13" s="107">
        <f t="shared" si="4"/>
        <v>8317.05</v>
      </c>
      <c r="AI13" s="108"/>
      <c r="AJ13" s="107">
        <f t="shared" si="5"/>
        <v>8317.05</v>
      </c>
      <c r="AK13" s="109"/>
      <c r="AL13" s="107">
        <f t="shared" si="6"/>
        <v>8419.64</v>
      </c>
      <c r="AM13" s="12" t="s">
        <v>157</v>
      </c>
      <c r="AN13" s="12" t="s">
        <v>51</v>
      </c>
    </row>
    <row r="14" s="12" customFormat="1" ht="18" customHeight="1" spans="1:40">
      <c r="A14" s="36">
        <v>11</v>
      </c>
      <c r="B14" s="37" t="s">
        <v>142</v>
      </c>
      <c r="C14" s="37" t="s">
        <v>177</v>
      </c>
      <c r="D14" s="37" t="s">
        <v>143</v>
      </c>
      <c r="E14" s="326" t="s">
        <v>178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9000</v>
      </c>
      <c r="M14" s="71">
        <v>306.56</v>
      </c>
      <c r="N14" s="71">
        <v>82.64</v>
      </c>
      <c r="O14" s="71">
        <v>19.16</v>
      </c>
      <c r="P14" s="71">
        <v>172</v>
      </c>
      <c r="Q14" s="89">
        <f t="shared" si="0"/>
        <v>580.36</v>
      </c>
      <c r="R14" s="70">
        <v>0</v>
      </c>
      <c r="S14" s="90">
        <f>L14+IFERROR(VLOOKUP($E:$E,'（居民）工资表-6月'!$E:$S,15,0),0)</f>
        <v>51608.7</v>
      </c>
      <c r="T14" s="91">
        <f>5000+IFERROR(VLOOKUP($E:$E,'（居民）工资表-6月'!$E:$T,16,0),0)</f>
        <v>35000</v>
      </c>
      <c r="U14" s="91">
        <f>Q14+IFERROR(VLOOKUP($E:$E,'（居民）工资表-6月'!$E:$U,17,0),0)</f>
        <v>5212.36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R14+IFERROR(VLOOKUP($E:$E,'（居民）工资表-6月'!$E:$AC,25,0),0)</f>
        <v>0</v>
      </c>
      <c r="AD14" s="95">
        <f t="shared" si="2"/>
        <v>11396.34</v>
      </c>
      <c r="AE14" s="96">
        <f>ROUND(MAX((AD14)*{0.03;0.1;0.2;0.25;0.3;0.35;0.45}-{0;2520;16920;31920;52920;85920;181920},0),2)</f>
        <v>341.89</v>
      </c>
      <c r="AF14" s="97">
        <f>IFERROR(VLOOKUP(E:E,'（居民）工资表-6月'!E:AF,28,0)+VLOOKUP(E:E,'（居民）工资表-6月'!E:AG,29,0),0)</f>
        <v>239.3</v>
      </c>
      <c r="AG14" s="97">
        <f t="shared" si="3"/>
        <v>102.59</v>
      </c>
      <c r="AH14" s="107">
        <f t="shared" si="4"/>
        <v>8317.05</v>
      </c>
      <c r="AI14" s="108"/>
      <c r="AJ14" s="107">
        <f t="shared" si="5"/>
        <v>8317.05</v>
      </c>
      <c r="AK14" s="109"/>
      <c r="AL14" s="107">
        <f t="shared" si="6"/>
        <v>8419.64</v>
      </c>
      <c r="AM14" s="12" t="s">
        <v>157</v>
      </c>
      <c r="AN14" s="12" t="s">
        <v>51</v>
      </c>
    </row>
    <row r="15" s="12" customFormat="1" ht="18" customHeight="1" spans="1:40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 t="s">
        <v>181</v>
      </c>
      <c r="H15" s="40"/>
      <c r="I15" s="40"/>
      <c r="J15" s="69"/>
      <c r="K15" s="40"/>
      <c r="L15" s="70">
        <v>8800</v>
      </c>
      <c r="M15" s="71">
        <v>306.56</v>
      </c>
      <c r="N15" s="71">
        <v>112.49</v>
      </c>
      <c r="O15" s="71">
        <v>19.16</v>
      </c>
      <c r="P15" s="71">
        <v>97</v>
      </c>
      <c r="Q15" s="89">
        <f t="shared" si="0"/>
        <v>535.21</v>
      </c>
      <c r="R15" s="70">
        <v>0</v>
      </c>
      <c r="S15" s="90">
        <f>L15+IFERROR(VLOOKUP($E:$E,'（居民）工资表-6月'!$E:$S,15,0),0)</f>
        <v>50800</v>
      </c>
      <c r="T15" s="91">
        <f>5000+IFERROR(VLOOKUP($E:$E,'（居民）工资表-6月'!$E:$T,16,0),0)</f>
        <v>35000</v>
      </c>
      <c r="U15" s="91">
        <f>Q15+IFERROR(VLOOKUP($E:$E,'（居民）工资表-6月'!$E:$U,17,0),0)</f>
        <v>3889.21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R15+IFERROR(VLOOKUP($E:$E,'（居民）工资表-6月'!$E:$AC,25,0),0)</f>
        <v>0</v>
      </c>
      <c r="AD15" s="95">
        <f t="shared" si="2"/>
        <v>11910.79</v>
      </c>
      <c r="AE15" s="96">
        <f>ROUND(MAX((AD15)*{0.03;0.1;0.2;0.25;0.3;0.35;0.45}-{0;2520;16920;31920;52920;85920;181920},0),2)</f>
        <v>357.32</v>
      </c>
      <c r="AF15" s="97">
        <f>IFERROR(VLOOKUP(E:E,'（居民）工资表-6月'!E:AF,28,0)+VLOOKUP(E:E,'（居民）工资表-6月'!E:AG,29,0),0)</f>
        <v>259.38</v>
      </c>
      <c r="AG15" s="97">
        <f t="shared" si="3"/>
        <v>97.94</v>
      </c>
      <c r="AH15" s="107">
        <f t="shared" si="4"/>
        <v>8166.85</v>
      </c>
      <c r="AI15" s="108"/>
      <c r="AJ15" s="107">
        <f t="shared" si="5"/>
        <v>8166.85</v>
      </c>
      <c r="AK15" s="109"/>
      <c r="AL15" s="107">
        <f t="shared" si="6"/>
        <v>8264.79</v>
      </c>
      <c r="AM15" s="12" t="s">
        <v>157</v>
      </c>
      <c r="AN15" s="12" t="s">
        <v>51</v>
      </c>
    </row>
    <row r="16" s="12" customFormat="1" ht="18" customHeight="1" spans="1:40">
      <c r="A16" s="36">
        <v>13</v>
      </c>
      <c r="B16" s="37" t="s">
        <v>142</v>
      </c>
      <c r="C16" s="37" t="s">
        <v>182</v>
      </c>
      <c r="D16" s="37" t="s">
        <v>143</v>
      </c>
      <c r="E16" s="326" t="s">
        <v>183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7360</v>
      </c>
      <c r="M16" s="71">
        <v>306.56</v>
      </c>
      <c r="N16" s="71">
        <v>84.64</v>
      </c>
      <c r="O16" s="71">
        <v>19.16</v>
      </c>
      <c r="P16" s="71">
        <v>97</v>
      </c>
      <c r="Q16" s="89">
        <f t="shared" si="0"/>
        <v>507.36</v>
      </c>
      <c r="R16" s="70">
        <v>0</v>
      </c>
      <c r="S16" s="90">
        <f>L16+IFERROR(VLOOKUP($E:$E,'（居民）工资表-6月'!$E:$S,15,0),0)</f>
        <v>44481.74</v>
      </c>
      <c r="T16" s="91">
        <f>5000+IFERROR(VLOOKUP($E:$E,'（居民）工资表-6月'!$E:$T,16,0),0)</f>
        <v>35000</v>
      </c>
      <c r="U16" s="91">
        <f>Q16+IFERROR(VLOOKUP($E:$E,'（居民）工资表-6月'!$E:$U,17,0),0)</f>
        <v>3673.62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R16+IFERROR(VLOOKUP($E:$E,'（居民）工资表-6月'!$E:$AC,25,0),0)</f>
        <v>0</v>
      </c>
      <c r="AD16" s="95">
        <f t="shared" si="2"/>
        <v>5808.12</v>
      </c>
      <c r="AE16" s="96">
        <f>ROUND(MAX((AD16)*{0.03;0.1;0.2;0.25;0.3;0.35;0.45}-{0;2520;16920;31920;52920;85920;181920},0),2)</f>
        <v>174.24</v>
      </c>
      <c r="AF16" s="97">
        <f>IFERROR(VLOOKUP(E:E,'（居民）工资表-6月'!E:AF,28,0)+VLOOKUP(E:E,'（居民）工资表-6月'!E:AG,29,0),0)</f>
        <v>118.66</v>
      </c>
      <c r="AG16" s="97">
        <f t="shared" si="3"/>
        <v>55.58</v>
      </c>
      <c r="AH16" s="107">
        <f t="shared" si="4"/>
        <v>6797.06</v>
      </c>
      <c r="AI16" s="108"/>
      <c r="AJ16" s="107">
        <f t="shared" si="5"/>
        <v>6797.06</v>
      </c>
      <c r="AK16" s="109"/>
      <c r="AL16" s="107">
        <f t="shared" si="6"/>
        <v>6852.64</v>
      </c>
      <c r="AM16" s="12" t="s">
        <v>157</v>
      </c>
      <c r="AN16" s="12" t="s">
        <v>51</v>
      </c>
    </row>
    <row r="17" s="12" customFormat="1" ht="18" customHeight="1" spans="1:40">
      <c r="A17" s="36">
        <v>14</v>
      </c>
      <c r="B17" s="37" t="s">
        <v>142</v>
      </c>
      <c r="C17" s="37" t="s">
        <v>184</v>
      </c>
      <c r="D17" s="37" t="s">
        <v>143</v>
      </c>
      <c r="E17" s="326" t="s">
        <v>185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7060</v>
      </c>
      <c r="M17" s="71">
        <v>315.6</v>
      </c>
      <c r="N17" s="71">
        <v>86.72</v>
      </c>
      <c r="O17" s="71">
        <v>11.84</v>
      </c>
      <c r="P17" s="71">
        <v>175</v>
      </c>
      <c r="Q17" s="89">
        <f t="shared" si="0"/>
        <v>589.16</v>
      </c>
      <c r="R17" s="70">
        <v>0</v>
      </c>
      <c r="S17" s="90">
        <f>L17+IFERROR(VLOOKUP($E:$E,'（居民）工资表-6月'!$E:$S,15,0),0)</f>
        <v>7060</v>
      </c>
      <c r="T17" s="91">
        <f>5000+IFERROR(VLOOKUP($E:$E,'（居民）工资表-6月'!$E:$T,16,0),0)</f>
        <v>5000</v>
      </c>
      <c r="U17" s="91">
        <f>Q17+IFERROR(VLOOKUP($E:$E,'（居民）工资表-6月'!$E:$U,17,0),0)</f>
        <v>589.16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R17+IFERROR(VLOOKUP($E:$E,'（居民）工资表-6月'!$E:$AC,25,0),0)</f>
        <v>0</v>
      </c>
      <c r="AD17" s="95">
        <f t="shared" si="2"/>
        <v>1470.84</v>
      </c>
      <c r="AE17" s="96">
        <f>ROUND(MAX((AD17)*{0.03;0.1;0.2;0.25;0.3;0.35;0.45}-{0;2520;16920;31920;52920;85920;181920},0),2)</f>
        <v>44.13</v>
      </c>
      <c r="AF17" s="97">
        <f>IFERROR(VLOOKUP(E:E,'（居民）工资表-6月'!E:AF,28,0)+VLOOKUP(E:E,'（居民）工资表-6月'!E:AG,29,0),0)</f>
        <v>0</v>
      </c>
      <c r="AG17" s="97">
        <f t="shared" si="3"/>
        <v>44.13</v>
      </c>
      <c r="AH17" s="107">
        <f t="shared" si="4"/>
        <v>6426.71</v>
      </c>
      <c r="AI17" s="108"/>
      <c r="AJ17" s="107">
        <f t="shared" si="5"/>
        <v>6426.71</v>
      </c>
      <c r="AK17" s="109"/>
      <c r="AL17" s="107">
        <f t="shared" si="6"/>
        <v>6470.84</v>
      </c>
      <c r="AM17" s="12" t="s">
        <v>162</v>
      </c>
      <c r="AN17" s="12" t="s">
        <v>51</v>
      </c>
    </row>
    <row r="18" s="12" customFormat="1" ht="18" customHeight="1" spans="1:40">
      <c r="A18" s="36">
        <v>15</v>
      </c>
      <c r="B18" s="37" t="s">
        <v>142</v>
      </c>
      <c r="C18" s="37" t="s">
        <v>186</v>
      </c>
      <c r="D18" s="37" t="s">
        <v>143</v>
      </c>
      <c r="E18" s="326" t="s">
        <v>187</v>
      </c>
      <c r="F18" s="38" t="s">
        <v>148</v>
      </c>
      <c r="G18" s="39"/>
      <c r="H18" s="40"/>
      <c r="I18" s="40"/>
      <c r="J18" s="69"/>
      <c r="K18" s="40"/>
      <c r="L18" s="70">
        <v>5400</v>
      </c>
      <c r="M18" s="71">
        <v>306.56</v>
      </c>
      <c r="N18" s="71">
        <v>76.64</v>
      </c>
      <c r="O18" s="71">
        <v>19.16</v>
      </c>
      <c r="P18" s="71">
        <v>103</v>
      </c>
      <c r="Q18" s="89">
        <f t="shared" si="0"/>
        <v>505.36</v>
      </c>
      <c r="R18" s="70">
        <v>0</v>
      </c>
      <c r="S18" s="90">
        <f>L18+IFERROR(VLOOKUP($E:$E,'（居民）工资表-6月'!$E:$S,15,0),0)</f>
        <v>41400</v>
      </c>
      <c r="T18" s="91">
        <f>5000+IFERROR(VLOOKUP($E:$E,'（居民）工资表-6月'!$E:$T,16,0),0)</f>
        <v>35000</v>
      </c>
      <c r="U18" s="91">
        <f>Q18+IFERROR(VLOOKUP($E:$E,'（居民）工资表-6月'!$E:$U,17,0),0)</f>
        <v>3655.36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R18+IFERROR(VLOOKUP($E:$E,'（居民）工资表-6月'!$E:$AC,25,0),0)</f>
        <v>0</v>
      </c>
      <c r="AD18" s="95">
        <f t="shared" si="2"/>
        <v>2744.64</v>
      </c>
      <c r="AE18" s="96">
        <f>ROUND(MAX((AD18)*{0.03;0.1;0.2;0.25;0.3;0.35;0.45}-{0;2520;16920;31920;52920;85920;181920},0),2)</f>
        <v>82.34</v>
      </c>
      <c r="AF18" s="97">
        <f>IFERROR(VLOOKUP(E:E,'（居民）工资表-6月'!E:AF,28,0)+VLOOKUP(E:E,'（居民）工资表-6月'!E:AG,29,0),0)</f>
        <v>85.5</v>
      </c>
      <c r="AG18" s="97">
        <f t="shared" si="3"/>
        <v>0</v>
      </c>
      <c r="AH18" s="107">
        <f t="shared" si="4"/>
        <v>4894.64</v>
      </c>
      <c r="AI18" s="108"/>
      <c r="AJ18" s="107">
        <f t="shared" si="5"/>
        <v>4894.64</v>
      </c>
      <c r="AK18" s="109"/>
      <c r="AL18" s="107">
        <f t="shared" si="6"/>
        <v>4894.64</v>
      </c>
      <c r="AM18" s="12" t="s">
        <v>157</v>
      </c>
      <c r="AN18" s="12" t="s">
        <v>51</v>
      </c>
    </row>
    <row r="19" s="12" customFormat="1" ht="18" customHeight="1" spans="1:40">
      <c r="A19" s="36">
        <v>15</v>
      </c>
      <c r="B19" s="37" t="s">
        <v>142</v>
      </c>
      <c r="C19" s="37" t="s">
        <v>188</v>
      </c>
      <c r="D19" s="37" t="s">
        <v>143</v>
      </c>
      <c r="E19" s="326" t="s">
        <v>189</v>
      </c>
      <c r="F19" s="38" t="s">
        <v>148</v>
      </c>
      <c r="G19" s="39">
        <v>15571147351</v>
      </c>
      <c r="H19" s="40"/>
      <c r="I19" s="40"/>
      <c r="J19" s="69"/>
      <c r="K19" s="40"/>
      <c r="L19" s="70">
        <v>1466.67</v>
      </c>
      <c r="M19" s="71">
        <v>652.32</v>
      </c>
      <c r="N19" s="71">
        <v>170.08</v>
      </c>
      <c r="O19" s="71">
        <v>24.46</v>
      </c>
      <c r="P19" s="71">
        <v>201</v>
      </c>
      <c r="Q19" s="89">
        <f t="shared" si="0"/>
        <v>1047.86</v>
      </c>
      <c r="R19" s="70">
        <v>0</v>
      </c>
      <c r="S19" s="90">
        <f>L19+IFERROR(VLOOKUP($E:$E,'（居民）工资表-6月'!$E:$S,15,0),0)</f>
        <v>1466.67</v>
      </c>
      <c r="T19" s="91">
        <f>5000+IFERROR(VLOOKUP($E:$E,'（居民）工资表-6月'!$E:$T,16,0),0)</f>
        <v>5000</v>
      </c>
      <c r="U19" s="91">
        <f>Q19+IFERROR(VLOOKUP($E:$E,'（居民）工资表-6月'!$E:$U,17,0),0)</f>
        <v>1047.86</v>
      </c>
      <c r="V19" s="70"/>
      <c r="W19" s="70"/>
      <c r="X19" s="70"/>
      <c r="Y19" s="70"/>
      <c r="Z19" s="70"/>
      <c r="AA19" s="70"/>
      <c r="AB19" s="90">
        <f t="shared" si="1"/>
        <v>0</v>
      </c>
      <c r="AC19" s="90">
        <f>R19+IFERROR(VLOOKUP($E:$E,'（居民）工资表-6月'!$E:$AC,25,0),0)</f>
        <v>0</v>
      </c>
      <c r="AD19" s="95">
        <f t="shared" si="2"/>
        <v>-4581.19</v>
      </c>
      <c r="AE19" s="96">
        <f>ROUND(MAX((AD19)*{0.03;0.1;0.2;0.25;0.3;0.35;0.45}-{0;2520;16920;31920;52920;85920;181920},0),2)</f>
        <v>0</v>
      </c>
      <c r="AF19" s="97">
        <f>IFERROR(VLOOKUP(E:E,'（居民）工资表-6月'!E:AF,28,0)+VLOOKUP(E:E,'（居民）工资表-6月'!E:AG,29,0),0)</f>
        <v>0</v>
      </c>
      <c r="AG19" s="97">
        <f t="shared" si="3"/>
        <v>0</v>
      </c>
      <c r="AH19" s="107">
        <f t="shared" si="4"/>
        <v>418.81</v>
      </c>
      <c r="AI19" s="108"/>
      <c r="AJ19" s="107">
        <f t="shared" si="5"/>
        <v>418.81</v>
      </c>
      <c r="AK19" s="109"/>
      <c r="AL19" s="107">
        <f t="shared" si="6"/>
        <v>418.81</v>
      </c>
      <c r="AM19" s="12" t="s">
        <v>190</v>
      </c>
      <c r="AN19" s="12" t="s">
        <v>191</v>
      </c>
    </row>
    <row r="20" s="13" customFormat="1" ht="18" customHeight="1" spans="1:38">
      <c r="A20" s="41"/>
      <c r="B20" s="42" t="s">
        <v>192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138645.47</v>
      </c>
      <c r="M20" s="74">
        <f t="shared" ref="M20:AL20" si="7">SUM(M4:M19)</f>
        <v>5652.66</v>
      </c>
      <c r="N20" s="74">
        <f t="shared" si="7"/>
        <v>1592.78</v>
      </c>
      <c r="O20" s="74">
        <f t="shared" si="7"/>
        <v>295.47</v>
      </c>
      <c r="P20" s="74">
        <f t="shared" si="7"/>
        <v>2170.3</v>
      </c>
      <c r="Q20" s="74">
        <f t="shared" si="7"/>
        <v>9711.21</v>
      </c>
      <c r="R20" s="74">
        <f t="shared" si="7"/>
        <v>0</v>
      </c>
      <c r="S20" s="74">
        <f t="shared" si="7"/>
        <v>831490.95</v>
      </c>
      <c r="T20" s="74">
        <f t="shared" si="7"/>
        <v>470000</v>
      </c>
      <c r="U20" s="74">
        <f t="shared" si="7"/>
        <v>60054.12</v>
      </c>
      <c r="V20" s="74">
        <f t="shared" si="7"/>
        <v>7000</v>
      </c>
      <c r="W20" s="74">
        <f t="shared" si="7"/>
        <v>0</v>
      </c>
      <c r="X20" s="74">
        <f t="shared" si="7"/>
        <v>19000</v>
      </c>
      <c r="Y20" s="74">
        <f t="shared" si="7"/>
        <v>10500</v>
      </c>
      <c r="Z20" s="74">
        <f t="shared" si="7"/>
        <v>2800</v>
      </c>
      <c r="AA20" s="74">
        <f t="shared" si="7"/>
        <v>0</v>
      </c>
      <c r="AB20" s="74">
        <f t="shared" si="7"/>
        <v>39300</v>
      </c>
      <c r="AC20" s="74">
        <f t="shared" si="7"/>
        <v>0</v>
      </c>
      <c r="AD20" s="74">
        <f t="shared" si="7"/>
        <v>262136.83</v>
      </c>
      <c r="AE20" s="74">
        <f t="shared" si="7"/>
        <v>18491.63</v>
      </c>
      <c r="AF20" s="74">
        <f t="shared" si="7"/>
        <v>15447.47</v>
      </c>
      <c r="AG20" s="74">
        <f t="shared" si="7"/>
        <v>3539.17</v>
      </c>
      <c r="AH20" s="74">
        <f t="shared" si="7"/>
        <v>125395.09</v>
      </c>
      <c r="AI20" s="74">
        <f t="shared" si="7"/>
        <v>0</v>
      </c>
      <c r="AJ20" s="74">
        <f t="shared" si="7"/>
        <v>125395.09</v>
      </c>
      <c r="AK20" s="74">
        <f t="shared" si="7"/>
        <v>0</v>
      </c>
      <c r="AL20" s="74">
        <f t="shared" si="7"/>
        <v>128934.26</v>
      </c>
    </row>
    <row r="23" spans="30:30">
      <c r="AD23" s="101"/>
    </row>
    <row r="24" ht="18.75" customHeight="1" spans="2:30">
      <c r="B24" s="47" t="s">
        <v>131</v>
      </c>
      <c r="C24" s="47" t="s">
        <v>193</v>
      </c>
      <c r="D24" s="47" t="s">
        <v>22</v>
      </c>
      <c r="E24" s="47" t="s">
        <v>23</v>
      </c>
      <c r="AD24" s="10"/>
    </row>
    <row r="25" ht="18.75" customHeight="1" spans="2:5">
      <c r="B25" s="48">
        <f>AJ20</f>
        <v>125395.09</v>
      </c>
      <c r="C25" s="48">
        <f>AG20</f>
        <v>3539.17</v>
      </c>
      <c r="D25" s="48">
        <f>AK20</f>
        <v>0</v>
      </c>
      <c r="E25" s="48">
        <f>B25+C25+D25</f>
        <v>128934.26</v>
      </c>
    </row>
    <row r="26" spans="2:5">
      <c r="B26" s="49"/>
      <c r="C26" s="49"/>
      <c r="D26" s="49"/>
      <c r="E26" s="49" t="e">
        <f>#REF!</f>
        <v>#REF!</v>
      </c>
    </row>
    <row r="27" s="14" customFormat="1" spans="1:35">
      <c r="A27" s="51" t="s">
        <v>194</v>
      </c>
      <c r="B27" s="52" t="s">
        <v>195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196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197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198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199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200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201</v>
      </c>
    </row>
    <row r="35" spans="2:2">
      <c r="B35" s="59" t="s">
        <v>202</v>
      </c>
    </row>
    <row r="36" spans="2:2">
      <c r="B36" s="59" t="s">
        <v>203</v>
      </c>
    </row>
  </sheetData>
  <autoFilter ref="A3:AL20">
    <extLst/>
  </autoFilter>
  <mergeCells count="31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tabColor rgb="FF00B050"/>
    <pageSetUpPr fitToPage="1"/>
  </sheetPr>
  <dimension ref="A1:AV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18" sqref="A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4.091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 customWidth="1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204</v>
      </c>
      <c r="AN2" s="29" t="s">
        <v>205</v>
      </c>
      <c r="AO2" s="114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f>VLOOKUP(C4,[2]Sheet1!$B$2:$C$16,2,0)</f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 t="shared" ref="Q4:Q7" si="0">ROUND(SUM(M4:P4),2)</f>
        <v>588.7</v>
      </c>
      <c r="R4" s="70">
        <v>0</v>
      </c>
      <c r="S4" s="90">
        <f>L4+IFERROR(VLOOKUP($E:$E,'（居民）工资表-4月'!$E:$S,15,0),0)</f>
        <v>40000</v>
      </c>
      <c r="T4" s="91">
        <f>5000+IFERROR(VLOOKUP($E:$E,'（居民）工资表-4月'!$E:$T,16,0),0)</f>
        <v>25000</v>
      </c>
      <c r="U4" s="91">
        <f>Q4+IFERROR(VLOOKUP($E:$E,'（居民）工资表-4月'!$E:$U,17,0),0)</f>
        <v>3039.5</v>
      </c>
      <c r="V4" s="70"/>
      <c r="W4" s="70"/>
      <c r="X4" s="70"/>
      <c r="Y4" s="70"/>
      <c r="Z4" s="70"/>
      <c r="AA4" s="70"/>
      <c r="AB4" s="90">
        <f t="shared" ref="AB4:AB7" si="1">ROUND(SUM(V4:AA4),2)</f>
        <v>0</v>
      </c>
      <c r="AC4" s="90">
        <f>R4+IFERROR(VLOOKUP($E:$E,'（居民）工资表-4月'!$E:$AC,25,0),0)</f>
        <v>0</v>
      </c>
      <c r="AD4" s="95">
        <f t="shared" ref="AD4:AD7" si="2">ROUND(S4-T4-U4-AB4-AC4,2)</f>
        <v>11960.5</v>
      </c>
      <c r="AE4" s="96">
        <f>ROUND(MAX((AD4)*{0.03;0.1;0.2;0.25;0.3;0.35;0.45}-{0;2520;16920;31920;52920;85920;181920},0),2)</f>
        <v>358.82</v>
      </c>
      <c r="AF4" s="97">
        <f>IFERROR(VLOOKUP(E:E,'（居民）工资表-4月'!E:AF,28,0)+VLOOKUP(E:E,'（居民）工资表-4月'!E:AG,29,0),0)</f>
        <v>286.48</v>
      </c>
      <c r="AG4" s="97">
        <f t="shared" ref="AG4:AG6" si="3">IF((AE4-AF4)&lt;0,0,AE4-AF4)</f>
        <v>72.34</v>
      </c>
      <c r="AH4" s="107">
        <f t="shared" ref="AH4:AH6" si="4">ROUND(IF((L4-Q4-AG4)&lt;0,0,(L4-Q4-AG4)),2)</f>
        <v>7338.96</v>
      </c>
      <c r="AI4" s="108"/>
      <c r="AJ4" s="107">
        <f t="shared" ref="AJ4:AJ7" si="5">AH4+AI4</f>
        <v>7338.96</v>
      </c>
      <c r="AK4" s="109"/>
      <c r="AL4" s="107">
        <f t="shared" ref="AL4:AL7" si="6">AJ4+AG4+AK4</f>
        <v>7411.3</v>
      </c>
      <c r="AM4" s="109"/>
      <c r="AN4" s="109"/>
      <c r="AO4" s="109"/>
      <c r="AP4" s="109"/>
      <c r="AQ4" s="109"/>
      <c r="AR4" s="116" t="str">
        <f t="shared" ref="AR4:AR7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IF(SUMPRODUCT(N(E$1:E$7=E4))&gt;1,"重复","不")</f>
        <v>不</v>
      </c>
      <c r="AT4" s="116" t="str">
        <f>IF(SUMPRODUCT(N(AO$1:AO$7=AO4))&gt;1,"重复","不")</f>
        <v>重复</v>
      </c>
      <c r="AU4" s="12" t="s">
        <v>145</v>
      </c>
      <c r="AV4" s="12" t="s">
        <v>51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f>VLOOKUP(C5,[2]Sheet1!$B$2:$C$16,2,0)</f>
        <v>5700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 t="shared" si="0"/>
        <v>662.24</v>
      </c>
      <c r="R5" s="70">
        <v>0</v>
      </c>
      <c r="S5" s="90">
        <f>L5+IFERROR(VLOOKUP($E:$E,'（居民）工资表-4月'!$E:$S,15,0),0)</f>
        <v>28500</v>
      </c>
      <c r="T5" s="91">
        <f>5000+IFERROR(VLOOKUP($E:$E,'（居民）工资表-4月'!$E:$T,16,0),0)</f>
        <v>25000</v>
      </c>
      <c r="U5" s="91">
        <f>Q5+IFERROR(VLOOKUP($E:$E,'（居民）工资表-4月'!$E:$U,17,0),0)</f>
        <v>3311.2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R5+IFERROR(VLOOKUP($E:$E,'（居民）工资表-4月'!$E:$AC,25,0),0)</f>
        <v>0</v>
      </c>
      <c r="AD5" s="95">
        <f t="shared" si="2"/>
        <v>188.8</v>
      </c>
      <c r="AE5" s="96">
        <f>ROUND(MAX((AD5)*{0.03;0.1;0.2;0.25;0.3;0.35;0.45}-{0;2520;16920;31920;52920;85920;181920},0),2)</f>
        <v>5.66</v>
      </c>
      <c r="AF5" s="97">
        <f>IFERROR(VLOOKUP(E:E,'（居民）工资表-4月'!E:AF,28,0)+VLOOKUP(E:E,'（居民）工资表-4月'!E:AG,29,0),0)</f>
        <v>4.53</v>
      </c>
      <c r="AG5" s="97">
        <f t="shared" si="3"/>
        <v>1.13</v>
      </c>
      <c r="AH5" s="107">
        <f t="shared" si="4"/>
        <v>5036.63</v>
      </c>
      <c r="AI5" s="108"/>
      <c r="AJ5" s="107">
        <f t="shared" si="5"/>
        <v>5036.63</v>
      </c>
      <c r="AK5" s="109"/>
      <c r="AL5" s="107">
        <f t="shared" si="6"/>
        <v>5037.76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>IF(SUMPRODUCT(N(E$1:E$7=E5))&gt;1,"重复","不")</f>
        <v>不</v>
      </c>
      <c r="AT5" s="116" t="str">
        <f>IF(SUMPRODUCT(N(AO$1:AO$7=AO5))&gt;1,"重复","不")</f>
        <v>重复</v>
      </c>
      <c r="AU5" s="12" t="s">
        <v>50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f>VLOOKUP(C6,[2]Sheet1!$B$2:$C$16,2,0)</f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 t="shared" si="0"/>
        <v>948.55</v>
      </c>
      <c r="R6" s="70">
        <v>0</v>
      </c>
      <c r="S6" s="90">
        <f>L6+IFERROR(VLOOKUP($E:$E,'（居民）工资表-4月'!$E:$S,15,0),0)</f>
        <v>150300</v>
      </c>
      <c r="T6" s="91">
        <f>5000+IFERROR(VLOOKUP($E:$E,'（居民）工资表-4月'!$E:$T,16,0),0)</f>
        <v>25000</v>
      </c>
      <c r="U6" s="91">
        <f>Q6+IFERROR(VLOOKUP($E:$E,'（居民）工资表-4月'!$E:$U,17,0),0)</f>
        <v>4742.75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R6+IFERROR(VLOOKUP($E:$E,'（居民）工资表-4月'!$E:$AC,25,0),0)</f>
        <v>0</v>
      </c>
      <c r="AD6" s="95">
        <f t="shared" si="2"/>
        <v>120557.25</v>
      </c>
      <c r="AE6" s="96">
        <f>ROUND(MAX((AD6)*{0.03;0.1;0.2;0.25;0.3;0.35;0.45}-{0;2520;16920;31920;52920;85920;181920},0),2)</f>
        <v>9535.73</v>
      </c>
      <c r="AF6" s="97">
        <f>IFERROR(VLOOKUP(E:E,'（居民）工资表-4月'!E:AF,28,0)+VLOOKUP(E:E,'（居民）工资表-4月'!E:AG,29,0),0)</f>
        <v>7124.58</v>
      </c>
      <c r="AG6" s="97">
        <f t="shared" si="3"/>
        <v>2411.15</v>
      </c>
      <c r="AH6" s="107">
        <f t="shared" si="4"/>
        <v>26700.3</v>
      </c>
      <c r="AI6" s="108"/>
      <c r="AJ6" s="107">
        <f t="shared" si="5"/>
        <v>26700.3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>IF(SUMPRODUCT(N(E$1:E$7=E6))&gt;1,"重复","不")</f>
        <v>不</v>
      </c>
      <c r="AT6" s="116" t="str">
        <f>IF(SUMPRODUCT(N(AO$1:AO$7=AO6))&gt;1,"重复","不")</f>
        <v>重复</v>
      </c>
      <c r="AU6" s="12" t="s">
        <v>152</v>
      </c>
      <c r="AV6" s="12" t="s">
        <v>153</v>
      </c>
    </row>
    <row r="7" s="12" customFormat="1" ht="18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f>VLOOKUP(C7,[2]Sheet1!$B$2:$C$16,2,0)</f>
        <v>9000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si="0"/>
        <v>527.71</v>
      </c>
      <c r="R7" s="70">
        <v>0</v>
      </c>
      <c r="S7" s="90">
        <f>L7+IFERROR(VLOOKUP($E:$E,'（居民）工资表-4月'!$E:$S,15,0),0)</f>
        <v>41000</v>
      </c>
      <c r="T7" s="91">
        <f>5000+IFERROR(VLOOKUP($E:$E,'（居民）工资表-4月'!$E:$T,16,0),0)</f>
        <v>25000</v>
      </c>
      <c r="U7" s="91">
        <f>Q7+IFERROR(VLOOKUP($E:$E,'（居民）工资表-4月'!$E:$U,17,0),0)</f>
        <v>2638.55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R7+IFERROR(VLOOKUP($E:$E,'（居民）工资表-4月'!$E:$AC,25,0),0)</f>
        <v>0</v>
      </c>
      <c r="AD7" s="95">
        <f t="shared" si="2"/>
        <v>13361.45</v>
      </c>
      <c r="AE7" s="96">
        <f>ROUND(MAX((AD7)*{0.03;0.1;0.2;0.25;0.3;0.35;0.45}-{0;2520;16920;31920;52920;85920;181920},0),2)</f>
        <v>400.84</v>
      </c>
      <c r="AF7" s="97">
        <f>IFERROR(VLOOKUP(E:E,'（居民）工资表-4月'!E:AF,28,0)+VLOOKUP(E:E,'（居民）工资表-4月'!E:AG,29,0),0)</f>
        <v>296.67</v>
      </c>
      <c r="AG7" s="97">
        <f t="shared" ref="AG7:AG19" si="8">IF((AE7-AF7)&lt;0,0,AE7-AF7)</f>
        <v>104.17</v>
      </c>
      <c r="AH7" s="107">
        <f t="shared" ref="AH7:AH19" si="9">ROUND(IF((L7-Q7-AG7)&lt;0,0,(L7-Q7-AG7)),2)</f>
        <v>8368.12</v>
      </c>
      <c r="AI7" s="108"/>
      <c r="AJ7" s="107">
        <f t="shared" si="5"/>
        <v>8368.12</v>
      </c>
      <c r="AK7" s="109"/>
      <c r="AL7" s="107">
        <f t="shared" si="6"/>
        <v>8472.29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>IF(SUMPRODUCT(N(E$1:E$7=E7))&gt;1,"重复","不")</f>
        <v>不</v>
      </c>
      <c r="AT7" s="116" t="str">
        <f>IF(SUMPRODUCT(N(AO$1:AO$7=AO7))&gt;1,"重复","不")</f>
        <v>重复</v>
      </c>
      <c r="AU7" s="12" t="s">
        <v>157</v>
      </c>
      <c r="AV7" s="12" t="s">
        <v>51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f>VLOOKUP(C8,[2]Sheet1!$B$2:$C$16,2,0)</f>
        <v>10500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ref="Q8:Q19" si="10">ROUND(SUM(M8:P8),2)</f>
        <v>772</v>
      </c>
      <c r="R8" s="70">
        <v>0</v>
      </c>
      <c r="S8" s="90">
        <f>L8+IFERROR(VLOOKUP($E:$E,'（居民）工资表-4月'!$E:$S,15,0),0)</f>
        <v>52500</v>
      </c>
      <c r="T8" s="91">
        <f>5000+IFERROR(VLOOKUP($E:$E,'（居民）工资表-4月'!$E:$T,16,0),0)</f>
        <v>25000</v>
      </c>
      <c r="U8" s="91">
        <f>Q8+IFERROR(VLOOKUP($E:$E,'（居民）工资表-4月'!$E:$U,17,0),0)</f>
        <v>3860</v>
      </c>
      <c r="V8" s="70"/>
      <c r="W8" s="70"/>
      <c r="X8" s="70"/>
      <c r="Y8" s="70"/>
      <c r="Z8" s="70"/>
      <c r="AA8" s="70"/>
      <c r="AB8" s="90">
        <f t="shared" ref="AB8:AB19" si="11">ROUND(SUM(V8:AA8),2)</f>
        <v>0</v>
      </c>
      <c r="AC8" s="90">
        <f>R8+IFERROR(VLOOKUP($E:$E,'（居民）工资表-4月'!$E:$AC,25,0),0)</f>
        <v>0</v>
      </c>
      <c r="AD8" s="95">
        <f t="shared" ref="AD8:AD19" si="12">ROUND(S8-T8-U8-AB8-AC8,2)</f>
        <v>23640</v>
      </c>
      <c r="AE8" s="96">
        <f>ROUND(MAX((AD8)*{0.03;0.1;0.2;0.25;0.3;0.35;0.45}-{0;2520;16920;31920;52920;85920;181920},0),2)</f>
        <v>709.2</v>
      </c>
      <c r="AF8" s="97">
        <f>IFERROR(VLOOKUP(E:E,'（居民）工资表-4月'!E:AF,28,0)+VLOOKUP(E:E,'（居民）工资表-4月'!E:AG,29,0),0)</f>
        <v>567.36</v>
      </c>
      <c r="AG8" s="97">
        <f t="shared" si="8"/>
        <v>141.84</v>
      </c>
      <c r="AH8" s="107">
        <f t="shared" si="9"/>
        <v>9586.16</v>
      </c>
      <c r="AI8" s="108"/>
      <c r="AJ8" s="107">
        <f t="shared" ref="AJ8:AJ19" si="13">AH8+AI8</f>
        <v>9586.16</v>
      </c>
      <c r="AK8" s="109"/>
      <c r="AL8" s="107">
        <f t="shared" ref="AL8:AL19" si="14">AJ8+AG8+AK8</f>
        <v>9728</v>
      </c>
      <c r="AM8" s="109"/>
      <c r="AN8" s="109"/>
      <c r="AO8" s="109"/>
      <c r="AP8" s="109"/>
      <c r="AQ8" s="109"/>
      <c r="AR8" s="116" t="str">
        <f t="shared" ref="AR8:AR19" si="15"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6" t="str">
        <f t="shared" ref="AS8:AS16" si="16">IF(SUMPRODUCT(N(E$1:E$7=E8))&gt;1,"重复","不")</f>
        <v>不</v>
      </c>
      <c r="AT8" s="116" t="str">
        <f t="shared" ref="AT8:AT16" si="17">IF(SUMPRODUCT(N(AO$1:AO$7=AO8))&gt;1,"重复","不")</f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f>VLOOKUP(C9,[2]Sheet1!$B$2:$C$16,2,0)</f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10"/>
        <v>526.8</v>
      </c>
      <c r="R9" s="70">
        <v>0</v>
      </c>
      <c r="S9" s="90">
        <f>L9+IFERROR(VLOOKUP($E:$E,'（居民）工资表-4月'!$E:$S,15,0),0)</f>
        <v>32500</v>
      </c>
      <c r="T9" s="91">
        <f>5000+IFERROR(VLOOKUP($E:$E,'（居民）工资表-4月'!$E:$T,16,0),0)</f>
        <v>25000</v>
      </c>
      <c r="U9" s="91">
        <f>Q9+IFERROR(VLOOKUP($E:$E,'（居民）工资表-4月'!$E:$U,17,0),0)</f>
        <v>2657.49</v>
      </c>
      <c r="V9" s="70"/>
      <c r="W9" s="70"/>
      <c r="X9" s="70"/>
      <c r="Y9" s="70"/>
      <c r="Z9" s="70"/>
      <c r="AA9" s="70"/>
      <c r="AB9" s="90">
        <f t="shared" si="11"/>
        <v>0</v>
      </c>
      <c r="AC9" s="90">
        <f>R9+IFERROR(VLOOKUP($E:$E,'（居民）工资表-4月'!$E:$AC,25,0),0)</f>
        <v>0</v>
      </c>
      <c r="AD9" s="95">
        <f t="shared" si="12"/>
        <v>4842.51</v>
      </c>
      <c r="AE9" s="96">
        <f>ROUND(MAX((AD9)*{0.03;0.1;0.2;0.25;0.3;0.35;0.45}-{0;2520;16920;31920;52920;85920;181920},0),2)</f>
        <v>145.28</v>
      </c>
      <c r="AF9" s="97">
        <f>IFERROR(VLOOKUP(E:E,'（居民）工资表-4月'!E:AF,28,0)+VLOOKUP(E:E,'（居民）工资表-4月'!E:AG,29,0),0)</f>
        <v>116.08</v>
      </c>
      <c r="AG9" s="97">
        <f t="shared" si="8"/>
        <v>29.2</v>
      </c>
      <c r="AH9" s="107">
        <f t="shared" si="9"/>
        <v>5944</v>
      </c>
      <c r="AI9" s="108"/>
      <c r="AJ9" s="107">
        <f t="shared" si="13"/>
        <v>5944</v>
      </c>
      <c r="AK9" s="109"/>
      <c r="AL9" s="107">
        <f t="shared" si="14"/>
        <v>5973.2</v>
      </c>
      <c r="AM9" s="109"/>
      <c r="AN9" s="109"/>
      <c r="AO9" s="109"/>
      <c r="AP9" s="109"/>
      <c r="AQ9" s="109"/>
      <c r="AR9" s="116" t="str">
        <f t="shared" si="15"/>
        <v>正确</v>
      </c>
      <c r="AS9" s="116" t="str">
        <f t="shared" si="16"/>
        <v>不</v>
      </c>
      <c r="AT9" s="116" t="str">
        <f t="shared" si="17"/>
        <v>重复</v>
      </c>
      <c r="AU9" s="12" t="s">
        <v>162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168</v>
      </c>
      <c r="D10" s="37" t="s">
        <v>143</v>
      </c>
      <c r="E10" s="326" t="s">
        <v>169</v>
      </c>
      <c r="F10" s="38" t="s">
        <v>148</v>
      </c>
      <c r="G10" s="39" t="s">
        <v>170</v>
      </c>
      <c r="H10" s="40"/>
      <c r="I10" s="40"/>
      <c r="J10" s="69"/>
      <c r="K10" s="40"/>
      <c r="L10" s="70">
        <f>VLOOKUP(C10,[2]Sheet1!$B$2:$C$16,2,0)</f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10"/>
        <v>629.86</v>
      </c>
      <c r="R10" s="70">
        <v>0</v>
      </c>
      <c r="S10" s="90">
        <f>L10+IFERROR(VLOOKUP($E:$E,'（居民）工资表-4月'!$E:$S,15,0),0)</f>
        <v>22629.2</v>
      </c>
      <c r="T10" s="91">
        <f>5000+IFERROR(VLOOKUP($E:$E,'（居民）工资表-4月'!$E:$T,16,0),0)</f>
        <v>25000</v>
      </c>
      <c r="U10" s="91">
        <f>Q10+IFERROR(VLOOKUP($E:$E,'（居民）工资表-4月'!$E:$U,17,0),0)</f>
        <v>3149.3</v>
      </c>
      <c r="V10" s="70"/>
      <c r="W10" s="70"/>
      <c r="X10" s="70"/>
      <c r="Y10" s="70"/>
      <c r="Z10" s="70"/>
      <c r="AA10" s="70"/>
      <c r="AB10" s="90">
        <f t="shared" si="11"/>
        <v>0</v>
      </c>
      <c r="AC10" s="90">
        <f>R10+IFERROR(VLOOKUP($E:$E,'（居民）工资表-4月'!$E:$AC,25,0),0)</f>
        <v>0</v>
      </c>
      <c r="AD10" s="95">
        <f t="shared" si="12"/>
        <v>-5520.1</v>
      </c>
      <c r="AE10" s="96">
        <f>ROUND(MAX((AD10)*{0.03;0.1;0.2;0.25;0.3;0.35;0.45}-{0;2520;16920;31920;52920;85920;181920},0),2)</f>
        <v>0</v>
      </c>
      <c r="AF10" s="97">
        <f>IFERROR(VLOOKUP(E:E,'（居民）工资表-4月'!E:AF,28,0)+VLOOKUP(E:E,'（居民）工资表-4月'!E:AG,29,0),0)</f>
        <v>0</v>
      </c>
      <c r="AG10" s="97">
        <f t="shared" si="8"/>
        <v>0</v>
      </c>
      <c r="AH10" s="107">
        <f t="shared" si="9"/>
        <v>3895.98</v>
      </c>
      <c r="AI10" s="108"/>
      <c r="AJ10" s="107">
        <f t="shared" si="13"/>
        <v>3895.98</v>
      </c>
      <c r="AK10" s="109"/>
      <c r="AL10" s="107">
        <f t="shared" si="14"/>
        <v>3895.98</v>
      </c>
      <c r="AM10" s="109"/>
      <c r="AN10" s="109"/>
      <c r="AO10" s="109"/>
      <c r="AP10" s="109"/>
      <c r="AQ10" s="109"/>
      <c r="AR10" s="116" t="str">
        <f t="shared" si="15"/>
        <v>正确</v>
      </c>
      <c r="AS10" s="116" t="str">
        <f t="shared" si="16"/>
        <v>不</v>
      </c>
      <c r="AT10" s="116" t="str">
        <f t="shared" si="17"/>
        <v>重复</v>
      </c>
      <c r="AU10" s="12" t="s">
        <v>166</v>
      </c>
      <c r="AV10" s="12" t="s">
        <v>167</v>
      </c>
    </row>
    <row r="11" s="12" customFormat="1" ht="18" customHeight="1" spans="1:48">
      <c r="A11" s="36">
        <v>8</v>
      </c>
      <c r="B11" s="37" t="s">
        <v>142</v>
      </c>
      <c r="C11" s="37" t="s">
        <v>173</v>
      </c>
      <c r="D11" s="37" t="s">
        <v>143</v>
      </c>
      <c r="E11" s="326" t="s">
        <v>174</v>
      </c>
      <c r="F11" s="38" t="s">
        <v>144</v>
      </c>
      <c r="G11" s="39">
        <v>18356553626</v>
      </c>
      <c r="H11" s="40"/>
      <c r="I11" s="40"/>
      <c r="J11" s="69"/>
      <c r="K11" s="40"/>
      <c r="L11" s="70">
        <f>VLOOKUP(C11,[2]Sheet1!$B$2:$C$16,2,0)</f>
        <v>8500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10"/>
        <v>559</v>
      </c>
      <c r="R11" s="70">
        <v>0</v>
      </c>
      <c r="S11" s="90">
        <f>L11+IFERROR(VLOOKUP($E:$E,'（居民）工资表-4月'!$E:$S,15,0),0)</f>
        <v>42500</v>
      </c>
      <c r="T11" s="91">
        <f>5000+IFERROR(VLOOKUP($E:$E,'（居民）工资表-4月'!$E:$T,16,0),0)</f>
        <v>25000</v>
      </c>
      <c r="U11" s="91">
        <f>Q11+IFERROR(VLOOKUP($E:$E,'（居民）工资表-4月'!$E:$U,17,0),0)</f>
        <v>2795</v>
      </c>
      <c r="V11" s="70"/>
      <c r="W11" s="70"/>
      <c r="X11" s="70"/>
      <c r="Y11" s="70"/>
      <c r="Z11" s="70"/>
      <c r="AA11" s="70"/>
      <c r="AB11" s="90">
        <f t="shared" si="11"/>
        <v>0</v>
      </c>
      <c r="AC11" s="90">
        <f>R11+IFERROR(VLOOKUP($E:$E,'（居民）工资表-4月'!$E:$AC,25,0),0)</f>
        <v>0</v>
      </c>
      <c r="AD11" s="95">
        <f t="shared" si="12"/>
        <v>14705</v>
      </c>
      <c r="AE11" s="96">
        <f>ROUND(MAX((AD11)*{0.03;0.1;0.2;0.25;0.3;0.35;0.45}-{0;2520;16920;31920;52920;85920;181920},0),2)</f>
        <v>441.15</v>
      </c>
      <c r="AF11" s="97">
        <f>IFERROR(VLOOKUP(E:E,'（居民）工资表-4月'!E:AF,28,0)+VLOOKUP(E:E,'（居民）工资表-4月'!E:AG,29,0),0)</f>
        <v>352.92</v>
      </c>
      <c r="AG11" s="97">
        <f t="shared" si="8"/>
        <v>88.23</v>
      </c>
      <c r="AH11" s="107">
        <f t="shared" si="9"/>
        <v>7852.77</v>
      </c>
      <c r="AI11" s="108"/>
      <c r="AJ11" s="107">
        <f t="shared" si="13"/>
        <v>7852.77</v>
      </c>
      <c r="AK11" s="109"/>
      <c r="AL11" s="107">
        <f t="shared" si="14"/>
        <v>7941</v>
      </c>
      <c r="AM11" s="109"/>
      <c r="AN11" s="109"/>
      <c r="AO11" s="109"/>
      <c r="AP11" s="109"/>
      <c r="AQ11" s="109"/>
      <c r="AR11" s="116" t="str">
        <f t="shared" si="15"/>
        <v>正确</v>
      </c>
      <c r="AS11" s="116" t="str">
        <f t="shared" si="16"/>
        <v>不</v>
      </c>
      <c r="AT11" s="116" t="str">
        <f t="shared" si="17"/>
        <v>重复</v>
      </c>
      <c r="AU11" s="12" t="s">
        <v>171</v>
      </c>
      <c r="AV11" s="12" t="s">
        <v>172</v>
      </c>
    </row>
    <row r="12" s="12" customFormat="1" ht="18" customHeight="1" spans="1:48">
      <c r="A12" s="36">
        <v>9</v>
      </c>
      <c r="B12" s="37" t="s">
        <v>142</v>
      </c>
      <c r="C12" s="37" t="s">
        <v>175</v>
      </c>
      <c r="D12" s="37" t="s">
        <v>143</v>
      </c>
      <c r="E12" s="326" t="s">
        <v>176</v>
      </c>
      <c r="F12" s="38" t="s">
        <v>144</v>
      </c>
      <c r="G12" s="39">
        <v>18326897140</v>
      </c>
      <c r="H12" s="40"/>
      <c r="I12" s="40"/>
      <c r="J12" s="69"/>
      <c r="K12" s="40"/>
      <c r="L12" s="70">
        <f>VLOOKUP(C12,[2]Sheet1!$B$2:$C$16,2,0)</f>
        <v>7000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10"/>
        <v>772</v>
      </c>
      <c r="R12" s="70">
        <v>0</v>
      </c>
      <c r="S12" s="90">
        <f>L12+IFERROR(VLOOKUP($E:$E,'（居民）工资表-4月'!$E:$S,15,0),0)</f>
        <v>35000</v>
      </c>
      <c r="T12" s="91">
        <f>5000+IFERROR(VLOOKUP($E:$E,'（居民）工资表-4月'!$E:$T,16,0),0)</f>
        <v>25000</v>
      </c>
      <c r="U12" s="91">
        <f>Q12+IFERROR(VLOOKUP($E:$E,'（居民）工资表-4月'!$E:$U,17,0),0)</f>
        <v>3860</v>
      </c>
      <c r="V12" s="70"/>
      <c r="W12" s="70"/>
      <c r="X12" s="70"/>
      <c r="Y12" s="70"/>
      <c r="Z12" s="70"/>
      <c r="AA12" s="70"/>
      <c r="AB12" s="90">
        <f t="shared" si="11"/>
        <v>0</v>
      </c>
      <c r="AC12" s="90">
        <f>R12+IFERROR(VLOOKUP($E:$E,'（居民）工资表-4月'!$E:$AC,25,0),0)</f>
        <v>0</v>
      </c>
      <c r="AD12" s="95">
        <f t="shared" si="12"/>
        <v>6140</v>
      </c>
      <c r="AE12" s="96">
        <f>ROUND(MAX((AD12)*{0.03;0.1;0.2;0.25;0.3;0.35;0.45}-{0;2520;16920;31920;52920;85920;181920},0),2)</f>
        <v>184.2</v>
      </c>
      <c r="AF12" s="97">
        <f>IFERROR(VLOOKUP(E:E,'（居民）工资表-4月'!E:AF,28,0)+VLOOKUP(E:E,'（居民）工资表-4月'!E:AG,29,0),0)</f>
        <v>147.36</v>
      </c>
      <c r="AG12" s="97">
        <f t="shared" si="8"/>
        <v>36.84</v>
      </c>
      <c r="AH12" s="107">
        <f t="shared" si="9"/>
        <v>6191.16</v>
      </c>
      <c r="AI12" s="108"/>
      <c r="AJ12" s="107">
        <f t="shared" si="13"/>
        <v>6191.16</v>
      </c>
      <c r="AK12" s="109"/>
      <c r="AL12" s="107">
        <f t="shared" si="14"/>
        <v>6228</v>
      </c>
      <c r="AM12" s="109"/>
      <c r="AN12" s="109"/>
      <c r="AO12" s="109"/>
      <c r="AP12" s="109"/>
      <c r="AQ12" s="109"/>
      <c r="AR12" s="116" t="str">
        <f t="shared" si="15"/>
        <v>正确</v>
      </c>
      <c r="AS12" s="116" t="str">
        <f t="shared" si="16"/>
        <v>不</v>
      </c>
      <c r="AT12" s="116" t="str">
        <f t="shared" si="17"/>
        <v>重复</v>
      </c>
      <c r="AU12" s="12" t="s">
        <v>157</v>
      </c>
      <c r="AV12" s="12" t="s">
        <v>51</v>
      </c>
    </row>
    <row r="13" s="12" customFormat="1" ht="18" customHeight="1" spans="1:48">
      <c r="A13" s="36">
        <v>10</v>
      </c>
      <c r="B13" s="37" t="s">
        <v>142</v>
      </c>
      <c r="C13" s="37" t="s">
        <v>177</v>
      </c>
      <c r="D13" s="37" t="s">
        <v>143</v>
      </c>
      <c r="E13" s="326" t="s">
        <v>178</v>
      </c>
      <c r="F13" s="38" t="s">
        <v>144</v>
      </c>
      <c r="G13" s="39">
        <v>17201857014</v>
      </c>
      <c r="H13" s="40"/>
      <c r="I13" s="40"/>
      <c r="J13" s="69"/>
      <c r="K13" s="40"/>
      <c r="L13" s="70">
        <f>VLOOKUP(C13,[2]Sheet1!$B$2:$C$16,2,0)</f>
        <v>7000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10"/>
        <v>772</v>
      </c>
      <c r="R13" s="70">
        <v>0</v>
      </c>
      <c r="S13" s="90">
        <f>L13+IFERROR(VLOOKUP($E:$E,'（居民）工资表-4月'!$E:$S,15,0),0)</f>
        <v>35608.7</v>
      </c>
      <c r="T13" s="91">
        <f>5000+IFERROR(VLOOKUP($E:$E,'（居民）工资表-4月'!$E:$T,16,0),0)</f>
        <v>25000</v>
      </c>
      <c r="U13" s="91">
        <f>Q13+IFERROR(VLOOKUP($E:$E,'（居民）工资表-4月'!$E:$U,17,0),0)</f>
        <v>3860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R13+IFERROR(VLOOKUP($E:$E,'（居民）工资表-4月'!$E:$AC,25,0),0)</f>
        <v>0</v>
      </c>
      <c r="AD13" s="95">
        <f t="shared" si="12"/>
        <v>6748.7</v>
      </c>
      <c r="AE13" s="96">
        <f>ROUND(MAX((AD13)*{0.03;0.1;0.2;0.25;0.3;0.35;0.45}-{0;2520;16920;31920;52920;85920;181920},0),2)</f>
        <v>202.46</v>
      </c>
      <c r="AF13" s="97">
        <f>IFERROR(VLOOKUP(E:E,'（居民）工资表-4月'!E:AF,28,0)+VLOOKUP(E:E,'（居民）工资表-4月'!E:AG,29,0),0)</f>
        <v>165.62</v>
      </c>
      <c r="AG13" s="97">
        <f t="shared" si="8"/>
        <v>36.84</v>
      </c>
      <c r="AH13" s="107">
        <f t="shared" si="9"/>
        <v>6191.16</v>
      </c>
      <c r="AI13" s="108"/>
      <c r="AJ13" s="107">
        <f t="shared" si="13"/>
        <v>6191.16</v>
      </c>
      <c r="AK13" s="109"/>
      <c r="AL13" s="107">
        <f t="shared" si="14"/>
        <v>6228</v>
      </c>
      <c r="AM13" s="109"/>
      <c r="AN13" s="109"/>
      <c r="AO13" s="109"/>
      <c r="AP13" s="109"/>
      <c r="AQ13" s="109"/>
      <c r="AR13" s="116" t="str">
        <f t="shared" si="15"/>
        <v>正确</v>
      </c>
      <c r="AS13" s="116" t="str">
        <f t="shared" si="16"/>
        <v>不</v>
      </c>
      <c r="AT13" s="116" t="str">
        <f t="shared" si="17"/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179</v>
      </c>
      <c r="D14" s="37" t="s">
        <v>143</v>
      </c>
      <c r="E14" s="326" t="s">
        <v>180</v>
      </c>
      <c r="F14" s="38" t="s">
        <v>148</v>
      </c>
      <c r="G14" s="39" t="s">
        <v>181</v>
      </c>
      <c r="H14" s="40"/>
      <c r="I14" s="40"/>
      <c r="J14" s="69"/>
      <c r="K14" s="40"/>
      <c r="L14" s="70">
        <f>VLOOKUP(C14,[2]Sheet1!$B$2:$C$16,2,0)</f>
        <v>7000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10"/>
        <v>559</v>
      </c>
      <c r="R14" s="70">
        <v>0</v>
      </c>
      <c r="S14" s="90">
        <f>L14+IFERROR(VLOOKUP($E:$E,'（居民）工资表-4月'!$E:$S,15,0),0)</f>
        <v>35000</v>
      </c>
      <c r="T14" s="91">
        <f>5000+IFERROR(VLOOKUP($E:$E,'（居民）工资表-4月'!$E:$T,16,0),0)</f>
        <v>25000</v>
      </c>
      <c r="U14" s="91">
        <f>Q14+IFERROR(VLOOKUP($E:$E,'（居民）工资表-4月'!$E:$U,17,0),0)</f>
        <v>2795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R14+IFERROR(VLOOKUP($E:$E,'（居民）工资表-4月'!$E:$AC,25,0),0)</f>
        <v>0</v>
      </c>
      <c r="AD14" s="95">
        <f t="shared" si="12"/>
        <v>7205</v>
      </c>
      <c r="AE14" s="96">
        <f>ROUND(MAX((AD14)*{0.03;0.1;0.2;0.25;0.3;0.35;0.45}-{0;2520;16920;31920;52920;85920;181920},0),2)</f>
        <v>216.15</v>
      </c>
      <c r="AF14" s="97">
        <f>IFERROR(VLOOKUP(E:E,'（居民）工资表-4月'!E:AF,28,0)+VLOOKUP(E:E,'（居民）工资表-4月'!E:AG,29,0),0)</f>
        <v>172.92</v>
      </c>
      <c r="AG14" s="97">
        <f t="shared" si="8"/>
        <v>43.23</v>
      </c>
      <c r="AH14" s="107">
        <f t="shared" si="9"/>
        <v>6397.77</v>
      </c>
      <c r="AI14" s="108"/>
      <c r="AJ14" s="107">
        <f t="shared" si="13"/>
        <v>6397.77</v>
      </c>
      <c r="AK14" s="109"/>
      <c r="AL14" s="107">
        <f t="shared" si="14"/>
        <v>6441</v>
      </c>
      <c r="AM14" s="109"/>
      <c r="AN14" s="109"/>
      <c r="AO14" s="109"/>
      <c r="AP14" s="109"/>
      <c r="AQ14" s="109"/>
      <c r="AR14" s="116" t="str">
        <f t="shared" si="15"/>
        <v>正确</v>
      </c>
      <c r="AS14" s="116" t="str">
        <f t="shared" si="16"/>
        <v>不</v>
      </c>
      <c r="AT14" s="116" t="str">
        <f t="shared" si="17"/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182</v>
      </c>
      <c r="D15" s="37" t="s">
        <v>143</v>
      </c>
      <c r="E15" s="326" t="s">
        <v>183</v>
      </c>
      <c r="F15" s="38" t="s">
        <v>148</v>
      </c>
      <c r="G15" s="39">
        <v>15855788591</v>
      </c>
      <c r="H15" s="40"/>
      <c r="I15" s="40"/>
      <c r="J15" s="69"/>
      <c r="K15" s="40"/>
      <c r="L15" s="70">
        <f>VLOOKUP(C15,[2]Sheet1!$B$2:$C$16,2,0)</f>
        <v>6060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10"/>
        <v>527.71</v>
      </c>
      <c r="R15" s="70">
        <v>0</v>
      </c>
      <c r="S15" s="90">
        <f>L15+IFERROR(VLOOKUP($E:$E,'（居民）工资表-4月'!$E:$S,15,0),0)</f>
        <v>31061.74</v>
      </c>
      <c r="T15" s="91">
        <f>5000+IFERROR(VLOOKUP($E:$E,'（居民）工资表-4月'!$E:$T,16,0),0)</f>
        <v>25000</v>
      </c>
      <c r="U15" s="91">
        <f>Q15+IFERROR(VLOOKUP($E:$E,'（居民）工资表-4月'!$E:$U,17,0),0)</f>
        <v>2638.55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R15+IFERROR(VLOOKUP($E:$E,'（居民）工资表-4月'!$E:$AC,25,0),0)</f>
        <v>0</v>
      </c>
      <c r="AD15" s="95">
        <f t="shared" si="12"/>
        <v>3423.19</v>
      </c>
      <c r="AE15" s="96">
        <f>ROUND(MAX((AD15)*{0.03;0.1;0.2;0.25;0.3;0.35;0.45}-{0;2520;16920;31920;52920;85920;181920},0),2)</f>
        <v>102.7</v>
      </c>
      <c r="AF15" s="97">
        <f>IFERROR(VLOOKUP(E:E,'（居民）工资表-4月'!E:AF,28,0)+VLOOKUP(E:E,'（居民）工资表-4月'!E:AG,29,0),0)</f>
        <v>86.73</v>
      </c>
      <c r="AG15" s="97">
        <f t="shared" si="8"/>
        <v>15.97</v>
      </c>
      <c r="AH15" s="107">
        <f t="shared" si="9"/>
        <v>5516.32</v>
      </c>
      <c r="AI15" s="108"/>
      <c r="AJ15" s="107">
        <f t="shared" si="13"/>
        <v>5516.32</v>
      </c>
      <c r="AK15" s="109"/>
      <c r="AL15" s="107">
        <f t="shared" si="14"/>
        <v>5532.29</v>
      </c>
      <c r="AM15" s="109"/>
      <c r="AN15" s="109"/>
      <c r="AO15" s="109"/>
      <c r="AP15" s="109"/>
      <c r="AQ15" s="109"/>
      <c r="AR15" s="116" t="str">
        <f t="shared" si="15"/>
        <v>正确</v>
      </c>
      <c r="AS15" s="116" t="str">
        <f t="shared" si="16"/>
        <v>不</v>
      </c>
      <c r="AT15" s="116" t="str">
        <f t="shared" si="17"/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186</v>
      </c>
      <c r="D16" s="37" t="s">
        <v>143</v>
      </c>
      <c r="E16" s="326" t="s">
        <v>187</v>
      </c>
      <c r="F16" s="38" t="s">
        <v>148</v>
      </c>
      <c r="G16" s="39"/>
      <c r="H16" s="40"/>
      <c r="I16" s="40"/>
      <c r="J16" s="69"/>
      <c r="K16" s="40"/>
      <c r="L16" s="70">
        <f>VLOOKUP(C16,[2]Sheet1!$B$2:$C$16,2,0)</f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10"/>
        <v>525</v>
      </c>
      <c r="R16" s="70">
        <v>0</v>
      </c>
      <c r="S16" s="90">
        <f>L16+IFERROR(VLOOKUP($E:$E,'（居民）工资表-4月'!$E:$S,15,0),0)</f>
        <v>30000</v>
      </c>
      <c r="T16" s="91">
        <f>5000+IFERROR(VLOOKUP($E:$E,'（居民）工资表-4月'!$E:$T,16,0),0)</f>
        <v>25000</v>
      </c>
      <c r="U16" s="91">
        <f>Q16+IFERROR(VLOOKUP($E:$E,'（居民）工资表-4月'!$E:$U,17,0),0)</f>
        <v>2625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R16+IFERROR(VLOOKUP($E:$E,'（居民）工资表-4月'!$E:$AC,25,0),0)</f>
        <v>0</v>
      </c>
      <c r="AD16" s="95">
        <f t="shared" si="12"/>
        <v>2375</v>
      </c>
      <c r="AE16" s="96">
        <f>ROUND(MAX((AD16)*{0.03;0.1;0.2;0.25;0.3;0.35;0.45}-{0;2520;16920;31920;52920;85920;181920},0),2)</f>
        <v>71.25</v>
      </c>
      <c r="AF16" s="97">
        <f>IFERROR(VLOOKUP(E:E,'（居民）工资表-4月'!E:AF,28,0)+VLOOKUP(E:E,'（居民）工资表-4月'!E:AG,29,0),0)</f>
        <v>57</v>
      </c>
      <c r="AG16" s="97">
        <f t="shared" si="8"/>
        <v>14.25</v>
      </c>
      <c r="AH16" s="107">
        <f t="shared" si="9"/>
        <v>5460.75</v>
      </c>
      <c r="AI16" s="108"/>
      <c r="AJ16" s="107">
        <f t="shared" si="13"/>
        <v>5460.75</v>
      </c>
      <c r="AK16" s="109"/>
      <c r="AL16" s="107">
        <f t="shared" si="14"/>
        <v>5475</v>
      </c>
      <c r="AM16" s="109"/>
      <c r="AN16" s="109"/>
      <c r="AO16" s="109"/>
      <c r="AP16" s="109"/>
      <c r="AQ16" s="109"/>
      <c r="AR16" s="116" t="str">
        <f t="shared" si="15"/>
        <v>正确</v>
      </c>
      <c r="AS16" s="116" t="str">
        <f t="shared" si="16"/>
        <v>不</v>
      </c>
      <c r="AT16" s="116" t="str">
        <f t="shared" si="17"/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212</v>
      </c>
      <c r="D17" s="37" t="s">
        <v>143</v>
      </c>
      <c r="E17" s="326" t="s">
        <v>213</v>
      </c>
      <c r="F17" s="38" t="s">
        <v>144</v>
      </c>
      <c r="G17" s="39">
        <v>15056587375</v>
      </c>
      <c r="H17" s="40"/>
      <c r="I17" s="40"/>
      <c r="J17" s="69"/>
      <c r="K17" s="40"/>
      <c r="L17" s="70">
        <f>VLOOKUP(C17,[2]Sheet1!$B$2:$C$16,2,0)</f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10"/>
        <v>527.71</v>
      </c>
      <c r="R17" s="70">
        <v>0</v>
      </c>
      <c r="S17" s="90">
        <f>L17+IFERROR(VLOOKUP($E:$E,'（居民）工资表-4月'!$E:$S,15,0),0)</f>
        <v>37556.93</v>
      </c>
      <c r="T17" s="91">
        <f>5000+IFERROR(VLOOKUP($E:$E,'（居民）工资表-4月'!$E:$T,16,0),0)</f>
        <v>20000</v>
      </c>
      <c r="U17" s="91">
        <f>Q17+IFERROR(VLOOKUP($E:$E,'（居民）工资表-4月'!$E:$U,17,0),0)</f>
        <v>3166.26</v>
      </c>
      <c r="V17" s="70"/>
      <c r="W17" s="70"/>
      <c r="X17" s="70"/>
      <c r="Y17" s="70"/>
      <c r="Z17" s="70"/>
      <c r="AA17" s="70"/>
      <c r="AB17" s="90">
        <f t="shared" si="11"/>
        <v>0</v>
      </c>
      <c r="AC17" s="90">
        <f>R17+IFERROR(VLOOKUP($E:$E,'（居民）工资表-4月'!$E:$AC,25,0),0)</f>
        <v>0</v>
      </c>
      <c r="AD17" s="95">
        <f t="shared" si="12"/>
        <v>14390.67</v>
      </c>
      <c r="AE17" s="96">
        <f>ROUND(MAX((AD17)*{0.03;0.1;0.2;0.25;0.3;0.35;0.45}-{0;2520;16920;31920;52920;85920;181920},0),2)</f>
        <v>431.72</v>
      </c>
      <c r="AF17" s="97">
        <f>IFERROR(VLOOKUP(E:E,'（居民）工资表-4月'!E:AF,28,0)+VLOOKUP(E:E,'（居民）工资表-4月'!E:AG,29,0),0)</f>
        <v>297.55</v>
      </c>
      <c r="AG17" s="97">
        <f t="shared" si="8"/>
        <v>134.17</v>
      </c>
      <c r="AH17" s="107">
        <f t="shared" si="9"/>
        <v>9338.12</v>
      </c>
      <c r="AI17" s="108"/>
      <c r="AJ17" s="107">
        <f t="shared" si="13"/>
        <v>9338.12</v>
      </c>
      <c r="AK17" s="109"/>
      <c r="AL17" s="107">
        <f t="shared" si="14"/>
        <v>9472.29</v>
      </c>
      <c r="AM17" s="109"/>
      <c r="AN17" s="109"/>
      <c r="AO17" s="109"/>
      <c r="AP17" s="109"/>
      <c r="AQ17" s="109"/>
      <c r="AR17" s="116" t="str">
        <f t="shared" si="15"/>
        <v>正确</v>
      </c>
      <c r="AS17" s="116" t="str">
        <f>IF(SUMPRODUCT(N(E$1:E$7=E17))&gt;1,"重复","不")</f>
        <v>不</v>
      </c>
      <c r="AT17" s="116" t="str">
        <f>IF(SUMPRODUCT(N(AO$1:AO$7=AO17))&gt;1,"重复","不")</f>
        <v>重复</v>
      </c>
      <c r="AU17" s="12" t="s">
        <v>162</v>
      </c>
      <c r="AV17" s="12" t="s">
        <v>51</v>
      </c>
    </row>
    <row r="18" s="12" customFormat="1" ht="18" customHeight="1" spans="1:48">
      <c r="A18" s="36">
        <v>15</v>
      </c>
      <c r="B18" s="37" t="s">
        <v>142</v>
      </c>
      <c r="C18" s="37" t="s">
        <v>214</v>
      </c>
      <c r="D18" s="37" t="s">
        <v>143</v>
      </c>
      <c r="E18" s="37" t="s">
        <v>215</v>
      </c>
      <c r="F18" s="38" t="s">
        <v>144</v>
      </c>
      <c r="G18" s="39">
        <v>13711361074</v>
      </c>
      <c r="H18" s="40"/>
      <c r="I18" s="40"/>
      <c r="J18" s="69"/>
      <c r="K18" s="40"/>
      <c r="L18" s="70">
        <f>VLOOKUP(C18,[2]Sheet1!$B$2:$C$16,2,0)</f>
        <v>6080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10"/>
        <v>552.57</v>
      </c>
      <c r="R18" s="70">
        <v>0</v>
      </c>
      <c r="S18" s="90">
        <f>L18+IFERROR(VLOOKUP($E:$E,'（居民）工资表-4月'!$E:$S,15,0),0)</f>
        <v>8106.67</v>
      </c>
      <c r="T18" s="91">
        <f>5000+IFERROR(VLOOKUP($E:$E,'（居民）工资表-4月'!$E:$T,16,0),0)</f>
        <v>10000</v>
      </c>
      <c r="U18" s="91">
        <f>Q18+IFERROR(VLOOKUP($E:$E,'（居民）工资表-4月'!$E:$U,17,0),0)</f>
        <v>1657.71</v>
      </c>
      <c r="V18" s="70"/>
      <c r="W18" s="70"/>
      <c r="X18" s="70"/>
      <c r="Y18" s="70"/>
      <c r="Z18" s="70"/>
      <c r="AA18" s="70"/>
      <c r="AB18" s="90">
        <f t="shared" si="11"/>
        <v>0</v>
      </c>
      <c r="AC18" s="90">
        <f>R18+IFERROR(VLOOKUP($E:$E,'（居民）工资表-4月'!$E:$AC,25,0),0)</f>
        <v>0</v>
      </c>
      <c r="AD18" s="95">
        <f t="shared" si="12"/>
        <v>-3551.04</v>
      </c>
      <c r="AE18" s="96">
        <f>ROUND(MAX((AD18)*{0.03;0.1;0.2;0.25;0.3;0.35;0.45}-{0;2520;16920;31920;52920;85920;181920},0),2)</f>
        <v>0</v>
      </c>
      <c r="AF18" s="97">
        <f>IFERROR(VLOOKUP(E:E,'（居民）工资表-4月'!E:AF,28,0)+VLOOKUP(E:E,'（居民）工资表-4月'!E:AG,29,0),0)</f>
        <v>0</v>
      </c>
      <c r="AG18" s="97">
        <f t="shared" si="8"/>
        <v>0</v>
      </c>
      <c r="AH18" s="107">
        <f t="shared" si="9"/>
        <v>5527.43</v>
      </c>
      <c r="AI18" s="108"/>
      <c r="AJ18" s="107">
        <f t="shared" si="13"/>
        <v>5527.43</v>
      </c>
      <c r="AK18" s="109"/>
      <c r="AL18" s="107">
        <f t="shared" si="14"/>
        <v>5527.43</v>
      </c>
      <c r="AM18" s="109"/>
      <c r="AN18" s="109"/>
      <c r="AO18" s="109"/>
      <c r="AP18" s="109"/>
      <c r="AQ18" s="109"/>
      <c r="AR18" s="116" t="str">
        <f t="shared" si="15"/>
        <v>正确</v>
      </c>
      <c r="AS18" s="116" t="str">
        <f>IF(SUMPRODUCT(N(E$1:E$7=E18))&gt;1,"重复","不")</f>
        <v>不</v>
      </c>
      <c r="AT18" s="116" t="str">
        <f>IF(SUMPRODUCT(N(AO$1:AO$7=AO18))&gt;1,"重复","不")</f>
        <v>重复</v>
      </c>
      <c r="AU18" s="12" t="s">
        <v>157</v>
      </c>
      <c r="AV18" s="12" t="s">
        <v>51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192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 t="shared" ref="L20:Q20" si="18">SUM(L4:L18)</f>
        <v>131925.84</v>
      </c>
      <c r="M20" s="74">
        <f t="shared" si="18"/>
        <v>5262.9</v>
      </c>
      <c r="N20" s="74">
        <f t="shared" si="18"/>
        <v>1492.43</v>
      </c>
      <c r="O20" s="74">
        <f t="shared" si="18"/>
        <v>282.62</v>
      </c>
      <c r="P20" s="74">
        <f t="shared" si="18"/>
        <v>2412.9</v>
      </c>
      <c r="Q20" s="74">
        <f t="shared" si="18"/>
        <v>9450.85</v>
      </c>
      <c r="R20" s="74">
        <f t="shared" ref="R20:AL20" si="19">SUM(R4:R18)</f>
        <v>0</v>
      </c>
      <c r="S20" s="74">
        <f t="shared" si="19"/>
        <v>622263.24</v>
      </c>
      <c r="T20" s="74">
        <f t="shared" si="19"/>
        <v>355000</v>
      </c>
      <c r="U20" s="74">
        <f t="shared" si="19"/>
        <v>46796.31</v>
      </c>
      <c r="V20" s="74">
        <f t="shared" si="19"/>
        <v>0</v>
      </c>
      <c r="W20" s="74">
        <f t="shared" si="19"/>
        <v>0</v>
      </c>
      <c r="X20" s="74">
        <f t="shared" si="19"/>
        <v>0</v>
      </c>
      <c r="Y20" s="74">
        <f t="shared" si="19"/>
        <v>0</v>
      </c>
      <c r="Z20" s="74">
        <f t="shared" si="19"/>
        <v>0</v>
      </c>
      <c r="AA20" s="74">
        <f t="shared" si="19"/>
        <v>0</v>
      </c>
      <c r="AB20" s="74">
        <f t="shared" si="19"/>
        <v>0</v>
      </c>
      <c r="AC20" s="74">
        <f t="shared" si="19"/>
        <v>0</v>
      </c>
      <c r="AD20" s="74">
        <f t="shared" si="19"/>
        <v>220466.93</v>
      </c>
      <c r="AE20" s="74">
        <f t="shared" si="19"/>
        <v>12805.16</v>
      </c>
      <c r="AF20" s="74">
        <f t="shared" si="19"/>
        <v>9675.8</v>
      </c>
      <c r="AG20" s="74">
        <f t="shared" si="19"/>
        <v>3129.36</v>
      </c>
      <c r="AH20" s="74">
        <f t="shared" si="19"/>
        <v>119345.63</v>
      </c>
      <c r="AI20" s="74">
        <f t="shared" si="19"/>
        <v>0</v>
      </c>
      <c r="AJ20" s="74">
        <f t="shared" si="19"/>
        <v>119345.63</v>
      </c>
      <c r="AK20" s="74">
        <f t="shared" si="19"/>
        <v>0</v>
      </c>
      <c r="AL20" s="74">
        <f t="shared" si="19"/>
        <v>122474.99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3">
      <c r="B24" s="47" t="s">
        <v>131</v>
      </c>
      <c r="C24" s="47" t="s">
        <v>193</v>
      </c>
      <c r="D24" s="47" t="s">
        <v>22</v>
      </c>
      <c r="E24" s="47" t="s">
        <v>23</v>
      </c>
      <c r="AD24" s="10"/>
      <c r="AG24" s="19"/>
    </row>
    <row r="25" ht="18.75" customHeight="1" spans="2:5">
      <c r="B25" s="48">
        <f>AJ20</f>
        <v>119345.63</v>
      </c>
      <c r="C25" s="48">
        <f>AG20</f>
        <v>3129.36</v>
      </c>
      <c r="D25" s="48">
        <f>AK20</f>
        <v>0</v>
      </c>
      <c r="E25" s="48">
        <f>B25+C25</f>
        <v>122474.99</v>
      </c>
    </row>
    <row r="26" spans="2:5">
      <c r="B26" s="49"/>
      <c r="C26" s="49"/>
      <c r="D26" s="49"/>
      <c r="E26" s="49"/>
    </row>
    <row r="27" s="14" customFormat="1" spans="1:35">
      <c r="A27" s="51" t="s">
        <v>194</v>
      </c>
      <c r="B27" s="52" t="s">
        <v>195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196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197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198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199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200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201</v>
      </c>
    </row>
    <row r="35" spans="2:2">
      <c r="B35" s="59" t="s">
        <v>202</v>
      </c>
    </row>
    <row r="36" spans="2:2">
      <c r="B36" s="59" t="s">
        <v>203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6" stopIfTrue="1"/>
  </conditionalFormatting>
  <conditionalFormatting sqref="B27:B31">
    <cfRule type="duplicateValues" dxfId="4" priority="7" stopIfTrue="1"/>
  </conditionalFormatting>
  <conditionalFormatting sqref="B35:B36">
    <cfRule type="duplicateValues" dxfId="4" priority="5" stopIfTrue="1"/>
  </conditionalFormatting>
  <conditionalFormatting sqref="C24:C26">
    <cfRule type="duplicateValues" dxfId="4" priority="8" stopIfTrue="1"/>
    <cfRule type="expression" dxfId="5" priority="9" stopIfTrue="1">
      <formula>AND(COUNTIF($B$20:$B$65456,C24)+COUNTIF($B$1:$B$3,C24)&gt;1,NOT(ISBLANK(C24)))</formula>
    </cfRule>
    <cfRule type="expression" dxfId="5" priority="10" stopIfTrue="1">
      <formula>AND(COUNTIF($B$31:$B$65407,C24)+COUNTIF($B$1:$B$30,C24)&gt;1,NOT(ISBLANK(C24)))</formula>
    </cfRule>
    <cfRule type="expression" dxfId="5" priority="11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rgb="FF00B050"/>
    <pageSetUpPr fitToPage="1"/>
  </sheetPr>
  <dimension ref="A1:AT36"/>
  <sheetViews>
    <sheetView tabSelected="1" workbookViewId="0">
      <pane xSplit="6" ySplit="3" topLeftCell="AF4" activePane="bottomRight" state="frozen"/>
      <selection/>
      <selection pane="topRight"/>
      <selection pane="bottomLeft"/>
      <selection pane="bottomRight" activeCell="AV1" sqref="AU$1:AV$104857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204</v>
      </c>
      <c r="AN2" s="29" t="s">
        <v>205</v>
      </c>
      <c r="AO2" s="114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>ROUND(SUM(M4:P4),2)</f>
        <v>588.7</v>
      </c>
      <c r="R4" s="70">
        <v>0</v>
      </c>
      <c r="S4" s="90">
        <f>L4+IFERROR(VLOOKUP($E:$E,'（居民）工资表-5月'!$E:$S,15,0),0)</f>
        <v>48000</v>
      </c>
      <c r="T4" s="91">
        <f>5000+IFERROR(VLOOKUP($E:$E,'（居民）工资表-5月'!$E:$T,16,0),0)</f>
        <v>30000</v>
      </c>
      <c r="U4" s="91">
        <f>Q4+IFERROR(VLOOKUP($E:$E,'（居民）工资表-5月'!$E:$U,17,0),0)</f>
        <v>3628.2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5">
        <f>ROUND(S4-T4-U4-AB4-AC4,2)</f>
        <v>14371.8</v>
      </c>
      <c r="AE4" s="96">
        <f>ROUND(MAX((AD4)*{0.03;0.1;0.2;0.25;0.3;0.35;0.45}-{0;2520;16920;31920;52920;85920;181920},0),2)</f>
        <v>431.15</v>
      </c>
      <c r="AF4" s="97">
        <f>IFERROR(VLOOKUP(E:E,'（居民）工资表-5月'!E:AF,28,0)+VLOOKUP(E:E,'（居民）工资表-5月'!E:AG,29,0),0)</f>
        <v>358.82</v>
      </c>
      <c r="AG4" s="97">
        <f>IF((AE4-AF4)&lt;0,0,AE4-AF4)</f>
        <v>72.3299999999999</v>
      </c>
      <c r="AH4" s="107">
        <f>ROUND(IF((L4-Q4-AG4)&lt;0,0,(L4-Q4-AG4)),2)</f>
        <v>7338.97</v>
      </c>
      <c r="AI4" s="108"/>
      <c r="AJ4" s="107">
        <f>AH4+AI4</f>
        <v>7338.97</v>
      </c>
      <c r="AK4" s="109"/>
      <c r="AL4" s="107">
        <f>AJ4+AG4+AK4</f>
        <v>7411.3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IF(SUMPRODUCT(N(E$1:E$19=E4))&gt;1,"重复","不")</f>
        <v>不</v>
      </c>
      <c r="AT4" s="116" t="str">
        <f>IF(SUMPRODUCT(N(AO$1:AO$19=AO4))&gt;1,"重复","不")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>ROUND(SUM(M5:P5),2)</f>
        <v>662.24</v>
      </c>
      <c r="R5" s="70">
        <v>0</v>
      </c>
      <c r="S5" s="90">
        <f>L5+IFERROR(VLOOKUP($E:$E,'（居民）工资表-5月'!$E:$S,15,0),0)</f>
        <v>34600</v>
      </c>
      <c r="T5" s="91">
        <f>5000+IFERROR(VLOOKUP($E:$E,'（居民）工资表-5月'!$E:$T,16,0),0)</f>
        <v>30000</v>
      </c>
      <c r="U5" s="91">
        <f>Q5+IFERROR(VLOOKUP($E:$E,'（居民）工资表-5月'!$E:$U,17,0),0)</f>
        <v>3973.44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R5+IFERROR(VLOOKUP($E:$E,'（居民）工资表-5月'!$E:$AC,25,0),0)</f>
        <v>0</v>
      </c>
      <c r="AD5" s="95">
        <f>ROUND(S5-T5-U5-AB5-AC5,2)</f>
        <v>626.56</v>
      </c>
      <c r="AE5" s="96">
        <f>ROUND(MAX((AD5)*{0.03;0.1;0.2;0.25;0.3;0.35;0.45}-{0;2520;16920;31920;52920;85920;181920},0),2)</f>
        <v>18.8</v>
      </c>
      <c r="AF5" s="97">
        <f>IFERROR(VLOOKUP(E:E,'（居民）工资表-5月'!E:AF,28,0)+VLOOKUP(E:E,'（居民）工资表-5月'!E:AG,29,0),0)</f>
        <v>5.66</v>
      </c>
      <c r="AG5" s="97">
        <f>IF((AE5-AF5)&lt;0,0,AE5-AF5)</f>
        <v>13.14</v>
      </c>
      <c r="AH5" s="107">
        <f>ROUND(IF((L5-Q5-AG5)&lt;0,0,(L5-Q5-AG5)),2)</f>
        <v>5424.62</v>
      </c>
      <c r="AI5" s="108"/>
      <c r="AJ5" s="107">
        <f>AH5+AI5</f>
        <v>5424.62</v>
      </c>
      <c r="AK5" s="109"/>
      <c r="AL5" s="107">
        <f>AJ5+AG5+AK5</f>
        <v>5437.76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IF(SUMPRODUCT(N(E$1:E$19=E5))&gt;1,"重复","不")</f>
        <v>不</v>
      </c>
      <c r="AT5" s="116" t="str">
        <f>IF(SUMPRODUCT(N(AO$1:AO$19=AO5))&gt;1,"重复","不")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>ROUND(SUM(M6:P6),2)</f>
        <v>948.55</v>
      </c>
      <c r="R6" s="70">
        <v>0</v>
      </c>
      <c r="S6" s="90">
        <f>L6+IFERROR(VLOOKUP($E:$E,'（居民）工资表-5月'!$E:$S,15,0),0)</f>
        <v>180360</v>
      </c>
      <c r="T6" s="91">
        <f>5000+IFERROR(VLOOKUP($E:$E,'（居民）工资表-5月'!$E:$T,16,0),0)</f>
        <v>30000</v>
      </c>
      <c r="U6" s="91">
        <f>Q6+IFERROR(VLOOKUP($E:$E,'（居民）工资表-5月'!$E:$U,17,0),0)</f>
        <v>5691.3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R6+IFERROR(VLOOKUP($E:$E,'（居民）工资表-5月'!$E:$AC,25,0),0)</f>
        <v>0</v>
      </c>
      <c r="AD6" s="95">
        <f>ROUND(S6-T6-U6-AB6-AC6,2)</f>
        <v>144668.7</v>
      </c>
      <c r="AE6" s="96">
        <f>ROUND(MAX((AD6)*{0.03;0.1;0.2;0.25;0.3;0.35;0.45}-{0;2520;16920;31920;52920;85920;181920},0),2)</f>
        <v>12013.74</v>
      </c>
      <c r="AF6" s="97">
        <f>IFERROR(VLOOKUP(E:E,'（居民）工资表-5月'!E:AF,28,0)+VLOOKUP(E:E,'（居民）工资表-5月'!E:AG,29,0),0)</f>
        <v>9535.73</v>
      </c>
      <c r="AG6" s="97">
        <f>IF((AE6-AF6)&lt;0,0,AE6-AF6)</f>
        <v>2478.01</v>
      </c>
      <c r="AH6" s="107">
        <f>ROUND(IF((L6-Q6-AG6)&lt;0,0,(L6-Q6-AG6)),2)</f>
        <v>26633.44</v>
      </c>
      <c r="AI6" s="108"/>
      <c r="AJ6" s="107">
        <f>AH6+AI6</f>
        <v>26633.44</v>
      </c>
      <c r="AK6" s="109"/>
      <c r="AL6" s="107">
        <f>AJ6+AG6+AK6</f>
        <v>29111.45</v>
      </c>
      <c r="AM6" s="109"/>
      <c r="AN6" s="109"/>
      <c r="AO6" s="109"/>
      <c r="AP6" s="109"/>
      <c r="AQ6" s="109"/>
      <c r="AR6" s="116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>IF(SUMPRODUCT(N(E$1:E$19=E6))&gt;1,"重复","不")</f>
        <v>不</v>
      </c>
      <c r="AT6" s="116" t="str">
        <f>IF(SUMPRODUCT(N(AO$1:AO$19=AO6))&gt;1,"重复","不")</f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ref="Q7:Q18" si="0">ROUND(SUM(M7:P7),2)</f>
        <v>527.71</v>
      </c>
      <c r="R7" s="70">
        <v>0</v>
      </c>
      <c r="S7" s="90">
        <f>L7+IFERROR(VLOOKUP($E:$E,'（居民）工资表-5月'!$E:$S,15,0),0)</f>
        <v>50000</v>
      </c>
      <c r="T7" s="91">
        <f>5000+IFERROR(VLOOKUP($E:$E,'（居民）工资表-5月'!$E:$T,16,0),0)</f>
        <v>30000</v>
      </c>
      <c r="U7" s="91">
        <f>Q7+IFERROR(VLOOKUP($E:$E,'（居民）工资表-5月'!$E:$U,17,0),0)</f>
        <v>3166.26</v>
      </c>
      <c r="V7" s="70"/>
      <c r="W7" s="70"/>
      <c r="X7" s="70"/>
      <c r="Y7" s="70"/>
      <c r="Z7" s="70"/>
      <c r="AA7" s="70"/>
      <c r="AB7" s="90">
        <f t="shared" ref="AB7:AB18" si="1">ROUND(SUM(V7:AA7),2)</f>
        <v>0</v>
      </c>
      <c r="AC7" s="90">
        <f>R7+IFERROR(VLOOKUP($E:$E,'（居民）工资表-5月'!$E:$AC,25,0),0)</f>
        <v>0</v>
      </c>
      <c r="AD7" s="95">
        <f t="shared" ref="AD7:AD18" si="2">ROUND(S7-T7-U7-AB7-AC7,2)</f>
        <v>16833.74</v>
      </c>
      <c r="AE7" s="96">
        <f>ROUND(MAX((AD7)*{0.03;0.1;0.2;0.25;0.3;0.35;0.45}-{0;2520;16920;31920;52920;85920;181920},0),2)</f>
        <v>505.01</v>
      </c>
      <c r="AF7" s="97">
        <f>IFERROR(VLOOKUP(E:E,'（居民）工资表-5月'!E:AF,28,0)+VLOOKUP(E:E,'（居民）工资表-5月'!E:AG,29,0),0)</f>
        <v>400.84</v>
      </c>
      <c r="AG7" s="97">
        <f t="shared" ref="AG7:AG18" si="3">IF((AE7-AF7)&lt;0,0,AE7-AF7)</f>
        <v>104.17</v>
      </c>
      <c r="AH7" s="107">
        <f t="shared" ref="AH7:AH18" si="4">ROUND(IF((L7-Q7-AG7)&lt;0,0,(L7-Q7-AG7)),2)</f>
        <v>8368.12</v>
      </c>
      <c r="AI7" s="108"/>
      <c r="AJ7" s="107">
        <f t="shared" ref="AJ7:AJ18" si="5">AH7+AI7</f>
        <v>8368.12</v>
      </c>
      <c r="AK7" s="109"/>
      <c r="AL7" s="107">
        <f t="shared" ref="AL7:AL18" si="6">AJ7+AG7+AK7</f>
        <v>8472.29</v>
      </c>
      <c r="AM7" s="109"/>
      <c r="AN7" s="109"/>
      <c r="AO7" s="109"/>
      <c r="AP7" s="109"/>
      <c r="AQ7" s="109"/>
      <c r="AR7" s="116" t="str">
        <f t="shared" ref="AR7:AR18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6" t="str">
        <f t="shared" ref="AS7:AS17" si="8">IF(SUMPRODUCT(N(E$1:E$19=E7))&gt;1,"重复","不")</f>
        <v>不</v>
      </c>
      <c r="AT7" s="116" t="str">
        <f t="shared" ref="AT7:AT17" si="9">IF(SUMPRODUCT(N(AO$1:AO$19=AO7))&gt;1,"重复","不")</f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si="0"/>
        <v>772</v>
      </c>
      <c r="R8" s="70">
        <v>0</v>
      </c>
      <c r="S8" s="90">
        <f>L8+IFERROR(VLOOKUP($E:$E,'（居民）工资表-5月'!$E:$S,15,0),0)</f>
        <v>63000</v>
      </c>
      <c r="T8" s="91">
        <f>5000+IFERROR(VLOOKUP($E:$E,'（居民）工资表-5月'!$E:$T,16,0),0)</f>
        <v>30000</v>
      </c>
      <c r="U8" s="91">
        <f>Q8+IFERROR(VLOOKUP($E:$E,'（居民）工资表-5月'!$E:$U,17,0),0)</f>
        <v>4632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R8+IFERROR(VLOOKUP($E:$E,'（居民）工资表-5月'!$E:$AC,25,0),0)</f>
        <v>0</v>
      </c>
      <c r="AD8" s="95">
        <f t="shared" si="2"/>
        <v>28368</v>
      </c>
      <c r="AE8" s="96">
        <f>ROUND(MAX((AD8)*{0.03;0.1;0.2;0.25;0.3;0.35;0.45}-{0;2520;16920;31920;52920;85920;181920},0),2)</f>
        <v>851.04</v>
      </c>
      <c r="AF8" s="97">
        <f>IFERROR(VLOOKUP(E:E,'（居民）工资表-5月'!E:AF,28,0)+VLOOKUP(E:E,'（居民）工资表-5月'!E:AG,29,0),0)</f>
        <v>709.2</v>
      </c>
      <c r="AG8" s="97">
        <f t="shared" si="3"/>
        <v>141.84</v>
      </c>
      <c r="AH8" s="107">
        <f t="shared" si="4"/>
        <v>9586.16</v>
      </c>
      <c r="AI8" s="108"/>
      <c r="AJ8" s="107">
        <f t="shared" si="5"/>
        <v>9586.16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0"/>
        <v>526.8</v>
      </c>
      <c r="R9" s="70">
        <v>0</v>
      </c>
      <c r="S9" s="90">
        <f>L9+IFERROR(VLOOKUP($E:$E,'（居民）工资表-5月'!$E:$S,15,0),0)</f>
        <v>39000</v>
      </c>
      <c r="T9" s="91">
        <f>5000+IFERROR(VLOOKUP($E:$E,'（居民）工资表-5月'!$E:$T,16,0),0)</f>
        <v>30000</v>
      </c>
      <c r="U9" s="91">
        <f>Q9+IFERROR(VLOOKUP($E:$E,'（居民）工资表-5月'!$E:$U,17,0),0)</f>
        <v>3184.29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R9+IFERROR(VLOOKUP($E:$E,'（居民）工资表-5月'!$E:$AC,25,0),0)</f>
        <v>0</v>
      </c>
      <c r="AD9" s="95">
        <f t="shared" si="2"/>
        <v>5815.71</v>
      </c>
      <c r="AE9" s="96">
        <f>ROUND(MAX((AD9)*{0.03;0.1;0.2;0.25;0.3;0.35;0.45}-{0;2520;16920;31920;52920;85920;181920},0),2)</f>
        <v>174.47</v>
      </c>
      <c r="AF9" s="97">
        <f>IFERROR(VLOOKUP(E:E,'（居民）工资表-5月'!E:AF,28,0)+VLOOKUP(E:E,'（居民）工资表-5月'!E:AG,29,0),0)</f>
        <v>145.28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168</v>
      </c>
      <c r="D10" s="37" t="s">
        <v>143</v>
      </c>
      <c r="E10" s="326" t="s">
        <v>169</v>
      </c>
      <c r="F10" s="38" t="s">
        <v>148</v>
      </c>
      <c r="G10" s="39" t="s">
        <v>170</v>
      </c>
      <c r="H10" s="40"/>
      <c r="I10" s="40"/>
      <c r="J10" s="69"/>
      <c r="K10" s="40"/>
      <c r="L10" s="70"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0"/>
        <v>629.86</v>
      </c>
      <c r="R10" s="70">
        <v>0</v>
      </c>
      <c r="S10" s="90">
        <f>L10+IFERROR(VLOOKUP($E:$E,'（居民）工资表-5月'!$E:$S,15,0),0)</f>
        <v>27155.04</v>
      </c>
      <c r="T10" s="91">
        <f>5000+IFERROR(VLOOKUP($E:$E,'（居民）工资表-5月'!$E:$T,16,0),0)</f>
        <v>30000</v>
      </c>
      <c r="U10" s="91">
        <f>Q10+IFERROR(VLOOKUP($E:$E,'（居民）工资表-5月'!$E:$U,17,0),0)</f>
        <v>3779.16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R10+IFERROR(VLOOKUP($E:$E,'（居民）工资表-5月'!$E:$AC,25,0),0)</f>
        <v>0</v>
      </c>
      <c r="AD10" s="95">
        <f t="shared" si="2"/>
        <v>-6624.12</v>
      </c>
      <c r="AE10" s="96">
        <f>ROUND(MAX((AD10)*{0.03;0.1;0.2;0.25;0.3;0.35;0.45}-{0;2520;16920;31920;52920;85920;181920},0),2)</f>
        <v>0</v>
      </c>
      <c r="AF10" s="97">
        <f>IFERROR(VLOOKUP(E:E,'（居民）工资表-5月'!E:AF,28,0)+VLOOKUP(E:E,'（居民）工资表-5月'!E:AG,29,0),0)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173</v>
      </c>
      <c r="D11" s="37" t="s">
        <v>143</v>
      </c>
      <c r="E11" s="326" t="s">
        <v>174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0"/>
        <v>559</v>
      </c>
      <c r="R11" s="70">
        <v>0</v>
      </c>
      <c r="S11" s="90">
        <f>L11+IFERROR(VLOOKUP($E:$E,'（居民）工资表-5月'!$E:$S,15,0),0)</f>
        <v>51000</v>
      </c>
      <c r="T11" s="91">
        <f>5000+IFERROR(VLOOKUP($E:$E,'（居民）工资表-5月'!$E:$T,16,0),0)</f>
        <v>30000</v>
      </c>
      <c r="U11" s="91">
        <f>Q11+IFERROR(VLOOKUP($E:$E,'（居民）工资表-5月'!$E:$U,17,0),0)</f>
        <v>3354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R11+IFERROR(VLOOKUP($E:$E,'（居民）工资表-5月'!$E:$AC,25,0),0)</f>
        <v>0</v>
      </c>
      <c r="AD11" s="95">
        <f t="shared" si="2"/>
        <v>17646</v>
      </c>
      <c r="AE11" s="96">
        <f>ROUND(MAX((AD11)*{0.03;0.1;0.2;0.25;0.3;0.35;0.45}-{0;2520;16920;31920;52920;85920;181920},0),2)</f>
        <v>529.38</v>
      </c>
      <c r="AF11" s="97">
        <f>IFERROR(VLOOKUP(E:E,'（居民）工资表-5月'!E:AF,28,0)+VLOOKUP(E:E,'（居民）工资表-5月'!E:AG,29,0),0)</f>
        <v>441.15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175</v>
      </c>
      <c r="D12" s="37" t="s">
        <v>143</v>
      </c>
      <c r="E12" s="326" t="s">
        <v>176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0"/>
        <v>772</v>
      </c>
      <c r="R12" s="70">
        <v>0</v>
      </c>
      <c r="S12" s="90">
        <f>L12+IFERROR(VLOOKUP($E:$E,'（居民）工资表-5月'!$E:$S,15,0),0)</f>
        <v>42000</v>
      </c>
      <c r="T12" s="91">
        <f>5000+IFERROR(VLOOKUP($E:$E,'（居民）工资表-5月'!$E:$T,16,0),0)</f>
        <v>30000</v>
      </c>
      <c r="U12" s="91">
        <f>Q12+IFERROR(VLOOKUP($E:$E,'（居民）工资表-5月'!$E:$U,17,0),0)</f>
        <v>4632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R12+IFERROR(VLOOKUP($E:$E,'（居民）工资表-5月'!$E:$AC,25,0),0)</f>
        <v>0</v>
      </c>
      <c r="AD12" s="95">
        <f t="shared" si="2"/>
        <v>7368</v>
      </c>
      <c r="AE12" s="96">
        <f>ROUND(MAX((AD12)*{0.03;0.1;0.2;0.25;0.3;0.35;0.45}-{0;2520;16920;31920;52920;85920;181920},0),2)</f>
        <v>221.04</v>
      </c>
      <c r="AF12" s="97">
        <f>IFERROR(VLOOKUP(E:E,'（居民）工资表-5月'!E:AF,28,0)+VLOOKUP(E:E,'（居民）工资表-5月'!E:AG,29,0),0)</f>
        <v>184.2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177</v>
      </c>
      <c r="D13" s="37" t="s">
        <v>143</v>
      </c>
      <c r="E13" s="326" t="s">
        <v>178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0"/>
        <v>772</v>
      </c>
      <c r="R13" s="70">
        <v>0</v>
      </c>
      <c r="S13" s="90">
        <f>L13+IFERROR(VLOOKUP($E:$E,'（居民）工资表-5月'!$E:$S,15,0),0)</f>
        <v>42608.7</v>
      </c>
      <c r="T13" s="91">
        <f>5000+IFERROR(VLOOKUP($E:$E,'（居民）工资表-5月'!$E:$T,16,0),0)</f>
        <v>30000</v>
      </c>
      <c r="U13" s="91">
        <f>Q13+IFERROR(VLOOKUP($E:$E,'（居民）工资表-5月'!$E:$U,17,0),0)</f>
        <v>4632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R13+IFERROR(VLOOKUP($E:$E,'（居民）工资表-5月'!$E:$AC,25,0),0)</f>
        <v>0</v>
      </c>
      <c r="AD13" s="95">
        <f t="shared" si="2"/>
        <v>7976.7</v>
      </c>
      <c r="AE13" s="96">
        <f>ROUND(MAX((AD13)*{0.03;0.1;0.2;0.25;0.3;0.35;0.45}-{0;2520;16920;31920;52920;85920;181920},0),2)</f>
        <v>239.3</v>
      </c>
      <c r="AF13" s="97">
        <f>IFERROR(VLOOKUP(E:E,'（居民）工资表-5月'!E:AF,28,0)+VLOOKUP(E:E,'（居民）工资表-5月'!E:AG,29,0),0)</f>
        <v>202.46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179</v>
      </c>
      <c r="D14" s="37" t="s">
        <v>143</v>
      </c>
      <c r="E14" s="326" t="s">
        <v>180</v>
      </c>
      <c r="F14" s="38" t="s">
        <v>148</v>
      </c>
      <c r="G14" s="39" t="s">
        <v>181</v>
      </c>
      <c r="H14" s="40"/>
      <c r="I14" s="40"/>
      <c r="J14" s="69"/>
      <c r="K14" s="40"/>
      <c r="L14" s="70">
        <v>7000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0"/>
        <v>559</v>
      </c>
      <c r="R14" s="70">
        <v>0</v>
      </c>
      <c r="S14" s="90">
        <f>L14+IFERROR(VLOOKUP($E:$E,'（居民）工资表-5月'!$E:$S,15,0),0)</f>
        <v>42000</v>
      </c>
      <c r="T14" s="91">
        <f>5000+IFERROR(VLOOKUP($E:$E,'（居民）工资表-5月'!$E:$T,16,0),0)</f>
        <v>30000</v>
      </c>
      <c r="U14" s="91">
        <f>Q14+IFERROR(VLOOKUP($E:$E,'（居民）工资表-5月'!$E:$U,17,0),0)</f>
        <v>3354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R14+IFERROR(VLOOKUP($E:$E,'（居民）工资表-5月'!$E:$AC,25,0),0)</f>
        <v>0</v>
      </c>
      <c r="AD14" s="95">
        <f t="shared" si="2"/>
        <v>8646</v>
      </c>
      <c r="AE14" s="96">
        <f>ROUND(MAX((AD14)*{0.03;0.1;0.2;0.25;0.3;0.35;0.45}-{0;2520;16920;31920;52920;85920;181920},0),2)</f>
        <v>259.38</v>
      </c>
      <c r="AF14" s="97">
        <f>IFERROR(VLOOKUP(E:E,'（居民）工资表-5月'!E:AF,28,0)+VLOOKUP(E:E,'（居民）工资表-5月'!E:AG,29,0),0)</f>
        <v>216.15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182</v>
      </c>
      <c r="D15" s="37" t="s">
        <v>143</v>
      </c>
      <c r="E15" s="326" t="s">
        <v>183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6060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0"/>
        <v>527.71</v>
      </c>
      <c r="R15" s="70">
        <v>0</v>
      </c>
      <c r="S15" s="90">
        <f>L15+IFERROR(VLOOKUP($E:$E,'（居民）工资表-5月'!$E:$S,15,0),0)</f>
        <v>37121.74</v>
      </c>
      <c r="T15" s="91">
        <f>5000+IFERROR(VLOOKUP($E:$E,'（居民）工资表-5月'!$E:$T,16,0),0)</f>
        <v>30000</v>
      </c>
      <c r="U15" s="91">
        <f>Q15+IFERROR(VLOOKUP($E:$E,'（居民）工资表-5月'!$E:$U,17,0),0)</f>
        <v>3166.26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R15+IFERROR(VLOOKUP($E:$E,'（居民）工资表-5月'!$E:$AC,25,0),0)</f>
        <v>0</v>
      </c>
      <c r="AD15" s="95">
        <f t="shared" si="2"/>
        <v>3955.48</v>
      </c>
      <c r="AE15" s="96">
        <f>ROUND(MAX((AD15)*{0.03;0.1;0.2;0.25;0.3;0.35;0.45}-{0;2520;16920;31920;52920;85920;181920},0),2)</f>
        <v>118.66</v>
      </c>
      <c r="AF15" s="97">
        <f>IFERROR(VLOOKUP(E:E,'（居民）工资表-5月'!E:AF,28,0)+VLOOKUP(E:E,'（居民）工资表-5月'!E:AG,29,0),0)</f>
        <v>102.7</v>
      </c>
      <c r="AG15" s="97">
        <f t="shared" si="3"/>
        <v>15.96</v>
      </c>
      <c r="AH15" s="107">
        <f t="shared" si="4"/>
        <v>5516.33</v>
      </c>
      <c r="AI15" s="108"/>
      <c r="AJ15" s="107">
        <f t="shared" si="5"/>
        <v>5516.33</v>
      </c>
      <c r="AK15" s="109"/>
      <c r="AL15" s="107">
        <f t="shared" si="6"/>
        <v>5532.29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186</v>
      </c>
      <c r="D16" s="37" t="s">
        <v>143</v>
      </c>
      <c r="E16" s="326" t="s">
        <v>187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0"/>
        <v>525</v>
      </c>
      <c r="R16" s="70">
        <v>0</v>
      </c>
      <c r="S16" s="90">
        <f>L16+IFERROR(VLOOKUP($E:$E,'（居民）工资表-5月'!$E:$S,15,0),0)</f>
        <v>36000</v>
      </c>
      <c r="T16" s="91">
        <f>5000+IFERROR(VLOOKUP($E:$E,'（居民）工资表-5月'!$E:$T,16,0),0)</f>
        <v>30000</v>
      </c>
      <c r="U16" s="91">
        <f>Q16+IFERROR(VLOOKUP($E:$E,'（居民）工资表-5月'!$E:$U,17,0),0)</f>
        <v>3150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R16+IFERROR(VLOOKUP($E:$E,'（居民）工资表-5月'!$E:$AC,25,0),0)</f>
        <v>0</v>
      </c>
      <c r="AD16" s="95">
        <f t="shared" si="2"/>
        <v>2850</v>
      </c>
      <c r="AE16" s="96">
        <f>ROUND(MAX((AD16)*{0.03;0.1;0.2;0.25;0.3;0.35;0.45}-{0;2520;16920;31920;52920;85920;181920},0),2)</f>
        <v>85.5</v>
      </c>
      <c r="AF16" s="97">
        <f>IFERROR(VLOOKUP(E:E,'（居民）工资表-5月'!E:AF,28,0)+VLOOKUP(E:E,'（居民）工资表-5月'!E:AG,29,0),0)</f>
        <v>71.25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212</v>
      </c>
      <c r="D17" s="37" t="s">
        <v>143</v>
      </c>
      <c r="E17" s="326" t="s">
        <v>213</v>
      </c>
      <c r="F17" s="38" t="s">
        <v>144</v>
      </c>
      <c r="G17" s="39">
        <v>15056587375</v>
      </c>
      <c r="H17" s="40"/>
      <c r="I17" s="40"/>
      <c r="J17" s="69"/>
      <c r="K17" s="40"/>
      <c r="L17" s="70"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0"/>
        <v>527.71</v>
      </c>
      <c r="R17" s="70">
        <v>0</v>
      </c>
      <c r="S17" s="90">
        <f>L17+IFERROR(VLOOKUP($E:$E,'（居民）工资表-5月'!$E:$S,15,0),0)</f>
        <v>47556.93</v>
      </c>
      <c r="T17" s="91">
        <f>5000+IFERROR(VLOOKUP($E:$E,'（居民）工资表-5月'!$E:$T,16,0),0)</f>
        <v>25000</v>
      </c>
      <c r="U17" s="91">
        <f>Q17+IFERROR(VLOOKUP($E:$E,'（居民）工资表-5月'!$E:$U,17,0),0)</f>
        <v>3693.97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R17+IFERROR(VLOOKUP($E:$E,'（居民）工资表-5月'!$E:$AC,25,0),0)</f>
        <v>0</v>
      </c>
      <c r="AD17" s="95">
        <f t="shared" si="2"/>
        <v>18862.96</v>
      </c>
      <c r="AE17" s="96">
        <f>ROUND(MAX((AD17)*{0.03;0.1;0.2;0.25;0.3;0.35;0.45}-{0;2520;16920;31920;52920;85920;181920},0),2)</f>
        <v>565.89</v>
      </c>
      <c r="AF17" s="97">
        <f>IFERROR(VLOOKUP(E:E,'（居民）工资表-5月'!E:AF,28,0)+VLOOKUP(E:E,'（居民）工资表-5月'!E:AG,29,0),0)</f>
        <v>431.72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 t="shared" si="8"/>
        <v>不</v>
      </c>
      <c r="AT17" s="116" t="str">
        <f t="shared" si="9"/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214</v>
      </c>
      <c r="D18" s="37" t="s">
        <v>143</v>
      </c>
      <c r="E18" s="37" t="s">
        <v>215</v>
      </c>
      <c r="F18" s="38" t="s">
        <v>144</v>
      </c>
      <c r="G18" s="39">
        <v>13711361074</v>
      </c>
      <c r="H18" s="40"/>
      <c r="I18" s="40"/>
      <c r="J18" s="69"/>
      <c r="K18" s="40"/>
      <c r="L18" s="70">
        <v>6080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0"/>
        <v>552.57</v>
      </c>
      <c r="R18" s="70">
        <v>0</v>
      </c>
      <c r="S18" s="90">
        <f>L18+IFERROR(VLOOKUP($E:$E,'（居民）工资表-5月'!$E:$S,15,0),0)</f>
        <v>14186.67</v>
      </c>
      <c r="T18" s="91">
        <f>5000+IFERROR(VLOOKUP($E:$E,'（居民）工资表-5月'!$E:$T,16,0),0)</f>
        <v>15000</v>
      </c>
      <c r="U18" s="91">
        <f>Q18+IFERROR(VLOOKUP($E:$E,'（居民）工资表-5月'!$E:$U,17,0),0)</f>
        <v>2210.28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R18+IFERROR(VLOOKUP($E:$E,'（居民）工资表-5月'!$E:$AC,25,0),0)</f>
        <v>0</v>
      </c>
      <c r="AD18" s="95">
        <f t="shared" si="2"/>
        <v>-3023.61</v>
      </c>
      <c r="AE18" s="96">
        <f>ROUND(MAX((AD18)*{0.03;0.1;0.2;0.25;0.3;0.35;0.45}-{0;2520;16920;31920;52920;85920;181920},0),2)</f>
        <v>0</v>
      </c>
      <c r="AF18" s="97">
        <f>IFERROR(VLOOKUP(E:E,'（居民）工资表-5月'!E:AF,28,0)+VLOOKUP(E:E,'（居民）工资表-5月'!E:AG,29,0),0)</f>
        <v>0</v>
      </c>
      <c r="AG18" s="97">
        <f t="shared" si="3"/>
        <v>0</v>
      </c>
      <c r="AH18" s="107">
        <f t="shared" si="4"/>
        <v>5527.43</v>
      </c>
      <c r="AI18" s="108"/>
      <c r="AJ18" s="107">
        <f t="shared" si="5"/>
        <v>5527.43</v>
      </c>
      <c r="AK18" s="109"/>
      <c r="AL18" s="107">
        <f t="shared" si="6"/>
        <v>5527.43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IF(SUMPRODUCT(N(E$1:E$19=E18))&gt;1,"重复","不")</f>
        <v>不</v>
      </c>
      <c r="AT18" s="116" t="str">
        <f>IF(SUMPRODUCT(N(AO$1:AO$19=AO18))&gt;1,"重复","不")</f>
        <v>重复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192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 t="shared" ref="L20:AL20" si="10">SUM(L4:L19)</f>
        <v>132325.84</v>
      </c>
      <c r="M20" s="74">
        <f t="shared" si="10"/>
        <v>5262.9</v>
      </c>
      <c r="N20" s="74">
        <f t="shared" si="10"/>
        <v>1492.43</v>
      </c>
      <c r="O20" s="74">
        <f t="shared" si="10"/>
        <v>282.62</v>
      </c>
      <c r="P20" s="74">
        <f t="shared" si="10"/>
        <v>2412.9</v>
      </c>
      <c r="Q20" s="74">
        <f t="shared" si="10"/>
        <v>9450.85</v>
      </c>
      <c r="R20" s="74">
        <f t="shared" si="10"/>
        <v>0</v>
      </c>
      <c r="S20" s="74">
        <f t="shared" si="10"/>
        <v>754589.08</v>
      </c>
      <c r="T20" s="74">
        <f t="shared" si="10"/>
        <v>430000</v>
      </c>
      <c r="U20" s="74">
        <f t="shared" si="10"/>
        <v>56247.16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268341.92</v>
      </c>
      <c r="AE20" s="74">
        <f t="shared" si="10"/>
        <v>16013.36</v>
      </c>
      <c r="AF20" s="74">
        <f t="shared" si="10"/>
        <v>12805.16</v>
      </c>
      <c r="AG20" s="74">
        <f t="shared" si="10"/>
        <v>3208.2</v>
      </c>
      <c r="AH20" s="74">
        <f t="shared" si="10"/>
        <v>119666.79</v>
      </c>
      <c r="AI20" s="126">
        <f t="shared" si="10"/>
        <v>0</v>
      </c>
      <c r="AJ20" s="74">
        <f t="shared" si="10"/>
        <v>119666.79</v>
      </c>
      <c r="AK20" s="74">
        <f t="shared" si="10"/>
        <v>0</v>
      </c>
      <c r="AL20" s="74">
        <f t="shared" si="10"/>
        <v>122874.99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6">
      <c r="B24" s="47" t="s">
        <v>131</v>
      </c>
      <c r="C24" s="47" t="s">
        <v>193</v>
      </c>
      <c r="D24" s="47" t="s">
        <v>22</v>
      </c>
      <c r="E24" s="47" t="s">
        <v>23</v>
      </c>
      <c r="AD24" s="10"/>
      <c r="AJ24" s="15">
        <v>80</v>
      </c>
    </row>
    <row r="25" ht="18.75" customHeight="1" spans="2:5">
      <c r="B25" s="48">
        <f>AJ20</f>
        <v>119666.79</v>
      </c>
      <c r="C25" s="48">
        <f>AG20</f>
        <v>3208.2</v>
      </c>
      <c r="D25" s="48">
        <f>AK20</f>
        <v>0</v>
      </c>
      <c r="E25" s="48">
        <f>B25+C25+D25</f>
        <v>122874.99</v>
      </c>
    </row>
    <row r="26" spans="2:5">
      <c r="B26" s="49"/>
      <c r="C26" s="49"/>
      <c r="D26" s="49"/>
      <c r="E26" s="49"/>
    </row>
    <row r="27" s="14" customFormat="1" spans="1:35">
      <c r="A27" s="51" t="s">
        <v>194</v>
      </c>
      <c r="B27" s="52" t="s">
        <v>195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196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197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198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199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200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201</v>
      </c>
    </row>
    <row r="35" spans="2:2">
      <c r="B35" s="59" t="s">
        <v>202</v>
      </c>
    </row>
    <row r="36" spans="2:2">
      <c r="B36" s="59" t="s">
        <v>203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rgb="FF00B050"/>
    <pageSetUpPr fitToPage="1"/>
  </sheetPr>
  <dimension ref="A1:AV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204</v>
      </c>
      <c r="AN2" s="29" t="s">
        <v>205</v>
      </c>
      <c r="AO2" s="114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342.66</v>
      </c>
      <c r="N4" s="71">
        <v>76.62</v>
      </c>
      <c r="O4" s="71">
        <v>12.85</v>
      </c>
      <c r="P4" s="71">
        <v>177</v>
      </c>
      <c r="Q4" s="89">
        <f>ROUND(SUM(M4:P4),2)</f>
        <v>609.13</v>
      </c>
      <c r="R4" s="70">
        <v>0</v>
      </c>
      <c r="S4" s="90">
        <f>L4+IFERROR(VLOOKUP($E:$E,'（居民）工资表-7月'!$E:$S,15,0),0)</f>
        <v>64000</v>
      </c>
      <c r="T4" s="91">
        <f>5000+IFERROR(VLOOKUP($E:$E,'（居民）工资表-7月'!$E:$T,16,0),0)</f>
        <v>40000</v>
      </c>
      <c r="U4" s="91">
        <f>Q4+IFERROR(VLOOKUP($E:$E,'（居民）工资表-7月'!$E:$U,17,0),0)</f>
        <v>4798.32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5">
        <f>ROUND(S4-T4-U4-AB4-AC4,2)</f>
        <v>19201.68</v>
      </c>
      <c r="AE4" s="96">
        <f>ROUND(MAX((AD4)*{0.03;0.1;0.2;0.25;0.3;0.35;0.45}-{0;2520;16920;31920;52920;85920;181920},0),2)</f>
        <v>576.05</v>
      </c>
      <c r="AF4" s="97">
        <f>IFERROR(VLOOKUP(E:E,'（居民）工资表-7月'!E:AF,28,0)+VLOOKUP(E:E,'（居民）工资表-7月'!E:AG,29,0),0)</f>
        <v>431.15</v>
      </c>
      <c r="AG4" s="97">
        <f>IF((AE4-AF4)&lt;0,0,AE4-AF4)</f>
        <v>144.9</v>
      </c>
      <c r="AH4" s="107">
        <f>ROUND(IF((L4-Q4-AG4)&lt;0,0,(L4-Q4-AG4)),2)</f>
        <v>7245.97</v>
      </c>
      <c r="AI4" s="108"/>
      <c r="AJ4" s="107">
        <f>AH4+AI4</f>
        <v>7245.97</v>
      </c>
      <c r="AK4" s="109"/>
      <c r="AL4" s="107">
        <f>AJ4+AG4+AK4</f>
        <v>7390.87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IF(SUMPRODUCT(N(E$1:E$18=E4))&gt;1,"重复","不")</f>
        <v>不</v>
      </c>
      <c r="AT4" s="116" t="str">
        <f>IF(SUMPRODUCT(N(AO$1:AO$18=AO4))&gt;1,"重复","不")</f>
        <v>重复</v>
      </c>
      <c r="AU4" s="12" t="s">
        <v>145</v>
      </c>
      <c r="AV4" s="12" t="s">
        <v>51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478.4</v>
      </c>
      <c r="N5" s="71">
        <v>113.48</v>
      </c>
      <c r="O5" s="71">
        <v>4.6</v>
      </c>
      <c r="P5" s="71">
        <v>115</v>
      </c>
      <c r="Q5" s="89">
        <f>ROUND(SUM(M5:P5),2)</f>
        <v>711.48</v>
      </c>
      <c r="R5" s="70">
        <v>0</v>
      </c>
      <c r="S5" s="90">
        <f>L5+IFERROR(VLOOKUP($E:$E,'（居民）工资表-7月'!$E:$S,15,0),0)</f>
        <v>46000</v>
      </c>
      <c r="T5" s="91">
        <f>5000+IFERROR(VLOOKUP($E:$E,'（居民）工资表-7月'!$E:$T,16,0),0)</f>
        <v>40000</v>
      </c>
      <c r="U5" s="91">
        <f>Q5+IFERROR(VLOOKUP($E:$E,'（居民）工资表-7月'!$E:$U,17,0),0)</f>
        <v>5285.04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R5+IFERROR(VLOOKUP($E:$E,'（居民）工资表-7月'!$E:$AC,25,0),0)</f>
        <v>0</v>
      </c>
      <c r="AD5" s="95">
        <f>ROUND(S5-T5-U5-AB5-AC5,2)</f>
        <v>714.96</v>
      </c>
      <c r="AE5" s="96">
        <f>ROUND(MAX((AD5)*{0.03;0.1;0.2;0.25;0.3;0.35;0.45}-{0;2520;16920;31920;52920;85920;181920},0),2)</f>
        <v>21.45</v>
      </c>
      <c r="AF5" s="97">
        <f>IFERROR(VLOOKUP(E:E,'（居民）工资表-7月'!E:AF,28,0)+VLOOKUP(E:E,'（居民）工资表-7月'!E:AG,29,0),0)</f>
        <v>18.8</v>
      </c>
      <c r="AG5" s="97">
        <f>IF((AE5-AF5)&lt;0,0,AE5-AF5)</f>
        <v>2.65</v>
      </c>
      <c r="AH5" s="107">
        <f>ROUND(IF((L5-Q5-AG5)&lt;0,0,(L5-Q5-AG5)),2)</f>
        <v>4985.87</v>
      </c>
      <c r="AI5" s="108"/>
      <c r="AJ5" s="107">
        <f>AH5+AI5</f>
        <v>4985.87</v>
      </c>
      <c r="AK5" s="109"/>
      <c r="AL5" s="107">
        <f>AJ5+AG5+AK5</f>
        <v>4988.52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IF(SUMPRODUCT(N(E$1:E$18=E5))&gt;1,"重复","不")</f>
        <v>不</v>
      </c>
      <c r="AT5" s="116" t="str">
        <f>IF(SUMPRODUCT(N(AO$1:AO$18=AO5))&gt;1,"重复","不")</f>
        <v>重复</v>
      </c>
      <c r="AU5" s="12" t="s">
        <v>50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31560</v>
      </c>
      <c r="M6" s="71">
        <v>584.8</v>
      </c>
      <c r="N6" s="71">
        <v>146.2</v>
      </c>
      <c r="O6" s="71">
        <v>36.55</v>
      </c>
      <c r="P6" s="71">
        <v>181.3</v>
      </c>
      <c r="Q6" s="89">
        <f t="shared" ref="Q6:Q19" si="0">ROUND(SUM(M6:P6),2)</f>
        <v>948.85</v>
      </c>
      <c r="R6" s="70">
        <v>0</v>
      </c>
      <c r="S6" s="90">
        <f>L6+IFERROR(VLOOKUP($E:$E,'（居民）工资表-7月'!$E:$S,15,0),0)</f>
        <v>242480</v>
      </c>
      <c r="T6" s="91">
        <f>5000+IFERROR(VLOOKUP($E:$E,'（居民）工资表-7月'!$E:$T,16,0),0)</f>
        <v>40000</v>
      </c>
      <c r="U6" s="91">
        <f>Q6+IFERROR(VLOOKUP($E:$E,'（居民）工资表-7月'!$E:$U,17,0),0)</f>
        <v>7589</v>
      </c>
      <c r="V6" s="70"/>
      <c r="W6" s="70"/>
      <c r="X6" s="70"/>
      <c r="Y6" s="70"/>
      <c r="Z6" s="70"/>
      <c r="AA6" s="70"/>
      <c r="AB6" s="90">
        <f t="shared" ref="AB6:AB19" si="1">ROUND(SUM(V6:AA6),2)</f>
        <v>0</v>
      </c>
      <c r="AC6" s="90">
        <f>R6+IFERROR(VLOOKUP($E:$E,'（居民）工资表-7月'!$E:$AC,25,0),0)</f>
        <v>0</v>
      </c>
      <c r="AD6" s="95">
        <f t="shared" ref="AD6:AD19" si="2">ROUND(S6-T6-U6-AB6-AC6,2)</f>
        <v>194891</v>
      </c>
      <c r="AE6" s="96">
        <f>ROUND(MAX((AD6)*{0.03;0.1;0.2;0.25;0.3;0.35;0.45}-{0;2520;16920;31920;52920;85920;181920},0),2)</f>
        <v>22058.2</v>
      </c>
      <c r="AF6" s="97">
        <f>IFERROR(VLOOKUP(E:E,'（居民）工资表-7月'!E:AF,28,0)+VLOOKUP(E:E,'（居民）工资表-7月'!E:AG,29,0),0)</f>
        <v>14835.97</v>
      </c>
      <c r="AG6" s="97">
        <f t="shared" ref="AG6:AG19" si="3">IF((AE6-AF6)&lt;0,0,AE6-AF6)</f>
        <v>7222.23</v>
      </c>
      <c r="AH6" s="107">
        <f t="shared" ref="AH6:AH19" si="4">ROUND(IF((L6-Q6-AG6)&lt;0,0,(L6-Q6-AG6)),2)</f>
        <v>23388.92</v>
      </c>
      <c r="AI6" s="108"/>
      <c r="AJ6" s="107">
        <f t="shared" ref="AJ6:AJ19" si="5">AH6+AI6</f>
        <v>23388.92</v>
      </c>
      <c r="AK6" s="109"/>
      <c r="AL6" s="107">
        <f t="shared" ref="AL6:AL19" si="6">AJ6+AG6+AK6</f>
        <v>30611.15</v>
      </c>
      <c r="AM6" s="109"/>
      <c r="AN6" s="109"/>
      <c r="AO6" s="109"/>
      <c r="AP6" s="109"/>
      <c r="AQ6" s="109"/>
      <c r="AR6" s="116" t="str">
        <f t="shared" ref="AR6:AR19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 t="shared" ref="AS6:AS16" si="8">IF(SUMPRODUCT(N(E$1:E$18=E6))&gt;1,"重复","不")</f>
        <v>不</v>
      </c>
      <c r="AT6" s="116" t="str">
        <f t="shared" ref="AT6:AT16" si="9">IF(SUMPRODUCT(N(AO$1:AO$18=AO6))&gt;1,"重复","不")</f>
        <v>重复</v>
      </c>
      <c r="AU6" s="12" t="s">
        <v>152</v>
      </c>
      <c r="AV6" s="12" t="s">
        <v>153</v>
      </c>
    </row>
    <row r="7" s="12" customFormat="1" ht="18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8500</v>
      </c>
      <c r="M7" s="71">
        <v>306.56</v>
      </c>
      <c r="N7" s="71">
        <v>84.64</v>
      </c>
      <c r="O7" s="71">
        <v>19.16</v>
      </c>
      <c r="P7" s="71">
        <v>97</v>
      </c>
      <c r="Q7" s="89">
        <f t="shared" si="0"/>
        <v>507.36</v>
      </c>
      <c r="R7" s="70">
        <v>0</v>
      </c>
      <c r="S7" s="90">
        <f>L7+IFERROR(VLOOKUP($E:$E,'（居民）工资表-7月'!$E:$S,15,0),0)</f>
        <v>67600</v>
      </c>
      <c r="T7" s="91">
        <f>5000+IFERROR(VLOOKUP($E:$E,'（居民）工资表-7月'!$E:$T,16,0),0)</f>
        <v>40000</v>
      </c>
      <c r="U7" s="91">
        <f>Q7+IFERROR(VLOOKUP($E:$E,'（居民）工资表-7月'!$E:$U,17,0),0)</f>
        <v>4180.98</v>
      </c>
      <c r="V7" s="70"/>
      <c r="W7" s="70"/>
      <c r="Y7" s="70"/>
      <c r="Z7" s="70"/>
      <c r="AA7" s="70"/>
      <c r="AB7" s="90">
        <f t="shared" si="1"/>
        <v>0</v>
      </c>
      <c r="AC7" s="90">
        <f>R7+IFERROR(VLOOKUP($E:$E,'（居民）工资表-7月'!$E:$AC,25,0),0)</f>
        <v>0</v>
      </c>
      <c r="AD7" s="95">
        <f t="shared" si="2"/>
        <v>23419.02</v>
      </c>
      <c r="AE7" s="96">
        <f>ROUND(MAX((AD7)*{0.03;0.1;0.2;0.25;0.3;0.35;0.45}-{0;2520;16920;31920;52920;85920;181920},0),2)</f>
        <v>702.57</v>
      </c>
      <c r="AF7" s="97">
        <f>IFERROR(VLOOKUP(E:E,'（居民）工资表-7月'!E:AF,28,0)+VLOOKUP(E:E,'（居民）工资表-7月'!E:AG,29,0),0)</f>
        <v>505.01</v>
      </c>
      <c r="AG7" s="97">
        <f t="shared" si="3"/>
        <v>197.56</v>
      </c>
      <c r="AH7" s="107">
        <f t="shared" si="4"/>
        <v>7795.08</v>
      </c>
      <c r="AI7" s="108"/>
      <c r="AJ7" s="107">
        <f t="shared" si="5"/>
        <v>7795.08</v>
      </c>
      <c r="AK7" s="109"/>
      <c r="AL7" s="107">
        <f t="shared" si="6"/>
        <v>7992.64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U7" s="12" t="s">
        <v>157</v>
      </c>
      <c r="AV7" s="12" t="s">
        <v>51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11800</v>
      </c>
      <c r="M8" s="71">
        <v>306.56</v>
      </c>
      <c r="N8" s="71">
        <v>82.64</v>
      </c>
      <c r="O8" s="71">
        <v>19.16</v>
      </c>
      <c r="P8" s="71">
        <v>172</v>
      </c>
      <c r="Q8" s="89">
        <f t="shared" si="0"/>
        <v>580.36</v>
      </c>
      <c r="R8" s="70">
        <v>0</v>
      </c>
      <c r="S8" s="90">
        <f>L8+IFERROR(VLOOKUP($E:$E,'（居民）工资表-7月'!$E:$S,15,0),0)</f>
        <v>85100</v>
      </c>
      <c r="T8" s="91">
        <f>5000+IFERROR(VLOOKUP($E:$E,'（居民）工资表-7月'!$E:$T,16,0),0)</f>
        <v>40000</v>
      </c>
      <c r="U8" s="91">
        <f>Q8+IFERROR(VLOOKUP($E:$E,'（居民）工资表-7月'!$E:$U,17,0),0)</f>
        <v>5792.72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R8+IFERROR(VLOOKUP($E:$E,'（居民）工资表-7月'!$E:$AC,25,0),0)</f>
        <v>0</v>
      </c>
      <c r="AD8" s="95">
        <f t="shared" si="2"/>
        <v>39307.28</v>
      </c>
      <c r="AE8" s="96">
        <f>ROUND(MAX((AD8)*{0.03;0.1;0.2;0.25;0.3;0.35;0.45}-{0;2520;16920;31920;52920;85920;181920},0),2)</f>
        <v>1410.73</v>
      </c>
      <c r="AF8" s="97">
        <f>IFERROR(VLOOKUP(E:E,'（居民）工资表-7月'!E:AF,28,0)+VLOOKUP(E:E,'（居民）工资表-7月'!E:AG,29,0),0)</f>
        <v>992.63</v>
      </c>
      <c r="AG8" s="97">
        <f t="shared" si="3"/>
        <v>418.1</v>
      </c>
      <c r="AH8" s="107">
        <f t="shared" si="4"/>
        <v>10801.54</v>
      </c>
      <c r="AI8" s="108"/>
      <c r="AJ8" s="107">
        <f t="shared" si="5"/>
        <v>10801.54</v>
      </c>
      <c r="AK8" s="109"/>
      <c r="AL8" s="107">
        <f t="shared" si="6"/>
        <v>11219.64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315.6</v>
      </c>
      <c r="N9" s="71">
        <v>86.72</v>
      </c>
      <c r="O9" s="71">
        <v>11.84</v>
      </c>
      <c r="P9" s="71">
        <v>100</v>
      </c>
      <c r="Q9" s="89">
        <f t="shared" si="0"/>
        <v>514.16</v>
      </c>
      <c r="R9" s="70">
        <v>0</v>
      </c>
      <c r="S9" s="90">
        <f>L9+IFERROR(VLOOKUP($E:$E,'（居民）工资表-7月'!$E:$S,15,0),0)</f>
        <v>52000</v>
      </c>
      <c r="T9" s="91">
        <f>5000+IFERROR(VLOOKUP($E:$E,'（居民）工资表-7月'!$E:$T,16,0),0)</f>
        <v>40000</v>
      </c>
      <c r="U9" s="91">
        <f>Q9+IFERROR(VLOOKUP($E:$E,'（居民）工资表-7月'!$E:$U,17,0),0)</f>
        <v>4212.61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R9+IFERROR(VLOOKUP($E:$E,'（居民）工资表-7月'!$E:$AC,25,0),0)</f>
        <v>0</v>
      </c>
      <c r="AD9" s="95">
        <f t="shared" si="2"/>
        <v>7787.39</v>
      </c>
      <c r="AE9" s="96">
        <f>ROUND(MAX((AD9)*{0.03;0.1;0.2;0.25;0.3;0.35;0.45}-{0;2520;16920;31920;52920;85920;181920},0),2)</f>
        <v>233.62</v>
      </c>
      <c r="AF9" s="97">
        <f>IFERROR(VLOOKUP(E:E,'（居民）工资表-7月'!E:AF,28,0)+VLOOKUP(E:E,'（居民）工资表-7月'!E:AG,29,0),0)</f>
        <v>204.05</v>
      </c>
      <c r="AG9" s="97">
        <f t="shared" si="3"/>
        <v>29.57</v>
      </c>
      <c r="AH9" s="107">
        <f t="shared" si="4"/>
        <v>5956.27</v>
      </c>
      <c r="AI9" s="108"/>
      <c r="AJ9" s="107">
        <f t="shared" si="5"/>
        <v>5956.27</v>
      </c>
      <c r="AK9" s="109"/>
      <c r="AL9" s="107">
        <f t="shared" si="6"/>
        <v>5985.84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U9" s="12" t="s">
        <v>162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144</v>
      </c>
      <c r="G10" s="39" t="s">
        <v>165</v>
      </c>
      <c r="H10" s="40"/>
      <c r="I10" s="40"/>
      <c r="J10" s="69"/>
      <c r="K10" s="40"/>
      <c r="L10" s="70">
        <v>5500</v>
      </c>
      <c r="M10" s="71">
        <v>316.56</v>
      </c>
      <c r="N10" s="71">
        <v>84.14</v>
      </c>
      <c r="O10" s="71">
        <v>19.79</v>
      </c>
      <c r="P10" s="71">
        <v>105</v>
      </c>
      <c r="Q10" s="89">
        <f t="shared" si="0"/>
        <v>525.49</v>
      </c>
      <c r="R10" s="70">
        <v>0</v>
      </c>
      <c r="S10" s="90">
        <f>L10+IFERROR(VLOOKUP($E:$E,'（居民）工资表-7月'!$E:$S,15,0),0)</f>
        <v>11000</v>
      </c>
      <c r="T10" s="91">
        <f>5000+IFERROR(VLOOKUP($E:$E,'（居民）工资表-7月'!$E:$T,16,0),0)</f>
        <v>10000</v>
      </c>
      <c r="U10" s="91">
        <f>Q10+IFERROR(VLOOKUP($E:$E,'（居民）工资表-7月'!$E:$U,17,0),0)</f>
        <v>1050.98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R10+IFERROR(VLOOKUP($E:$E,'（居民）工资表-7月'!$E:$AC,25,0),0)</f>
        <v>0</v>
      </c>
      <c r="AD10" s="95">
        <f t="shared" si="2"/>
        <v>-50.98</v>
      </c>
      <c r="AE10" s="96">
        <f>ROUND(MAX((AD10)*{0.03;0.1;0.2;0.25;0.3;0.35;0.45}-{0;2520;16920;31920;52920;85920;181920},0),2)</f>
        <v>0</v>
      </c>
      <c r="AF10" s="97">
        <f>IFERROR(VLOOKUP(E:E,'（居民）工资表-7月'!E:AF,28,0)+VLOOKUP(E:E,'（居民）工资表-7月'!E:AG,29,0),0)</f>
        <v>0</v>
      </c>
      <c r="AG10" s="97">
        <f t="shared" si="3"/>
        <v>0</v>
      </c>
      <c r="AH10" s="107">
        <f t="shared" si="4"/>
        <v>4974.51</v>
      </c>
      <c r="AI10" s="108"/>
      <c r="AJ10" s="107">
        <f t="shared" si="5"/>
        <v>4974.51</v>
      </c>
      <c r="AK10" s="109"/>
      <c r="AL10" s="107">
        <f t="shared" si="6"/>
        <v>4974.51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U10" s="12" t="s">
        <v>166</v>
      </c>
      <c r="AV10" s="12" t="s">
        <v>167</v>
      </c>
    </row>
    <row r="11" s="12" customFormat="1" ht="18" customHeight="1" spans="1:48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148</v>
      </c>
      <c r="G11" s="39" t="s">
        <v>170</v>
      </c>
      <c r="H11" s="40"/>
      <c r="I11" s="40"/>
      <c r="J11" s="69"/>
      <c r="K11" s="40"/>
      <c r="L11" s="70">
        <v>4598.8</v>
      </c>
      <c r="M11" s="71">
        <v>352</v>
      </c>
      <c r="N11" s="71">
        <v>110</v>
      </c>
      <c r="O11" s="71">
        <v>22</v>
      </c>
      <c r="P11" s="71">
        <v>109</v>
      </c>
      <c r="Q11" s="89">
        <f t="shared" si="0"/>
        <v>593</v>
      </c>
      <c r="R11" s="70">
        <v>0</v>
      </c>
      <c r="S11" s="90">
        <f>L11+IFERROR(VLOOKUP($E:$E,'（居民）工资表-7月'!$E:$S,15,0),0)</f>
        <v>36352.64</v>
      </c>
      <c r="T11" s="91">
        <f>5000+IFERROR(VLOOKUP($E:$E,'（居民）工资表-7月'!$E:$T,16,0),0)</f>
        <v>40000</v>
      </c>
      <c r="U11" s="91">
        <f>Q11+IFERROR(VLOOKUP($E:$E,'（居民）工资表-7月'!$E:$U,17,0),0)</f>
        <v>4965.16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R11+IFERROR(VLOOKUP($E:$E,'（居民）工资表-7月'!$E:$AC,25,0),0)</f>
        <v>0</v>
      </c>
      <c r="AD11" s="95">
        <f t="shared" si="2"/>
        <v>-8612.52</v>
      </c>
      <c r="AE11" s="96">
        <f>ROUND(MAX((AD11)*{0.03;0.1;0.2;0.25;0.3;0.35;0.45}-{0;2520;16920;31920;52920;85920;181920},0),2)</f>
        <v>0</v>
      </c>
      <c r="AF11" s="97">
        <f>IFERROR(VLOOKUP(E:E,'（居民）工资表-7月'!E:AF,28,0)+VLOOKUP(E:E,'（居民）工资表-7月'!E:AG,29,0),0)</f>
        <v>0</v>
      </c>
      <c r="AG11" s="97">
        <f t="shared" si="3"/>
        <v>0</v>
      </c>
      <c r="AH11" s="107">
        <f t="shared" si="4"/>
        <v>4005.8</v>
      </c>
      <c r="AI11" s="108"/>
      <c r="AJ11" s="107">
        <f t="shared" si="5"/>
        <v>4005.8</v>
      </c>
      <c r="AK11" s="109"/>
      <c r="AL11" s="107">
        <f t="shared" si="6"/>
        <v>4005.8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  <c r="AU11" s="12" t="s">
        <v>171</v>
      </c>
      <c r="AV11" s="12" t="s">
        <v>172</v>
      </c>
    </row>
    <row r="12" s="12" customFormat="1" ht="18" customHeight="1" spans="1:48">
      <c r="A12" s="36">
        <v>9</v>
      </c>
      <c r="B12" s="37" t="s">
        <v>142</v>
      </c>
      <c r="C12" s="37" t="s">
        <v>173</v>
      </c>
      <c r="D12" s="37" t="s">
        <v>143</v>
      </c>
      <c r="E12" s="326" t="s">
        <v>174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11300</v>
      </c>
      <c r="M12" s="71">
        <v>306.56</v>
      </c>
      <c r="N12" s="71">
        <v>112.49</v>
      </c>
      <c r="O12" s="71">
        <v>19.16</v>
      </c>
      <c r="P12" s="71">
        <v>97</v>
      </c>
      <c r="Q12" s="89">
        <f t="shared" si="0"/>
        <v>535.21</v>
      </c>
      <c r="R12" s="70">
        <v>0</v>
      </c>
      <c r="S12" s="90">
        <f>L12+IFERROR(VLOOKUP($E:$E,'（居民）工资表-7月'!$E:$S,15,0),0)</f>
        <v>72600</v>
      </c>
      <c r="T12" s="91">
        <f>5000+IFERROR(VLOOKUP($E:$E,'（居民）工资表-7月'!$E:$T,16,0),0)</f>
        <v>40000</v>
      </c>
      <c r="U12" s="91">
        <f>Q12+IFERROR(VLOOKUP($E:$E,'（居民）工资表-7月'!$E:$U,17,0),0)</f>
        <v>4424.42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R12+IFERROR(VLOOKUP($E:$E,'（居民）工资表-7月'!$E:$AC,25,0),0)</f>
        <v>0</v>
      </c>
      <c r="AD12" s="95">
        <f t="shared" si="2"/>
        <v>28175.58</v>
      </c>
      <c r="AE12" s="96">
        <f>ROUND(MAX((AD12)*{0.03;0.1;0.2;0.25;0.3;0.35;0.45}-{0;2520;16920;31920;52920;85920;181920},0),2)</f>
        <v>845.27</v>
      </c>
      <c r="AF12" s="97">
        <f>IFERROR(VLOOKUP(E:E,'（居民）工资表-7月'!E:AF,28,0)+VLOOKUP(E:E,'（居民）工资表-7月'!E:AG,29,0),0)</f>
        <v>672.32</v>
      </c>
      <c r="AG12" s="97">
        <f t="shared" si="3"/>
        <v>172.95</v>
      </c>
      <c r="AH12" s="107">
        <f t="shared" si="4"/>
        <v>10591.84</v>
      </c>
      <c r="AI12" s="108"/>
      <c r="AJ12" s="107">
        <f t="shared" si="5"/>
        <v>10591.84</v>
      </c>
      <c r="AK12" s="109"/>
      <c r="AL12" s="107">
        <f t="shared" si="6"/>
        <v>10764.79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  <c r="AU12" s="12" t="s">
        <v>157</v>
      </c>
      <c r="AV12" s="12" t="s">
        <v>51</v>
      </c>
    </row>
    <row r="13" s="12" customFormat="1" ht="18" customHeight="1" spans="1:48">
      <c r="A13" s="36">
        <v>10</v>
      </c>
      <c r="B13" s="37" t="s">
        <v>142</v>
      </c>
      <c r="C13" s="37" t="s">
        <v>175</v>
      </c>
      <c r="D13" s="37" t="s">
        <v>143</v>
      </c>
      <c r="E13" s="326" t="s">
        <v>176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8227.27</v>
      </c>
      <c r="M13" s="71">
        <v>306.56</v>
      </c>
      <c r="N13" s="71">
        <v>82.64</v>
      </c>
      <c r="O13" s="71">
        <v>19.16</v>
      </c>
      <c r="P13" s="71">
        <v>172</v>
      </c>
      <c r="Q13" s="89">
        <f t="shared" si="0"/>
        <v>580.36</v>
      </c>
      <c r="R13" s="70">
        <v>0</v>
      </c>
      <c r="S13" s="90">
        <f>L13+IFERROR(VLOOKUP($E:$E,'（居民）工资表-7月'!$E:$S,15,0),0)</f>
        <v>59227.27</v>
      </c>
      <c r="T13" s="91">
        <f>5000+IFERROR(VLOOKUP($E:$E,'（居民）工资表-7月'!$E:$T,16,0),0)</f>
        <v>40000</v>
      </c>
      <c r="U13" s="91">
        <f>Q13+IFERROR(VLOOKUP($E:$E,'（居民）工资表-7月'!$E:$U,17,0),0)</f>
        <v>5792.72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R13+IFERROR(VLOOKUP($E:$E,'（居民）工资表-7月'!$E:$AC,25,0),0)</f>
        <v>0</v>
      </c>
      <c r="AD13" s="95">
        <f t="shared" si="2"/>
        <v>13434.55</v>
      </c>
      <c r="AE13" s="96">
        <f>ROUND(MAX((AD13)*{0.03;0.1;0.2;0.25;0.3;0.35;0.45}-{0;2520;16920;31920;52920;85920;181920},0),2)</f>
        <v>403.04</v>
      </c>
      <c r="AF13" s="97">
        <f>IFERROR(VLOOKUP(E:E,'（居民）工资表-7月'!E:AF,28,0)+VLOOKUP(E:E,'（居民）工资表-7月'!E:AG,29,0),0)</f>
        <v>323.63</v>
      </c>
      <c r="AG13" s="97">
        <f t="shared" si="3"/>
        <v>79.41</v>
      </c>
      <c r="AH13" s="107">
        <f t="shared" si="4"/>
        <v>7567.5</v>
      </c>
      <c r="AI13" s="108"/>
      <c r="AJ13" s="107">
        <f t="shared" si="5"/>
        <v>7567.5</v>
      </c>
      <c r="AK13" s="109"/>
      <c r="AL13" s="107">
        <f t="shared" si="6"/>
        <v>7646.91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177</v>
      </c>
      <c r="D14" s="37" t="s">
        <v>143</v>
      </c>
      <c r="E14" s="326" t="s">
        <v>178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11000</v>
      </c>
      <c r="M14" s="71">
        <v>306.56</v>
      </c>
      <c r="N14" s="71">
        <v>82.64</v>
      </c>
      <c r="O14" s="71">
        <v>19.16</v>
      </c>
      <c r="P14" s="71">
        <v>172</v>
      </c>
      <c r="Q14" s="89">
        <f t="shared" si="0"/>
        <v>580.36</v>
      </c>
      <c r="R14" s="70">
        <v>0</v>
      </c>
      <c r="S14" s="90">
        <f>L14+IFERROR(VLOOKUP($E:$E,'（居民）工资表-7月'!$E:$S,15,0),0)</f>
        <v>62608.7</v>
      </c>
      <c r="T14" s="91">
        <f>5000+IFERROR(VLOOKUP($E:$E,'（居民）工资表-7月'!$E:$T,16,0),0)</f>
        <v>40000</v>
      </c>
      <c r="U14" s="91">
        <f>Q14+IFERROR(VLOOKUP($E:$E,'（居民）工资表-7月'!$E:$U,17,0),0)</f>
        <v>5792.72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R14+IFERROR(VLOOKUP($E:$E,'（居民）工资表-7月'!$E:$AC,25,0),0)</f>
        <v>0</v>
      </c>
      <c r="AD14" s="95">
        <f t="shared" si="2"/>
        <v>16815.98</v>
      </c>
      <c r="AE14" s="96">
        <f>ROUND(MAX((AD14)*{0.03;0.1;0.2;0.25;0.3;0.35;0.45}-{0;2520;16920;31920;52920;85920;181920},0),2)</f>
        <v>504.48</v>
      </c>
      <c r="AF14" s="97">
        <f>IFERROR(VLOOKUP(E:E,'（居民）工资表-7月'!E:AF,28,0)+VLOOKUP(E:E,'（居民）工资表-7月'!E:AG,29,0),0)</f>
        <v>341.89</v>
      </c>
      <c r="AG14" s="97">
        <f t="shared" si="3"/>
        <v>162.59</v>
      </c>
      <c r="AH14" s="107">
        <f t="shared" si="4"/>
        <v>10257.05</v>
      </c>
      <c r="AI14" s="108"/>
      <c r="AJ14" s="107">
        <f t="shared" si="5"/>
        <v>10257.05</v>
      </c>
      <c r="AK14" s="109"/>
      <c r="AL14" s="107">
        <f t="shared" si="6"/>
        <v>10419.64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 t="s">
        <v>181</v>
      </c>
      <c r="H15" s="40"/>
      <c r="I15" s="40"/>
      <c r="J15" s="69"/>
      <c r="K15" s="40"/>
      <c r="L15" s="70">
        <v>7900</v>
      </c>
      <c r="M15" s="71">
        <v>306.56</v>
      </c>
      <c r="N15" s="71">
        <v>112.49</v>
      </c>
      <c r="O15" s="71">
        <v>19.16</v>
      </c>
      <c r="P15" s="71">
        <v>97</v>
      </c>
      <c r="Q15" s="89">
        <f t="shared" si="0"/>
        <v>535.21</v>
      </c>
      <c r="R15" s="70">
        <v>0</v>
      </c>
      <c r="S15" s="90">
        <f>L15+IFERROR(VLOOKUP($E:$E,'（居民）工资表-7月'!$E:$S,15,0),0)</f>
        <v>58700</v>
      </c>
      <c r="T15" s="91">
        <f>5000+IFERROR(VLOOKUP($E:$E,'（居民）工资表-7月'!$E:$T,16,0),0)</f>
        <v>40000</v>
      </c>
      <c r="U15" s="91">
        <f>Q15+IFERROR(VLOOKUP($E:$E,'（居民）工资表-7月'!$E:$U,17,0),0)</f>
        <v>4424.42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R15+IFERROR(VLOOKUP($E:$E,'（居民）工资表-7月'!$E:$AC,25,0),0)</f>
        <v>0</v>
      </c>
      <c r="AD15" s="95">
        <f t="shared" si="2"/>
        <v>14275.58</v>
      </c>
      <c r="AE15" s="96">
        <f>ROUND(MAX((AD15)*{0.03;0.1;0.2;0.25;0.3;0.35;0.45}-{0;2520;16920;31920;52920;85920;181920},0),2)</f>
        <v>428.27</v>
      </c>
      <c r="AF15" s="97">
        <f>IFERROR(VLOOKUP(E:E,'（居民）工资表-7月'!E:AF,28,0)+VLOOKUP(E:E,'（居民）工资表-7月'!E:AG,29,0),0)</f>
        <v>357.32</v>
      </c>
      <c r="AG15" s="97">
        <f t="shared" si="3"/>
        <v>70.95</v>
      </c>
      <c r="AH15" s="107">
        <f t="shared" si="4"/>
        <v>7293.84</v>
      </c>
      <c r="AI15" s="108"/>
      <c r="AJ15" s="107">
        <f t="shared" si="5"/>
        <v>7293.84</v>
      </c>
      <c r="AK15" s="109"/>
      <c r="AL15" s="107">
        <f t="shared" si="6"/>
        <v>7364.79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182</v>
      </c>
      <c r="D16" s="37" t="s">
        <v>143</v>
      </c>
      <c r="E16" s="326" t="s">
        <v>183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7860</v>
      </c>
      <c r="M16" s="71">
        <v>306.56</v>
      </c>
      <c r="N16" s="71">
        <v>84.64</v>
      </c>
      <c r="O16" s="71">
        <v>19.16</v>
      </c>
      <c r="P16" s="71">
        <v>97</v>
      </c>
      <c r="Q16" s="89">
        <f t="shared" si="0"/>
        <v>507.36</v>
      </c>
      <c r="R16" s="70">
        <v>0</v>
      </c>
      <c r="S16" s="90">
        <f>L16+IFERROR(VLOOKUP($E:$E,'（居民）工资表-7月'!$E:$S,15,0),0)</f>
        <v>52341.74</v>
      </c>
      <c r="T16" s="91">
        <f>5000+IFERROR(VLOOKUP($E:$E,'（居民）工资表-7月'!$E:$T,16,0),0)</f>
        <v>40000</v>
      </c>
      <c r="U16" s="91">
        <f>Q16+IFERROR(VLOOKUP($E:$E,'（居民）工资表-7月'!$E:$U,17,0),0)</f>
        <v>4180.98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R16+IFERROR(VLOOKUP($E:$E,'（居民）工资表-7月'!$E:$AC,25,0),0)</f>
        <v>0</v>
      </c>
      <c r="AD16" s="95">
        <f t="shared" si="2"/>
        <v>8160.76</v>
      </c>
      <c r="AE16" s="96">
        <f>ROUND(MAX((AD16)*{0.03;0.1;0.2;0.25;0.3;0.35;0.45}-{0;2520;16920;31920;52920;85920;181920},0),2)</f>
        <v>244.82</v>
      </c>
      <c r="AF16" s="97">
        <f>IFERROR(VLOOKUP(E:E,'（居民）工资表-7月'!E:AF,28,0)+VLOOKUP(E:E,'（居民）工资表-7月'!E:AG,29,0),0)</f>
        <v>174.24</v>
      </c>
      <c r="AG16" s="97">
        <f t="shared" si="3"/>
        <v>70.58</v>
      </c>
      <c r="AH16" s="107">
        <f t="shared" si="4"/>
        <v>7282.06</v>
      </c>
      <c r="AI16" s="108"/>
      <c r="AJ16" s="107">
        <f t="shared" si="5"/>
        <v>7282.06</v>
      </c>
      <c r="AK16" s="109"/>
      <c r="AL16" s="107">
        <f t="shared" si="6"/>
        <v>7352.64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184</v>
      </c>
      <c r="D17" s="37" t="s">
        <v>143</v>
      </c>
      <c r="E17" s="326" t="s">
        <v>185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6560</v>
      </c>
      <c r="M17" s="71">
        <v>315.6</v>
      </c>
      <c r="N17" s="71">
        <v>86.72</v>
      </c>
      <c r="O17" s="71">
        <v>11.84</v>
      </c>
      <c r="P17" s="71">
        <v>175</v>
      </c>
      <c r="Q17" s="89">
        <f t="shared" si="0"/>
        <v>589.16</v>
      </c>
      <c r="R17" s="70">
        <v>0</v>
      </c>
      <c r="S17" s="90">
        <f>L17+IFERROR(VLOOKUP($E:$E,'（居民）工资表-7月'!$E:$S,15,0),0)</f>
        <v>13620</v>
      </c>
      <c r="T17" s="91">
        <f>5000+IFERROR(VLOOKUP($E:$E,'（居民）工资表-7月'!$E:$T,16,0),0)</f>
        <v>10000</v>
      </c>
      <c r="U17" s="91">
        <f>Q17+IFERROR(VLOOKUP($E:$E,'（居民）工资表-7月'!$E:$U,17,0),0)</f>
        <v>1178.32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R17+IFERROR(VLOOKUP($E:$E,'（居民）工资表-7月'!$E:$AC,25,0),0)</f>
        <v>0</v>
      </c>
      <c r="AD17" s="95">
        <f t="shared" si="2"/>
        <v>2441.68</v>
      </c>
      <c r="AE17" s="96">
        <f>ROUND(MAX((AD17)*{0.03;0.1;0.2;0.25;0.3;0.35;0.45}-{0;2520;16920;31920;52920;85920;181920},0),2)</f>
        <v>73.25</v>
      </c>
      <c r="AF17" s="97">
        <f>IFERROR(VLOOKUP(E:E,'（居民）工资表-7月'!E:AF,28,0)+VLOOKUP(E:E,'（居民）工资表-7月'!E:AG,29,0),0)</f>
        <v>44.13</v>
      </c>
      <c r="AG17" s="97">
        <f t="shared" si="3"/>
        <v>29.12</v>
      </c>
      <c r="AH17" s="107">
        <f t="shared" si="4"/>
        <v>5941.72</v>
      </c>
      <c r="AI17" s="108"/>
      <c r="AJ17" s="107">
        <f t="shared" si="5"/>
        <v>5941.72</v>
      </c>
      <c r="AK17" s="109"/>
      <c r="AL17" s="107">
        <f t="shared" si="6"/>
        <v>5970.84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IF(SUMPRODUCT(N(E$1:E$18=E17))&gt;1,"重复","不")</f>
        <v>不</v>
      </c>
      <c r="AT17" s="116" t="str">
        <f>IF(SUMPRODUCT(N(AO$1:AO$18=AO17))&gt;1,"重复","不")</f>
        <v>重复</v>
      </c>
      <c r="AU17" s="12" t="s">
        <v>162</v>
      </c>
      <c r="AV17" s="12" t="s">
        <v>51</v>
      </c>
    </row>
    <row r="18" s="12" customFormat="1" ht="18" customHeight="1" spans="1:48">
      <c r="A18" s="36">
        <v>15</v>
      </c>
      <c r="B18" s="37" t="s">
        <v>142</v>
      </c>
      <c r="C18" s="37" t="s">
        <v>186</v>
      </c>
      <c r="D18" s="37" t="s">
        <v>143</v>
      </c>
      <c r="E18" s="326" t="s">
        <v>187</v>
      </c>
      <c r="F18" s="38" t="s">
        <v>148</v>
      </c>
      <c r="G18" s="39"/>
      <c r="H18" s="40"/>
      <c r="I18" s="40"/>
      <c r="J18" s="69"/>
      <c r="K18" s="40"/>
      <c r="L18" s="70">
        <v>7800</v>
      </c>
      <c r="M18" s="71">
        <v>306.56</v>
      </c>
      <c r="N18" s="71">
        <v>76.64</v>
      </c>
      <c r="O18" s="71">
        <v>19.16</v>
      </c>
      <c r="P18" s="71">
        <v>103</v>
      </c>
      <c r="Q18" s="89">
        <f t="shared" si="0"/>
        <v>505.36</v>
      </c>
      <c r="R18" s="70">
        <v>0</v>
      </c>
      <c r="S18" s="90">
        <f>L18+IFERROR(VLOOKUP($E:$E,'（居民）工资表-7月'!$E:$S,15,0),0)</f>
        <v>49200</v>
      </c>
      <c r="T18" s="91">
        <f>5000+IFERROR(VLOOKUP($E:$E,'（居民）工资表-7月'!$E:$T,16,0),0)</f>
        <v>40000</v>
      </c>
      <c r="U18" s="91">
        <f>Q18+IFERROR(VLOOKUP($E:$E,'（居民）工资表-7月'!$E:$U,17,0),0)</f>
        <v>4160.72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R18+IFERROR(VLOOKUP($E:$E,'（居民）工资表-7月'!$E:$AC,25,0),0)</f>
        <v>0</v>
      </c>
      <c r="AD18" s="95">
        <f t="shared" si="2"/>
        <v>5039.28</v>
      </c>
      <c r="AE18" s="96">
        <f>ROUND(MAX((AD18)*{0.03;0.1;0.2;0.25;0.3;0.35;0.45}-{0;2520;16920;31920;52920;85920;181920},0),2)</f>
        <v>151.18</v>
      </c>
      <c r="AF18" s="97">
        <f>IFERROR(VLOOKUP(E:E,'（居民）工资表-7月'!E:AF,28,0)+VLOOKUP(E:E,'（居民）工资表-7月'!E:AG,29,0),0)</f>
        <v>85.5</v>
      </c>
      <c r="AG18" s="97">
        <f t="shared" si="3"/>
        <v>65.68</v>
      </c>
      <c r="AH18" s="107">
        <f t="shared" si="4"/>
        <v>7228.96</v>
      </c>
      <c r="AI18" s="108"/>
      <c r="AJ18" s="107">
        <f t="shared" si="5"/>
        <v>7228.96</v>
      </c>
      <c r="AK18" s="109"/>
      <c r="AL18" s="107">
        <f t="shared" si="6"/>
        <v>7294.64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IF(SUMPRODUCT(N(E$1:E$18=E18))&gt;1,"重复","不")</f>
        <v>不</v>
      </c>
      <c r="AT18" s="116" t="str">
        <f>IF(SUMPRODUCT(N(AO$1:AO$18=AO18))&gt;1,"重复","不")</f>
        <v>重复</v>
      </c>
      <c r="AU18" s="12" t="s">
        <v>157</v>
      </c>
      <c r="AV18" s="12" t="s">
        <v>51</v>
      </c>
    </row>
    <row r="19" s="12" customFormat="1" ht="18" customHeight="1" spans="1:48">
      <c r="A19" s="36">
        <v>16</v>
      </c>
      <c r="B19" s="37" t="s">
        <v>142</v>
      </c>
      <c r="C19" s="37" t="s">
        <v>188</v>
      </c>
      <c r="D19" s="37" t="s">
        <v>143</v>
      </c>
      <c r="E19" s="326" t="s">
        <v>189</v>
      </c>
      <c r="F19" s="38" t="s">
        <v>148</v>
      </c>
      <c r="G19" s="39">
        <v>15571147351</v>
      </c>
      <c r="H19" s="40"/>
      <c r="I19" s="40"/>
      <c r="J19" s="69"/>
      <c r="K19" s="40"/>
      <c r="L19" s="70">
        <v>3800</v>
      </c>
      <c r="M19" s="71">
        <v>326.16</v>
      </c>
      <c r="N19" s="71">
        <v>88.54</v>
      </c>
      <c r="O19" s="71">
        <v>12.23</v>
      </c>
      <c r="P19" s="71">
        <v>100.5</v>
      </c>
      <c r="Q19" s="89">
        <f t="shared" si="0"/>
        <v>527.43</v>
      </c>
      <c r="R19" s="70">
        <v>0</v>
      </c>
      <c r="S19" s="90">
        <f>L19+IFERROR(VLOOKUP($E:$E,'（居民）工资表-7月'!$E:$S,15,0),0)</f>
        <v>5266.67</v>
      </c>
      <c r="T19" s="91">
        <f>5000+IFERROR(VLOOKUP($E:$E,'（居民）工资表-7月'!$E:$T,16,0),0)</f>
        <v>10000</v>
      </c>
      <c r="U19" s="91">
        <f>Q19+IFERROR(VLOOKUP($E:$E,'（居民）工资表-7月'!$E:$U,17,0),0)</f>
        <v>1575.29</v>
      </c>
      <c r="V19" s="70"/>
      <c r="W19" s="70"/>
      <c r="X19" s="70"/>
      <c r="Y19" s="70"/>
      <c r="Z19" s="70"/>
      <c r="AA19" s="70"/>
      <c r="AB19" s="90">
        <f t="shared" si="1"/>
        <v>0</v>
      </c>
      <c r="AC19" s="90">
        <f>R19+IFERROR(VLOOKUP($E:$E,'（居民）工资表-7月'!$E:$AC,25,0),0)</f>
        <v>0</v>
      </c>
      <c r="AD19" s="95">
        <f t="shared" si="2"/>
        <v>-6308.62</v>
      </c>
      <c r="AE19" s="96">
        <f>ROUND(MAX((AD19)*{0.03;0.1;0.2;0.25;0.3;0.35;0.45}-{0;2520;16920;31920;52920;85920;181920},0),2)</f>
        <v>0</v>
      </c>
      <c r="AF19" s="97">
        <f>IFERROR(VLOOKUP(E:E,'（居民）工资表-7月'!E:AF,28,0)+VLOOKUP(E:E,'（居民）工资表-7月'!E:AG,29,0),0)</f>
        <v>0</v>
      </c>
      <c r="AG19" s="97">
        <f t="shared" si="3"/>
        <v>0</v>
      </c>
      <c r="AH19" s="107">
        <f t="shared" si="4"/>
        <v>3272.57</v>
      </c>
      <c r="AI19" s="108"/>
      <c r="AJ19" s="107">
        <f t="shared" si="5"/>
        <v>3272.57</v>
      </c>
      <c r="AK19" s="109"/>
      <c r="AL19" s="107">
        <f t="shared" si="6"/>
        <v>3272.57</v>
      </c>
      <c r="AM19" s="109"/>
      <c r="AN19" s="109"/>
      <c r="AO19" s="109"/>
      <c r="AP19" s="109"/>
      <c r="AQ19" s="109"/>
      <c r="AR19" s="116" t="str">
        <f t="shared" si="7"/>
        <v>正确</v>
      </c>
      <c r="AS19" s="116" t="str">
        <f>IF(SUMPRODUCT(N(E$1:E$18=E19))&gt;1,"重复","不")</f>
        <v>不</v>
      </c>
      <c r="AT19" s="116" t="str">
        <f>IF(SUMPRODUCT(N(AO$1:AO$18=AO19))&gt;1,"重复","不")</f>
        <v>重复</v>
      </c>
      <c r="AU19" s="12" t="s">
        <v>190</v>
      </c>
      <c r="AV19" s="12" t="s">
        <v>191</v>
      </c>
    </row>
    <row r="20" s="13" customFormat="1" ht="18" customHeight="1" spans="1:46">
      <c r="A20" s="41"/>
      <c r="B20" s="42" t="s">
        <v>192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146606.07</v>
      </c>
      <c r="M20" s="74">
        <f>SUM(M4:M19)</f>
        <v>5484.26</v>
      </c>
      <c r="N20" s="74">
        <f>SUM(N4:N19)</f>
        <v>1511.24</v>
      </c>
      <c r="O20" s="74">
        <f t="shared" ref="O20:AL20" si="10">SUM(O4:O19)</f>
        <v>284.98</v>
      </c>
      <c r="P20" s="74">
        <f t="shared" si="10"/>
        <v>2069.8</v>
      </c>
      <c r="Q20" s="74">
        <f t="shared" si="10"/>
        <v>9350.28</v>
      </c>
      <c r="R20" s="74">
        <f t="shared" si="10"/>
        <v>0</v>
      </c>
      <c r="S20" s="74">
        <f t="shared" si="10"/>
        <v>978097.02</v>
      </c>
      <c r="T20" s="74">
        <f t="shared" si="10"/>
        <v>550000</v>
      </c>
      <c r="U20" s="74">
        <f t="shared" si="10"/>
        <v>69404.4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358692.62</v>
      </c>
      <c r="AE20" s="74">
        <f t="shared" si="10"/>
        <v>27652.93</v>
      </c>
      <c r="AF20" s="74">
        <f t="shared" si="10"/>
        <v>18986.64</v>
      </c>
      <c r="AG20" s="74">
        <f t="shared" si="10"/>
        <v>8666.29</v>
      </c>
      <c r="AH20" s="74">
        <f t="shared" si="10"/>
        <v>128589.5</v>
      </c>
      <c r="AI20" s="74">
        <f t="shared" si="10"/>
        <v>0</v>
      </c>
      <c r="AJ20" s="74">
        <f t="shared" si="10"/>
        <v>128589.5</v>
      </c>
      <c r="AK20" s="74">
        <f t="shared" si="10"/>
        <v>0</v>
      </c>
      <c r="AL20" s="74">
        <f t="shared" si="10"/>
        <v>137255.79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0">
      <c r="B24" s="47" t="s">
        <v>131</v>
      </c>
      <c r="C24" s="47" t="s">
        <v>193</v>
      </c>
      <c r="D24" s="47" t="s">
        <v>22</v>
      </c>
      <c r="E24" s="47" t="s">
        <v>23</v>
      </c>
      <c r="AD24" s="10"/>
    </row>
    <row r="25" ht="18.75" customHeight="1" spans="2:5">
      <c r="B25" s="48">
        <f>AJ20</f>
        <v>128589.5</v>
      </c>
      <c r="C25" s="48">
        <f>AG20</f>
        <v>8666.29</v>
      </c>
      <c r="D25" s="48">
        <f>AK20</f>
        <v>0</v>
      </c>
      <c r="E25" s="48">
        <f>B25+C25+D25</f>
        <v>137255.79</v>
      </c>
    </row>
    <row r="26" spans="2:5">
      <c r="B26" s="49"/>
      <c r="C26" s="49"/>
      <c r="D26" s="49"/>
      <c r="E26" s="49" t="e">
        <f>#REF!</f>
        <v>#REF!</v>
      </c>
    </row>
    <row r="27" s="14" customFormat="1" spans="1:35">
      <c r="A27" s="51" t="s">
        <v>194</v>
      </c>
      <c r="B27" s="52" t="s">
        <v>195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196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197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198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199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200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201</v>
      </c>
    </row>
    <row r="35" spans="2:2">
      <c r="B35" s="59" t="s">
        <v>202</v>
      </c>
    </row>
    <row r="36" spans="2:2">
      <c r="B36" s="59" t="s">
        <v>203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rgb="FF00B050"/>
    <pageSetUpPr fitToPage="1"/>
  </sheetPr>
  <dimension ref="A1:AT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A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204</v>
      </c>
      <c r="AN2" s="29" t="s">
        <v>205</v>
      </c>
      <c r="AO2" s="114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86.35</v>
      </c>
      <c r="O4" s="71">
        <v>11.98</v>
      </c>
      <c r="P4" s="71">
        <v>177</v>
      </c>
      <c r="Q4" s="89">
        <f>ROUND(SUM(M4:P4),2)</f>
        <v>594.79</v>
      </c>
      <c r="R4" s="70">
        <v>0</v>
      </c>
      <c r="S4" s="90">
        <f>L4+IFERROR(VLOOKUP($E:$E,'（居民）工资表-8月'!$E:$S,15,0),0)</f>
        <v>72000</v>
      </c>
      <c r="T4" s="91">
        <f>5000+IFERROR(VLOOKUP($E:$E,'（居民）工资表-8月'!$E:$T,16,0),0)</f>
        <v>45000</v>
      </c>
      <c r="U4" s="91">
        <f>Q4+IFERROR(VLOOKUP($E:$E,'（居民）工资表-8月'!$E:$U,17,0),0)</f>
        <v>5393.11</v>
      </c>
      <c r="V4" s="70"/>
      <c r="W4" s="129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5">
        <f>ROUND(S4-T4-U4-AB4-AC4,2)</f>
        <v>21606.89</v>
      </c>
      <c r="AE4" s="96">
        <f>ROUND(MAX((AD4)*{0.03;0.1;0.2;0.25;0.3;0.35;0.45}-{0;2520;16920;31920;52920;85920;181920},0),2)</f>
        <v>648.21</v>
      </c>
      <c r="AF4" s="97">
        <f>IFERROR(VLOOKUP(E:E,'（居民）工资表-8月'!E:AF,28,0)+VLOOKUP(E:E,'（居民）工资表-8月'!E:AG,29,0),0)</f>
        <v>576.05</v>
      </c>
      <c r="AG4" s="97">
        <f>AE4-AF4</f>
        <v>72.1600000000001</v>
      </c>
      <c r="AH4" s="107">
        <f>ROUND(IF((L4-Q4-AG4)&lt;0,0,(L4-Q4-AG4)),2)</f>
        <v>7333.05</v>
      </c>
      <c r="AI4" s="108"/>
      <c r="AJ4" s="107">
        <f>AH4+AI4</f>
        <v>7333.05</v>
      </c>
      <c r="AK4" s="109"/>
      <c r="AL4" s="107">
        <f>AJ4+AG4+AK4</f>
        <v>7405.21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IF(SUMPRODUCT(N(E$1:E$8=E4))&gt;1,"重复","不")</f>
        <v>不</v>
      </c>
      <c r="AT4" s="116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89">
        <f t="shared" ref="Q5:Q19" si="0">ROUND(SUM(M5:P5),2)</f>
        <v>655.8</v>
      </c>
      <c r="R5" s="70">
        <v>0</v>
      </c>
      <c r="S5" s="90">
        <f>L5+IFERROR(VLOOKUP($E:$E,'（居民）工资表-8月'!$E:$S,15,0),0)</f>
        <v>51700</v>
      </c>
      <c r="T5" s="91">
        <f>5000+IFERROR(VLOOKUP($E:$E,'（居民）工资表-8月'!$E:$T,16,0),0)</f>
        <v>45000</v>
      </c>
      <c r="U5" s="91">
        <f>Q5+IFERROR(VLOOKUP($E:$E,'（居民）工资表-8月'!$E:$U,17,0),0)</f>
        <v>5940.84</v>
      </c>
      <c r="V5" s="70"/>
      <c r="W5" s="129"/>
      <c r="X5" s="70"/>
      <c r="Y5" s="70"/>
      <c r="Z5" s="70"/>
      <c r="AA5" s="70"/>
      <c r="AB5" s="90">
        <f t="shared" ref="AB5:AB19" si="1">ROUND(SUM(V5:AA5),2)</f>
        <v>0</v>
      </c>
      <c r="AC5" s="90">
        <f>R5+IFERROR(VLOOKUP($E:$E,'（居民）工资表-8月'!$E:$AC,25,0),0)</f>
        <v>0</v>
      </c>
      <c r="AD5" s="95">
        <f t="shared" ref="AD5:AD19" si="2">ROUND(S5-T5-U5-AB5-AC5,2)</f>
        <v>759.16</v>
      </c>
      <c r="AE5" s="96">
        <f>ROUND(MAX((AD5)*{0.03;0.1;0.2;0.25;0.3;0.35;0.45}-{0;2520;16920;31920;52920;85920;181920},0),2)</f>
        <v>22.77</v>
      </c>
      <c r="AF5" s="97">
        <f>IFERROR(VLOOKUP(E:E,'（居民）工资表-8月'!E:AF,28,0)+VLOOKUP(E:E,'（居民）工资表-8月'!E:AG,29,0),0)</f>
        <v>21.45</v>
      </c>
      <c r="AG5" s="97">
        <f t="shared" ref="AG5:AG19" si="3">AE5-AF5</f>
        <v>1.32</v>
      </c>
      <c r="AH5" s="107">
        <f t="shared" ref="AH5:AH19" si="4">ROUND(IF((L5-Q5-AG5)&lt;0,0,(L5-Q5-AG5)),2)</f>
        <v>5042.88</v>
      </c>
      <c r="AI5" s="108"/>
      <c r="AJ5" s="107">
        <f t="shared" ref="AJ5:AJ19" si="5">AH5+AI5</f>
        <v>5042.88</v>
      </c>
      <c r="AK5" s="109"/>
      <c r="AL5" s="107">
        <f t="shared" ref="AL5:AL19" si="6">AJ5+AG5+AK5</f>
        <v>5044.2</v>
      </c>
      <c r="AM5" s="109"/>
      <c r="AN5" s="109"/>
      <c r="AO5" s="109"/>
      <c r="AP5" s="109"/>
      <c r="AQ5" s="109"/>
      <c r="AR5" s="116" t="str">
        <f t="shared" ref="AR5:AR19" si="7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 t="shared" ref="AS5:AS19" si="8">IF(SUMPRODUCT(N(E$1:E$8=E5))&gt;1,"重复","不")</f>
        <v>不</v>
      </c>
      <c r="AT5" s="116" t="str">
        <f t="shared" ref="AT5:AT19" si="9">IF(SUMPRODUCT(N(AO$1:AO$8=AO5))&gt;1,"重复","不")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31560</v>
      </c>
      <c r="M6" s="71">
        <v>584.8</v>
      </c>
      <c r="N6" s="71">
        <v>146.2</v>
      </c>
      <c r="O6" s="71">
        <v>36.55</v>
      </c>
      <c r="P6" s="71">
        <v>181.3</v>
      </c>
      <c r="Q6" s="89">
        <f t="shared" si="0"/>
        <v>948.85</v>
      </c>
      <c r="R6" s="70">
        <v>0</v>
      </c>
      <c r="S6" s="90">
        <f>L6+IFERROR(VLOOKUP($E:$E,'（居民）工资表-8月'!$E:$S,15,0),0)</f>
        <v>274040</v>
      </c>
      <c r="T6" s="91">
        <f>5000+IFERROR(VLOOKUP($E:$E,'（居民）工资表-8月'!$E:$T,16,0),0)</f>
        <v>45000</v>
      </c>
      <c r="U6" s="91">
        <f>Q6+IFERROR(VLOOKUP($E:$E,'（居民）工资表-8月'!$E:$U,17,0),0)</f>
        <v>8537.85</v>
      </c>
      <c r="V6" s="70"/>
      <c r="W6" s="129"/>
      <c r="X6" s="70"/>
      <c r="Y6" s="70"/>
      <c r="Z6" s="70"/>
      <c r="AA6" s="70"/>
      <c r="AB6" s="90">
        <f t="shared" si="1"/>
        <v>0</v>
      </c>
      <c r="AC6" s="90">
        <f>R6+IFERROR(VLOOKUP($E:$E,'（居民）工资表-8月'!$E:$AC,25,0),0)</f>
        <v>0</v>
      </c>
      <c r="AD6" s="95">
        <f t="shared" si="2"/>
        <v>220502.15</v>
      </c>
      <c r="AE6" s="96">
        <f>ROUND(MAX((AD6)*{0.03;0.1;0.2;0.25;0.3;0.35;0.45}-{0;2520;16920;31920;52920;85920;181920},0),2)</f>
        <v>27180.43</v>
      </c>
      <c r="AF6" s="97">
        <f>IFERROR(VLOOKUP(E:E,'（居民）工资表-8月'!E:AF,28,0)+VLOOKUP(E:E,'（居民）工资表-8月'!E:AG,29,0),0)</f>
        <v>22058.2</v>
      </c>
      <c r="AG6" s="97">
        <f t="shared" si="3"/>
        <v>5122.23</v>
      </c>
      <c r="AH6" s="107">
        <f t="shared" si="4"/>
        <v>25488.92</v>
      </c>
      <c r="AI6" s="108"/>
      <c r="AJ6" s="107">
        <f t="shared" si="5"/>
        <v>25488.92</v>
      </c>
      <c r="AK6" s="109"/>
      <c r="AL6" s="107">
        <f t="shared" si="6"/>
        <v>30611.15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9600</v>
      </c>
      <c r="M7" s="71">
        <v>306.56</v>
      </c>
      <c r="N7" s="71">
        <v>84.64</v>
      </c>
      <c r="O7" s="71">
        <v>19.16</v>
      </c>
      <c r="P7" s="71">
        <v>97</v>
      </c>
      <c r="Q7" s="89">
        <f t="shared" si="0"/>
        <v>507.36</v>
      </c>
      <c r="R7" s="70">
        <v>0</v>
      </c>
      <c r="S7" s="90">
        <f>L7+IFERROR(VLOOKUP($E:$E,'（居民）工资表-8月'!$E:$S,15,0),0)</f>
        <v>77200</v>
      </c>
      <c r="T7" s="91">
        <f>5000+IFERROR(VLOOKUP($E:$E,'（居民）工资表-8月'!$E:$T,16,0),0)</f>
        <v>45000</v>
      </c>
      <c r="U7" s="91">
        <f>Q7+IFERROR(VLOOKUP($E:$E,'（居民）工资表-8月'!$E:$U,17,0),0)</f>
        <v>4688.34</v>
      </c>
      <c r="V7" s="70"/>
      <c r="W7" s="129"/>
      <c r="X7" s="70"/>
      <c r="Y7" s="70"/>
      <c r="Z7" s="70"/>
      <c r="AA7" s="70"/>
      <c r="AB7" s="90">
        <f t="shared" si="1"/>
        <v>0</v>
      </c>
      <c r="AC7" s="90">
        <f>R7+IFERROR(VLOOKUP($E:$E,'（居民）工资表-8月'!$E:$AC,25,0),0)</f>
        <v>0</v>
      </c>
      <c r="AD7" s="95">
        <f t="shared" si="2"/>
        <v>27511.66</v>
      </c>
      <c r="AE7" s="96">
        <f>ROUND(MAX((AD7)*{0.03;0.1;0.2;0.25;0.3;0.35;0.45}-{0;2520;16920;31920;52920;85920;181920},0),2)</f>
        <v>825.35</v>
      </c>
      <c r="AF7" s="97">
        <f>IFERROR(VLOOKUP(E:E,'（居民）工资表-8月'!E:AF,28,0)+VLOOKUP(E:E,'（居民）工资表-8月'!E:AG,29,0),0)</f>
        <v>702.57</v>
      </c>
      <c r="AG7" s="97">
        <f t="shared" si="3"/>
        <v>122.78</v>
      </c>
      <c r="AH7" s="107">
        <f t="shared" si="4"/>
        <v>8969.86</v>
      </c>
      <c r="AI7" s="108"/>
      <c r="AJ7" s="107">
        <f t="shared" si="5"/>
        <v>8969.86</v>
      </c>
      <c r="AK7" s="109"/>
      <c r="AL7" s="107">
        <f t="shared" si="6"/>
        <v>9092.64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11100</v>
      </c>
      <c r="M8" s="71">
        <v>306.56</v>
      </c>
      <c r="N8" s="71">
        <v>82.64</v>
      </c>
      <c r="O8" s="71">
        <v>19.16</v>
      </c>
      <c r="P8" s="71">
        <v>172</v>
      </c>
      <c r="Q8" s="89">
        <f t="shared" si="0"/>
        <v>580.36</v>
      </c>
      <c r="R8" s="70">
        <v>0</v>
      </c>
      <c r="S8" s="90">
        <f>L8+IFERROR(VLOOKUP($E:$E,'（居民）工资表-8月'!$E:$S,15,0),0)</f>
        <v>96200</v>
      </c>
      <c r="T8" s="91">
        <f>5000+IFERROR(VLOOKUP($E:$E,'（居民）工资表-8月'!$E:$T,16,0),0)</f>
        <v>45000</v>
      </c>
      <c r="U8" s="91">
        <f>Q8+IFERROR(VLOOKUP($E:$E,'（居民）工资表-8月'!$E:$U,17,0),0)</f>
        <v>6373.08</v>
      </c>
      <c r="V8" s="70"/>
      <c r="W8" s="129"/>
      <c r="X8" s="70"/>
      <c r="Y8" s="70"/>
      <c r="Z8" s="70"/>
      <c r="AA8" s="70"/>
      <c r="AB8" s="90">
        <f t="shared" si="1"/>
        <v>0</v>
      </c>
      <c r="AC8" s="90">
        <f>R8+IFERROR(VLOOKUP($E:$E,'（居民）工资表-8月'!$E:$AC,25,0),0)</f>
        <v>0</v>
      </c>
      <c r="AD8" s="95">
        <f t="shared" si="2"/>
        <v>44826.92</v>
      </c>
      <c r="AE8" s="96">
        <f>ROUND(MAX((AD8)*{0.03;0.1;0.2;0.25;0.3;0.35;0.45}-{0;2520;16920;31920;52920;85920;181920},0),2)</f>
        <v>1962.69</v>
      </c>
      <c r="AF8" s="97">
        <f>IFERROR(VLOOKUP(E:E,'（居民）工资表-8月'!E:AF,28,0)+VLOOKUP(E:E,'（居民）工资表-8月'!E:AG,29,0),0)</f>
        <v>1410.73</v>
      </c>
      <c r="AG8" s="97">
        <f t="shared" si="3"/>
        <v>551.96</v>
      </c>
      <c r="AH8" s="107">
        <f t="shared" si="4"/>
        <v>9967.68</v>
      </c>
      <c r="AI8" s="108"/>
      <c r="AJ8" s="107">
        <f t="shared" si="5"/>
        <v>9967.68</v>
      </c>
      <c r="AK8" s="109"/>
      <c r="AL8" s="107">
        <f t="shared" si="6"/>
        <v>10519.64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315.6</v>
      </c>
      <c r="N9" s="71">
        <v>86.72</v>
      </c>
      <c r="O9" s="71">
        <v>11.84</v>
      </c>
      <c r="P9" s="71">
        <v>100</v>
      </c>
      <c r="Q9" s="89">
        <f t="shared" si="0"/>
        <v>514.16</v>
      </c>
      <c r="R9" s="70">
        <v>0</v>
      </c>
      <c r="S9" s="90">
        <f>L9+IFERROR(VLOOKUP($E:$E,'（居民）工资表-8月'!$E:$S,15,0),0)</f>
        <v>58500</v>
      </c>
      <c r="T9" s="91">
        <f>5000+IFERROR(VLOOKUP($E:$E,'（居民）工资表-8月'!$E:$T,16,0),0)</f>
        <v>45000</v>
      </c>
      <c r="U9" s="91">
        <f>Q9+IFERROR(VLOOKUP($E:$E,'（居民）工资表-8月'!$E:$U,17,0),0)</f>
        <v>4726.77</v>
      </c>
      <c r="V9" s="70"/>
      <c r="W9" s="129"/>
      <c r="X9" s="70"/>
      <c r="Y9" s="70"/>
      <c r="Z9" s="70"/>
      <c r="AA9" s="70"/>
      <c r="AB9" s="90">
        <f t="shared" si="1"/>
        <v>0</v>
      </c>
      <c r="AC9" s="90">
        <f>R9+IFERROR(VLOOKUP($E:$E,'（居民）工资表-8月'!$E:$AC,25,0),0)</f>
        <v>0</v>
      </c>
      <c r="AD9" s="95">
        <f t="shared" si="2"/>
        <v>8773.23</v>
      </c>
      <c r="AE9" s="96">
        <f>ROUND(MAX((AD9)*{0.03;0.1;0.2;0.25;0.3;0.35;0.45}-{0;2520;16920;31920;52920;85920;181920},0),2)</f>
        <v>263.2</v>
      </c>
      <c r="AF9" s="97">
        <f>IFERROR(VLOOKUP(E:E,'（居民）工资表-8月'!E:AF,28,0)+VLOOKUP(E:E,'（居民）工资表-8月'!E:AG,29,0),0)</f>
        <v>233.62</v>
      </c>
      <c r="AG9" s="97">
        <f t="shared" si="3"/>
        <v>29.58</v>
      </c>
      <c r="AH9" s="107">
        <f t="shared" si="4"/>
        <v>5956.26</v>
      </c>
      <c r="AI9" s="108"/>
      <c r="AJ9" s="107">
        <f t="shared" si="5"/>
        <v>5956.26</v>
      </c>
      <c r="AK9" s="109"/>
      <c r="AL9" s="107">
        <f t="shared" si="6"/>
        <v>5985.84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144</v>
      </c>
      <c r="G10" s="39" t="s">
        <v>165</v>
      </c>
      <c r="H10" s="40"/>
      <c r="I10" s="40"/>
      <c r="J10" s="69"/>
      <c r="K10" s="40"/>
      <c r="L10" s="70">
        <v>5500</v>
      </c>
      <c r="M10" s="71">
        <v>445.36</v>
      </c>
      <c r="N10" s="71">
        <v>116.34</v>
      </c>
      <c r="O10" s="71">
        <v>27.84</v>
      </c>
      <c r="P10" s="71">
        <v>105</v>
      </c>
      <c r="Q10" s="89">
        <f t="shared" si="0"/>
        <v>694.54</v>
      </c>
      <c r="R10" s="70">
        <v>0</v>
      </c>
      <c r="S10" s="90">
        <f>L10+IFERROR(VLOOKUP($E:$E,'（居民）工资表-8月'!$E:$S,15,0),0)</f>
        <v>16500</v>
      </c>
      <c r="T10" s="91">
        <f>5000+IFERROR(VLOOKUP($E:$E,'（居民）工资表-8月'!$E:$T,16,0),0)</f>
        <v>15000</v>
      </c>
      <c r="U10" s="91">
        <f>Q10+IFERROR(VLOOKUP($E:$E,'（居民）工资表-8月'!$E:$U,17,0),0)</f>
        <v>1745.52</v>
      </c>
      <c r="V10" s="70"/>
      <c r="W10" s="129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R10+IFERROR(VLOOKUP($E:$E,'（居民）工资表-8月'!$E:$AC,25,0),0)</f>
        <v>0</v>
      </c>
      <c r="AD10" s="95">
        <f t="shared" si="2"/>
        <v>-245.52</v>
      </c>
      <c r="AE10" s="96">
        <f>ROUND(MAX((AD10)*{0.03;0.1;0.2;0.25;0.3;0.35;0.45}-{0;2520;16920;31920;52920;85920;181920},0),2)</f>
        <v>0</v>
      </c>
      <c r="AF10" s="97">
        <f>IFERROR(VLOOKUP(E:E,'（居民）工资表-8月'!E:AF,28,0)+VLOOKUP(E:E,'（居民）工资表-8月'!E:AG,29,0),0)</f>
        <v>0</v>
      </c>
      <c r="AG10" s="97">
        <f t="shared" si="3"/>
        <v>0</v>
      </c>
      <c r="AH10" s="107">
        <f t="shared" si="4"/>
        <v>4805.46</v>
      </c>
      <c r="AI10" s="108"/>
      <c r="AJ10" s="107">
        <f t="shared" si="5"/>
        <v>4805.46</v>
      </c>
      <c r="AK10" s="109"/>
      <c r="AL10" s="107">
        <f t="shared" si="6"/>
        <v>4805.46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148</v>
      </c>
      <c r="G11" s="39" t="s">
        <v>170</v>
      </c>
      <c r="H11" s="40"/>
      <c r="I11" s="40"/>
      <c r="J11" s="69"/>
      <c r="K11" s="40"/>
      <c r="L11" s="70">
        <v>4598.8</v>
      </c>
      <c r="M11" s="71">
        <v>352</v>
      </c>
      <c r="N11" s="71">
        <v>109</v>
      </c>
      <c r="O11" s="71">
        <v>22</v>
      </c>
      <c r="P11" s="71">
        <v>109</v>
      </c>
      <c r="Q11" s="89">
        <f t="shared" si="0"/>
        <v>592</v>
      </c>
      <c r="R11" s="70">
        <v>0</v>
      </c>
      <c r="S11" s="90">
        <f>L11+IFERROR(VLOOKUP($E:$E,'（居民）工资表-8月'!$E:$S,15,0),0)</f>
        <v>40951.44</v>
      </c>
      <c r="T11" s="91">
        <f>5000+IFERROR(VLOOKUP($E:$E,'（居民）工资表-8月'!$E:$T,16,0),0)</f>
        <v>45000</v>
      </c>
      <c r="U11" s="91">
        <f>Q11+IFERROR(VLOOKUP($E:$E,'（居民）工资表-8月'!$E:$U,17,0),0)</f>
        <v>5557.16</v>
      </c>
      <c r="V11" s="70"/>
      <c r="W11" s="129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R11+IFERROR(VLOOKUP($E:$E,'（居民）工资表-8月'!$E:$AC,25,0),0)</f>
        <v>0</v>
      </c>
      <c r="AD11" s="95">
        <f t="shared" si="2"/>
        <v>-9605.72</v>
      </c>
      <c r="AE11" s="96">
        <f>ROUND(MAX((AD11)*{0.03;0.1;0.2;0.25;0.3;0.35;0.45}-{0;2520;16920;31920;52920;85920;181920},0),2)</f>
        <v>0</v>
      </c>
      <c r="AF11" s="97">
        <f>IFERROR(VLOOKUP(E:E,'（居民）工资表-8月'!E:AF,28,0)+VLOOKUP(E:E,'（居民）工资表-8月'!E:AG,29,0),0)</f>
        <v>0</v>
      </c>
      <c r="AG11" s="97">
        <f t="shared" si="3"/>
        <v>0</v>
      </c>
      <c r="AH11" s="107">
        <f t="shared" si="4"/>
        <v>4006.8</v>
      </c>
      <c r="AI11" s="108"/>
      <c r="AJ11" s="107">
        <f t="shared" si="5"/>
        <v>4006.8</v>
      </c>
      <c r="AK11" s="109"/>
      <c r="AL11" s="107">
        <f t="shared" si="6"/>
        <v>4006.8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173</v>
      </c>
      <c r="D12" s="37" t="s">
        <v>143</v>
      </c>
      <c r="E12" s="326" t="s">
        <v>174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11000</v>
      </c>
      <c r="M12" s="71">
        <v>306.56</v>
      </c>
      <c r="N12" s="71">
        <v>112.49</v>
      </c>
      <c r="O12" s="71">
        <v>19.16</v>
      </c>
      <c r="P12" s="71">
        <v>97</v>
      </c>
      <c r="Q12" s="89">
        <f t="shared" si="0"/>
        <v>535.21</v>
      </c>
      <c r="R12" s="70">
        <v>0</v>
      </c>
      <c r="S12" s="90">
        <f>L12+IFERROR(VLOOKUP($E:$E,'（居民）工资表-8月'!$E:$S,15,0),0)</f>
        <v>83600</v>
      </c>
      <c r="T12" s="91">
        <f>5000+IFERROR(VLOOKUP($E:$E,'（居民）工资表-8月'!$E:$T,16,0),0)</f>
        <v>45000</v>
      </c>
      <c r="U12" s="91">
        <f>Q12+IFERROR(VLOOKUP($E:$E,'（居民）工资表-8月'!$E:$U,17,0),0)</f>
        <v>4959.63</v>
      </c>
      <c r="V12" s="70"/>
      <c r="W12" s="129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R12+IFERROR(VLOOKUP($E:$E,'（居民）工资表-8月'!$E:$AC,25,0),0)</f>
        <v>0</v>
      </c>
      <c r="AD12" s="95">
        <f t="shared" si="2"/>
        <v>33640.37</v>
      </c>
      <c r="AE12" s="96">
        <f>ROUND(MAX((AD12)*{0.03;0.1;0.2;0.25;0.3;0.35;0.45}-{0;2520;16920;31920;52920;85920;181920},0),2)</f>
        <v>1009.21</v>
      </c>
      <c r="AF12" s="97">
        <f>IFERROR(VLOOKUP(E:E,'（居民）工资表-8月'!E:AF,28,0)+VLOOKUP(E:E,'（居民）工资表-8月'!E:AG,29,0),0)</f>
        <v>845.27</v>
      </c>
      <c r="AG12" s="97">
        <f t="shared" si="3"/>
        <v>163.94</v>
      </c>
      <c r="AH12" s="107">
        <f t="shared" si="4"/>
        <v>10300.85</v>
      </c>
      <c r="AI12" s="108"/>
      <c r="AJ12" s="107">
        <f t="shared" si="5"/>
        <v>10300.85</v>
      </c>
      <c r="AK12" s="109"/>
      <c r="AL12" s="107">
        <f t="shared" si="6"/>
        <v>10464.79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175</v>
      </c>
      <c r="D13" s="37" t="s">
        <v>143</v>
      </c>
      <c r="E13" s="326" t="s">
        <v>176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8434.78</v>
      </c>
      <c r="M13" s="71">
        <v>306.56</v>
      </c>
      <c r="N13" s="71">
        <v>82.64</v>
      </c>
      <c r="O13" s="71">
        <v>19.16</v>
      </c>
      <c r="P13" s="71">
        <v>172</v>
      </c>
      <c r="Q13" s="89">
        <f t="shared" si="0"/>
        <v>580.36</v>
      </c>
      <c r="R13" s="70">
        <v>0</v>
      </c>
      <c r="S13" s="90">
        <f>L13+IFERROR(VLOOKUP($E:$E,'（居民）工资表-8月'!$E:$S,15,0),0)</f>
        <v>67662.05</v>
      </c>
      <c r="T13" s="91">
        <f>5000+IFERROR(VLOOKUP($E:$E,'（居民）工资表-8月'!$E:$T,16,0),0)</f>
        <v>45000</v>
      </c>
      <c r="U13" s="91">
        <f>Q13+IFERROR(VLOOKUP($E:$E,'（居民）工资表-8月'!$E:$U,17,0),0)</f>
        <v>6373.08</v>
      </c>
      <c r="V13" s="70"/>
      <c r="W13" s="129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R13+IFERROR(VLOOKUP($E:$E,'（居民）工资表-8月'!$E:$AC,25,0),0)</f>
        <v>0</v>
      </c>
      <c r="AD13" s="95">
        <f t="shared" si="2"/>
        <v>16288.97</v>
      </c>
      <c r="AE13" s="96">
        <f>ROUND(MAX((AD13)*{0.03;0.1;0.2;0.25;0.3;0.35;0.45}-{0;2520;16920;31920;52920;85920;181920},0),2)</f>
        <v>488.67</v>
      </c>
      <c r="AF13" s="97">
        <f>IFERROR(VLOOKUP(E:E,'（居民）工资表-8月'!E:AF,28,0)+VLOOKUP(E:E,'（居民）工资表-8月'!E:AG,29,0),0)</f>
        <v>403.04</v>
      </c>
      <c r="AG13" s="97">
        <f t="shared" si="3"/>
        <v>85.63</v>
      </c>
      <c r="AH13" s="107">
        <f t="shared" si="4"/>
        <v>7768.79</v>
      </c>
      <c r="AI13" s="108"/>
      <c r="AJ13" s="107">
        <f t="shared" si="5"/>
        <v>7768.79</v>
      </c>
      <c r="AK13" s="109"/>
      <c r="AL13" s="107">
        <f t="shared" si="6"/>
        <v>7854.42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177</v>
      </c>
      <c r="D14" s="37" t="s">
        <v>143</v>
      </c>
      <c r="E14" s="326" t="s">
        <v>178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9800</v>
      </c>
      <c r="M14" s="71">
        <v>306.56</v>
      </c>
      <c r="N14" s="71">
        <v>82.64</v>
      </c>
      <c r="O14" s="71">
        <v>19.16</v>
      </c>
      <c r="P14" s="71">
        <v>172</v>
      </c>
      <c r="Q14" s="89">
        <f t="shared" si="0"/>
        <v>580.36</v>
      </c>
      <c r="R14" s="70">
        <v>0</v>
      </c>
      <c r="S14" s="90">
        <f>L14+IFERROR(VLOOKUP($E:$E,'（居民）工资表-8月'!$E:$S,15,0),0)</f>
        <v>72408.7</v>
      </c>
      <c r="T14" s="91">
        <f>5000+IFERROR(VLOOKUP($E:$E,'（居民）工资表-8月'!$E:$T,16,0),0)</f>
        <v>45000</v>
      </c>
      <c r="U14" s="91">
        <f>Q14+IFERROR(VLOOKUP($E:$E,'（居民）工资表-8月'!$E:$U,17,0),0)</f>
        <v>6373.08</v>
      </c>
      <c r="V14" s="70"/>
      <c r="W14" s="129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R14+IFERROR(VLOOKUP($E:$E,'（居民）工资表-8月'!$E:$AC,25,0),0)</f>
        <v>0</v>
      </c>
      <c r="AD14" s="95">
        <f t="shared" si="2"/>
        <v>21035.62</v>
      </c>
      <c r="AE14" s="96">
        <f>ROUND(MAX((AD14)*{0.03;0.1;0.2;0.25;0.3;0.35;0.45}-{0;2520;16920;31920;52920;85920;181920},0),2)</f>
        <v>631.07</v>
      </c>
      <c r="AF14" s="97">
        <f>IFERROR(VLOOKUP(E:E,'（居民）工资表-8月'!E:AF,28,0)+VLOOKUP(E:E,'（居民）工资表-8月'!E:AG,29,0),0)</f>
        <v>504.48</v>
      </c>
      <c r="AG14" s="97">
        <f t="shared" si="3"/>
        <v>126.59</v>
      </c>
      <c r="AH14" s="107">
        <f t="shared" si="4"/>
        <v>9093.05</v>
      </c>
      <c r="AI14" s="108"/>
      <c r="AJ14" s="107">
        <f t="shared" si="5"/>
        <v>9093.05</v>
      </c>
      <c r="AK14" s="109"/>
      <c r="AL14" s="107">
        <f t="shared" si="6"/>
        <v>9219.64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 t="s">
        <v>181</v>
      </c>
      <c r="H15" s="40"/>
      <c r="I15" s="40"/>
      <c r="J15" s="69"/>
      <c r="K15" s="40"/>
      <c r="L15" s="70">
        <v>7900</v>
      </c>
      <c r="M15" s="71">
        <v>306.56</v>
      </c>
      <c r="N15" s="71">
        <v>112.49</v>
      </c>
      <c r="O15" s="71">
        <v>19.16</v>
      </c>
      <c r="P15" s="71">
        <v>97</v>
      </c>
      <c r="Q15" s="89">
        <f t="shared" si="0"/>
        <v>535.21</v>
      </c>
      <c r="R15" s="70">
        <v>0</v>
      </c>
      <c r="S15" s="90">
        <f>L15+IFERROR(VLOOKUP($E:$E,'（居民）工资表-8月'!$E:$S,15,0),0)</f>
        <v>66600</v>
      </c>
      <c r="T15" s="91">
        <f>5000+IFERROR(VLOOKUP($E:$E,'（居民）工资表-8月'!$E:$T,16,0),0)</f>
        <v>45000</v>
      </c>
      <c r="U15" s="91">
        <f>Q15+IFERROR(VLOOKUP($E:$E,'（居民）工资表-8月'!$E:$U,17,0),0)</f>
        <v>4959.63</v>
      </c>
      <c r="V15" s="70"/>
      <c r="W15" s="129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R15+IFERROR(VLOOKUP($E:$E,'（居民）工资表-8月'!$E:$AC,25,0),0)</f>
        <v>0</v>
      </c>
      <c r="AD15" s="95">
        <f t="shared" si="2"/>
        <v>16640.37</v>
      </c>
      <c r="AE15" s="96">
        <f>ROUND(MAX((AD15)*{0.03;0.1;0.2;0.25;0.3;0.35;0.45}-{0;2520;16920;31920;52920;85920;181920},0),2)</f>
        <v>499.21</v>
      </c>
      <c r="AF15" s="97">
        <f>IFERROR(VLOOKUP(E:E,'（居民）工资表-8月'!E:AF,28,0)+VLOOKUP(E:E,'（居民）工资表-8月'!E:AG,29,0),0)</f>
        <v>428.27</v>
      </c>
      <c r="AG15" s="97">
        <f t="shared" si="3"/>
        <v>70.94</v>
      </c>
      <c r="AH15" s="107">
        <f t="shared" si="4"/>
        <v>7293.85</v>
      </c>
      <c r="AI15" s="108"/>
      <c r="AJ15" s="107">
        <f t="shared" si="5"/>
        <v>7293.85</v>
      </c>
      <c r="AK15" s="109"/>
      <c r="AL15" s="107">
        <f t="shared" si="6"/>
        <v>7364.79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182</v>
      </c>
      <c r="D16" s="37" t="s">
        <v>143</v>
      </c>
      <c r="E16" s="326" t="s">
        <v>183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7060</v>
      </c>
      <c r="M16" s="71">
        <v>306.56</v>
      </c>
      <c r="N16" s="71">
        <v>84.64</v>
      </c>
      <c r="O16" s="71">
        <v>19.16</v>
      </c>
      <c r="P16" s="71">
        <v>97</v>
      </c>
      <c r="Q16" s="89">
        <f t="shared" si="0"/>
        <v>507.36</v>
      </c>
      <c r="R16" s="70">
        <v>0</v>
      </c>
      <c r="S16" s="90">
        <f>L16+IFERROR(VLOOKUP($E:$E,'（居民）工资表-8月'!$E:$S,15,0),0)</f>
        <v>59401.74</v>
      </c>
      <c r="T16" s="91">
        <f>5000+IFERROR(VLOOKUP($E:$E,'（居民）工资表-8月'!$E:$T,16,0),0)</f>
        <v>45000</v>
      </c>
      <c r="U16" s="91">
        <f>Q16+IFERROR(VLOOKUP($E:$E,'（居民）工资表-8月'!$E:$U,17,0),0)</f>
        <v>4688.34</v>
      </c>
      <c r="V16" s="70"/>
      <c r="W16" s="129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R16+IFERROR(VLOOKUP($E:$E,'（居民）工资表-8月'!$E:$AC,25,0),0)</f>
        <v>0</v>
      </c>
      <c r="AD16" s="95">
        <f t="shared" si="2"/>
        <v>9713.4</v>
      </c>
      <c r="AE16" s="96">
        <f>ROUND(MAX((AD16)*{0.03;0.1;0.2;0.25;0.3;0.35;0.45}-{0;2520;16920;31920;52920;85920;181920},0),2)</f>
        <v>291.4</v>
      </c>
      <c r="AF16" s="97">
        <f>IFERROR(VLOOKUP(E:E,'（居民）工资表-8月'!E:AF,28,0)+VLOOKUP(E:E,'（居民）工资表-8月'!E:AG,29,0),0)</f>
        <v>244.82</v>
      </c>
      <c r="AG16" s="97">
        <f t="shared" si="3"/>
        <v>46.58</v>
      </c>
      <c r="AH16" s="107">
        <f t="shared" si="4"/>
        <v>6506.06</v>
      </c>
      <c r="AI16" s="108"/>
      <c r="AJ16" s="107">
        <f t="shared" si="5"/>
        <v>6506.06</v>
      </c>
      <c r="AK16" s="109"/>
      <c r="AL16" s="107">
        <f t="shared" si="6"/>
        <v>6552.64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184</v>
      </c>
      <c r="D17" s="37" t="s">
        <v>143</v>
      </c>
      <c r="E17" s="326" t="s">
        <v>185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8060</v>
      </c>
      <c r="M17" s="71">
        <v>315.6</v>
      </c>
      <c r="N17" s="71">
        <v>86.72</v>
      </c>
      <c r="O17" s="71">
        <v>11.84</v>
      </c>
      <c r="P17" s="71">
        <v>175</v>
      </c>
      <c r="Q17" s="89">
        <f t="shared" si="0"/>
        <v>589.16</v>
      </c>
      <c r="R17" s="70">
        <v>0</v>
      </c>
      <c r="S17" s="90">
        <f>L17+IFERROR(VLOOKUP($E:$E,'（居民）工资表-8月'!$E:$S,15,0),0)</f>
        <v>21680</v>
      </c>
      <c r="T17" s="91">
        <f>5000+IFERROR(VLOOKUP($E:$E,'（居民）工资表-8月'!$E:$T,16,0),0)</f>
        <v>15000</v>
      </c>
      <c r="U17" s="91">
        <f>Q17+IFERROR(VLOOKUP($E:$E,'（居民）工资表-8月'!$E:$U,17,0),0)</f>
        <v>1767.48</v>
      </c>
      <c r="V17" s="70"/>
      <c r="W17" s="129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R17+IFERROR(VLOOKUP($E:$E,'（居民）工资表-8月'!$E:$AC,25,0),0)</f>
        <v>0</v>
      </c>
      <c r="AD17" s="95">
        <f t="shared" si="2"/>
        <v>4912.52</v>
      </c>
      <c r="AE17" s="96">
        <f>ROUND(MAX((AD17)*{0.03;0.1;0.2;0.25;0.3;0.35;0.45}-{0;2520;16920;31920;52920;85920;181920},0),2)</f>
        <v>147.38</v>
      </c>
      <c r="AF17" s="97">
        <f>IFERROR(VLOOKUP(E:E,'（居民）工资表-8月'!E:AF,28,0)+VLOOKUP(E:E,'（居民）工资表-8月'!E:AG,29,0),0)</f>
        <v>73.25</v>
      </c>
      <c r="AG17" s="97">
        <f t="shared" si="3"/>
        <v>74.13</v>
      </c>
      <c r="AH17" s="107">
        <f t="shared" si="4"/>
        <v>7396.71</v>
      </c>
      <c r="AI17" s="108"/>
      <c r="AJ17" s="107">
        <f t="shared" si="5"/>
        <v>7396.71</v>
      </c>
      <c r="AK17" s="109"/>
      <c r="AL17" s="107">
        <f t="shared" si="6"/>
        <v>7470.84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 t="shared" si="8"/>
        <v>不</v>
      </c>
      <c r="AT17" s="116" t="str">
        <f t="shared" si="9"/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186</v>
      </c>
      <c r="D18" s="37" t="s">
        <v>143</v>
      </c>
      <c r="E18" s="326" t="s">
        <v>187</v>
      </c>
      <c r="F18" s="38" t="s">
        <v>148</v>
      </c>
      <c r="G18" s="39"/>
      <c r="H18" s="40"/>
      <c r="I18" s="40"/>
      <c r="J18" s="69"/>
      <c r="K18" s="40"/>
      <c r="L18" s="70">
        <v>6600</v>
      </c>
      <c r="M18" s="71">
        <v>306.56</v>
      </c>
      <c r="N18" s="71">
        <v>76.64</v>
      </c>
      <c r="O18" s="71">
        <v>19.16</v>
      </c>
      <c r="P18" s="71">
        <v>103</v>
      </c>
      <c r="Q18" s="89">
        <f t="shared" si="0"/>
        <v>505.36</v>
      </c>
      <c r="R18" s="70">
        <v>0</v>
      </c>
      <c r="S18" s="90">
        <f>L18+IFERROR(VLOOKUP($E:$E,'（居民）工资表-8月'!$E:$S,15,0),0)</f>
        <v>55800</v>
      </c>
      <c r="T18" s="91">
        <f>5000+IFERROR(VLOOKUP($E:$E,'（居民）工资表-8月'!$E:$T,16,0),0)</f>
        <v>45000</v>
      </c>
      <c r="U18" s="91">
        <f>Q18+IFERROR(VLOOKUP($E:$E,'（居民）工资表-8月'!$E:$U,17,0),0)</f>
        <v>4666.08</v>
      </c>
      <c r="V18" s="70"/>
      <c r="W18" s="129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R18+IFERROR(VLOOKUP($E:$E,'（居民）工资表-8月'!$E:$AC,25,0),0)</f>
        <v>0</v>
      </c>
      <c r="AD18" s="95">
        <f t="shared" si="2"/>
        <v>6133.92</v>
      </c>
      <c r="AE18" s="96">
        <f>ROUND(MAX((AD18)*{0.03;0.1;0.2;0.25;0.3;0.35;0.45}-{0;2520;16920;31920;52920;85920;181920},0),2)</f>
        <v>184.02</v>
      </c>
      <c r="AF18" s="97">
        <f>IFERROR(VLOOKUP(E:E,'（居民）工资表-8月'!E:AF,28,0)+VLOOKUP(E:E,'（居民）工资表-8月'!E:AG,29,0),0)</f>
        <v>151.18</v>
      </c>
      <c r="AG18" s="97">
        <f t="shared" si="3"/>
        <v>32.84</v>
      </c>
      <c r="AH18" s="107">
        <f t="shared" si="4"/>
        <v>6061.8</v>
      </c>
      <c r="AI18" s="108"/>
      <c r="AJ18" s="107">
        <f t="shared" si="5"/>
        <v>6061.8</v>
      </c>
      <c r="AK18" s="109"/>
      <c r="AL18" s="107">
        <f t="shared" si="6"/>
        <v>6094.64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 t="shared" si="8"/>
        <v>不</v>
      </c>
      <c r="AT18" s="116" t="str">
        <f t="shared" si="9"/>
        <v>重复</v>
      </c>
    </row>
    <row r="19" s="12" customFormat="1" ht="18" customHeight="1" spans="1:46">
      <c r="A19" s="36">
        <v>16</v>
      </c>
      <c r="B19" s="37" t="s">
        <v>142</v>
      </c>
      <c r="C19" s="37" t="s">
        <v>188</v>
      </c>
      <c r="D19" s="37" t="s">
        <v>143</v>
      </c>
      <c r="E19" s="326" t="s">
        <v>189</v>
      </c>
      <c r="F19" s="38" t="s">
        <v>148</v>
      </c>
      <c r="G19" s="39">
        <v>15571147351</v>
      </c>
      <c r="H19" s="40"/>
      <c r="I19" s="40"/>
      <c r="J19" s="69"/>
      <c r="K19" s="40"/>
      <c r="L19" s="70">
        <v>4377.04</v>
      </c>
      <c r="M19" s="71">
        <v>326.16</v>
      </c>
      <c r="N19" s="71">
        <v>88.54</v>
      </c>
      <c r="O19" s="71">
        <v>12.23</v>
      </c>
      <c r="P19" s="71">
        <v>100.5</v>
      </c>
      <c r="Q19" s="89">
        <f t="shared" si="0"/>
        <v>527.43</v>
      </c>
      <c r="R19" s="70">
        <v>0</v>
      </c>
      <c r="S19" s="90">
        <f>L19+IFERROR(VLOOKUP($E:$E,'（居民）工资表-8月'!$E:$S,15,0),0)</f>
        <v>9643.71</v>
      </c>
      <c r="T19" s="91">
        <f>5000+IFERROR(VLOOKUP($E:$E,'（居民）工资表-8月'!$E:$T,16,0),0)</f>
        <v>15000</v>
      </c>
      <c r="U19" s="91">
        <f>Q19+IFERROR(VLOOKUP($E:$E,'（居民）工资表-8月'!$E:$U,17,0),0)</f>
        <v>2102.72</v>
      </c>
      <c r="V19" s="70"/>
      <c r="W19" s="129"/>
      <c r="X19" s="70"/>
      <c r="Y19" s="70"/>
      <c r="Z19" s="70"/>
      <c r="AA19" s="70"/>
      <c r="AB19" s="90">
        <f t="shared" si="1"/>
        <v>0</v>
      </c>
      <c r="AC19" s="90">
        <f>R19+IFERROR(VLOOKUP($E:$E,'（居民）工资表-8月'!$E:$AC,25,0),0)</f>
        <v>0</v>
      </c>
      <c r="AD19" s="95">
        <f t="shared" si="2"/>
        <v>-7459.01</v>
      </c>
      <c r="AE19" s="96">
        <f>ROUND(MAX((AD19)*{0.03;0.1;0.2;0.25;0.3;0.35;0.45}-{0;2520;16920;31920;52920;85920;181920},0),2)</f>
        <v>0</v>
      </c>
      <c r="AF19" s="97">
        <f>IFERROR(VLOOKUP(E:E,'（居民）工资表-8月'!E:AF,28,0)+VLOOKUP(E:E,'（居民）工资表-8月'!E:AG,29,0),0)</f>
        <v>0</v>
      </c>
      <c r="AG19" s="97">
        <f t="shared" si="3"/>
        <v>0</v>
      </c>
      <c r="AH19" s="107">
        <f t="shared" si="4"/>
        <v>3849.61</v>
      </c>
      <c r="AI19" s="108"/>
      <c r="AJ19" s="107">
        <f t="shared" si="5"/>
        <v>3849.61</v>
      </c>
      <c r="AK19" s="109"/>
      <c r="AL19" s="107">
        <f t="shared" si="6"/>
        <v>3849.61</v>
      </c>
      <c r="AM19" s="109"/>
      <c r="AN19" s="109"/>
      <c r="AO19" s="109"/>
      <c r="AP19" s="109"/>
      <c r="AQ19" s="109"/>
      <c r="AR19" s="116" t="str">
        <f t="shared" si="7"/>
        <v>正确</v>
      </c>
      <c r="AS19" s="116" t="str">
        <f t="shared" si="8"/>
        <v>不</v>
      </c>
      <c r="AT19" s="116" t="str">
        <f t="shared" si="9"/>
        <v>重复</v>
      </c>
    </row>
    <row r="20" s="12" customFormat="1" ht="19" customHeight="1" spans="1:46">
      <c r="A20" s="36"/>
      <c r="B20" s="37"/>
      <c r="C20" s="37"/>
      <c r="D20" s="37"/>
      <c r="E20" s="37"/>
      <c r="F20" s="38"/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/>
      <c r="R20" s="70"/>
      <c r="S20" s="90"/>
      <c r="T20" s="91"/>
      <c r="U20" s="91"/>
      <c r="V20" s="70"/>
      <c r="W20" s="70"/>
      <c r="X20" s="70"/>
      <c r="Y20" s="70"/>
      <c r="Z20" s="70"/>
      <c r="AA20" s="70"/>
      <c r="AB20" s="90"/>
      <c r="AC20" s="90"/>
      <c r="AD20" s="95"/>
      <c r="AE20" s="96"/>
      <c r="AF20" s="97"/>
      <c r="AG20" s="97"/>
      <c r="AH20" s="107"/>
      <c r="AI20" s="108"/>
      <c r="AJ20" s="107"/>
      <c r="AK20" s="109"/>
      <c r="AL20" s="107"/>
      <c r="AM20" s="109"/>
      <c r="AN20" s="109"/>
      <c r="AO20" s="109"/>
      <c r="AP20" s="109"/>
      <c r="AQ20" s="109"/>
      <c r="AR20" s="116"/>
      <c r="AS20" s="116"/>
      <c r="AT20" s="116"/>
    </row>
    <row r="21" s="13" customFormat="1" ht="19" customHeight="1" spans="1:46">
      <c r="A21" s="41"/>
      <c r="B21" s="42" t="s">
        <v>192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>SUM(L4:L20)</f>
        <v>145790.62</v>
      </c>
      <c r="M21" s="74">
        <f>SUM(M4:M20)</f>
        <v>5534.18</v>
      </c>
      <c r="N21" s="74">
        <f>SUM(N4:N20)</f>
        <v>1552.17</v>
      </c>
      <c r="O21" s="74">
        <f t="shared" ref="O21:AL21" si="10">SUM(O4:O20)</f>
        <v>292.16</v>
      </c>
      <c r="P21" s="74">
        <f t="shared" si="10"/>
        <v>2069.8</v>
      </c>
      <c r="Q21" s="74">
        <f t="shared" si="10"/>
        <v>9448.31</v>
      </c>
      <c r="R21" s="74">
        <f t="shared" si="10"/>
        <v>0</v>
      </c>
      <c r="S21" s="74">
        <f t="shared" si="10"/>
        <v>1123887.64</v>
      </c>
      <c r="T21" s="74">
        <f t="shared" si="10"/>
        <v>630000</v>
      </c>
      <c r="U21" s="74">
        <f t="shared" si="10"/>
        <v>78852.71</v>
      </c>
      <c r="V21" s="74">
        <f t="shared" si="10"/>
        <v>0</v>
      </c>
      <c r="W21" s="74">
        <f t="shared" si="10"/>
        <v>0</v>
      </c>
      <c r="X21" s="74">
        <f t="shared" si="10"/>
        <v>0</v>
      </c>
      <c r="Y21" s="74">
        <f t="shared" si="10"/>
        <v>0</v>
      </c>
      <c r="Z21" s="74">
        <f t="shared" si="10"/>
        <v>0</v>
      </c>
      <c r="AA21" s="74">
        <f t="shared" si="10"/>
        <v>0</v>
      </c>
      <c r="AB21" s="74">
        <f t="shared" si="10"/>
        <v>0</v>
      </c>
      <c r="AC21" s="74">
        <f t="shared" si="10"/>
        <v>0</v>
      </c>
      <c r="AD21" s="74">
        <f t="shared" si="10"/>
        <v>415034.93</v>
      </c>
      <c r="AE21" s="74">
        <f t="shared" si="10"/>
        <v>34153.61</v>
      </c>
      <c r="AF21" s="74">
        <f t="shared" si="10"/>
        <v>27652.93</v>
      </c>
      <c r="AG21" s="74">
        <f t="shared" si="10"/>
        <v>6500.68</v>
      </c>
      <c r="AH21" s="74">
        <f t="shared" si="10"/>
        <v>129841.63</v>
      </c>
      <c r="AI21" s="74">
        <f t="shared" si="10"/>
        <v>0</v>
      </c>
      <c r="AJ21" s="74">
        <f t="shared" si="10"/>
        <v>129841.63</v>
      </c>
      <c r="AK21" s="74">
        <f t="shared" si="10"/>
        <v>0</v>
      </c>
      <c r="AL21" s="74">
        <f t="shared" si="10"/>
        <v>136342.31</v>
      </c>
      <c r="AM21" s="110"/>
      <c r="AN21" s="110"/>
      <c r="AO21" s="110"/>
      <c r="AP21" s="110"/>
      <c r="AQ21" s="110"/>
      <c r="AR21" s="45"/>
      <c r="AS21" s="45"/>
      <c r="AT21" s="118"/>
    </row>
    <row r="22" ht="19" customHeight="1"/>
    <row r="23" ht="19" customHeight="1"/>
    <row r="24" ht="19" customHeight="1" spans="30:30">
      <c r="AD24" s="101"/>
    </row>
    <row r="25" ht="19" customHeight="1" spans="2:30">
      <c r="B25" s="47" t="s">
        <v>131</v>
      </c>
      <c r="C25" s="47" t="s">
        <v>193</v>
      </c>
      <c r="D25" s="47" t="s">
        <v>22</v>
      </c>
      <c r="E25" s="47" t="s">
        <v>23</v>
      </c>
      <c r="AD25" s="10"/>
    </row>
    <row r="26" ht="19" customHeight="1" spans="2:5">
      <c r="B26" s="48">
        <f>AJ21</f>
        <v>129841.63</v>
      </c>
      <c r="C26" s="48">
        <f>AG21</f>
        <v>6500.68</v>
      </c>
      <c r="D26" s="48">
        <f>AK21</f>
        <v>0</v>
      </c>
      <c r="E26" s="48">
        <f>B26+C26+D26</f>
        <v>136342.31</v>
      </c>
    </row>
    <row r="27" ht="19" customHeight="1" spans="2:5">
      <c r="B27" s="49"/>
      <c r="C27" s="49"/>
      <c r="D27" s="49"/>
      <c r="E27" s="49"/>
    </row>
    <row r="28" s="14" customFormat="1" ht="19" customHeight="1" spans="1:35">
      <c r="A28" s="51" t="s">
        <v>194</v>
      </c>
      <c r="B28" s="52" t="s">
        <v>195</v>
      </c>
      <c r="C28" s="50"/>
      <c r="D28" s="50"/>
      <c r="E28" s="50"/>
      <c r="G28" s="53"/>
      <c r="J28" s="75"/>
      <c r="M28" s="76"/>
      <c r="AI28" s="112"/>
    </row>
    <row r="29" s="14" customFormat="1" ht="19" customHeight="1" spans="1:35">
      <c r="A29" s="54"/>
      <c r="B29" s="55" t="s">
        <v>196</v>
      </c>
      <c r="C29" s="50"/>
      <c r="D29" s="50"/>
      <c r="E29" s="50"/>
      <c r="G29" s="53"/>
      <c r="J29" s="75"/>
      <c r="M29" s="76"/>
      <c r="AI29" s="112"/>
    </row>
    <row r="30" s="14" customFormat="1" spans="1:35">
      <c r="A30" s="52"/>
      <c r="B30" s="55" t="s">
        <v>197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12"/>
    </row>
    <row r="31" s="14" customFormat="1" customHeight="1" spans="1:35">
      <c r="A31" s="55"/>
      <c r="B31" s="55" t="s">
        <v>198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199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12"/>
    </row>
    <row r="33" s="14" customFormat="1" customHeight="1" spans="1:35">
      <c r="A33" s="55"/>
      <c r="B33" s="55" t="s">
        <v>200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12"/>
    </row>
    <row r="35" ht="11.25" customHeight="1" spans="2:2">
      <c r="B35" s="58" t="s">
        <v>201</v>
      </c>
    </row>
    <row r="36" spans="2:2">
      <c r="B36" s="59" t="s">
        <v>202</v>
      </c>
    </row>
    <row r="37" spans="2:2">
      <c r="B37" s="59" t="s">
        <v>203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4" priority="2" stopIfTrue="1"/>
  </conditionalFormatting>
  <conditionalFormatting sqref="B28:B32">
    <cfRule type="duplicateValues" dxfId="4" priority="3" stopIfTrue="1"/>
  </conditionalFormatting>
  <conditionalFormatting sqref="B36:B37">
    <cfRule type="duplicateValues" dxfId="4" priority="1" stopIfTrue="1"/>
  </conditionalFormatting>
  <conditionalFormatting sqref="C25:C27">
    <cfRule type="duplicateValues" dxfId="4" priority="4" stopIfTrue="1"/>
    <cfRule type="expression" dxfId="5" priority="5" stopIfTrue="1">
      <formula>AND(COUNTIF($B$21:$B$65457,C25)+COUNTIF($B$1:$B$3,C25)&gt;1,NOT(ISBLANK(C25)))</formula>
    </cfRule>
    <cfRule type="expression" dxfId="5" priority="6" stopIfTrue="1">
      <formula>AND(COUNTIF($B$32:$B$65408,C25)+COUNTIF($B$1:$B$31,C25)&gt;1,NOT(ISBLANK(C25)))</formula>
    </cfRule>
    <cfRule type="expression" dxfId="5" priority="7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00B050"/>
    <pageSetUpPr fitToPage="1"/>
  </sheetPr>
  <dimension ref="A1:AW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G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0.125" style="18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47" width="9" style="15" hidden="1" customWidth="1"/>
    <col min="48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204</v>
      </c>
      <c r="AN2" s="29" t="s">
        <v>205</v>
      </c>
      <c r="AO2" s="114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9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</v>
      </c>
      <c r="Q4" s="89">
        <f t="shared" ref="Q4:Q11" si="0">ROUND(SUM(M4:P4),2)</f>
        <v>588.3</v>
      </c>
      <c r="R4" s="70">
        <v>0</v>
      </c>
      <c r="S4" s="90">
        <f>L4+IFERROR(VLOOKUP($E:$E,'（居民）工资表-9月'!$E:$S,15,0),0)</f>
        <v>80000</v>
      </c>
      <c r="T4" s="91">
        <f>5000+IFERROR(VLOOKUP($E:$E,'（居民）工资表-9月'!$E:$T,16,0),0)</f>
        <v>50000</v>
      </c>
      <c r="U4" s="91">
        <f>Q4+IFERROR(VLOOKUP($E:$E,'（居民）工资表-9月'!$E:$U,17,0),0)</f>
        <v>5981.41</v>
      </c>
      <c r="V4" s="70">
        <v>10000</v>
      </c>
      <c r="W4" s="70"/>
      <c r="X4" s="70">
        <v>10000</v>
      </c>
      <c r="Y4" s="70"/>
      <c r="Z4" s="70">
        <v>4000</v>
      </c>
      <c r="AA4" s="70"/>
      <c r="AB4" s="90">
        <f t="shared" ref="AB4:AB11" si="1">ROUND(SUM(V4:AA4),2)</f>
        <v>24000</v>
      </c>
      <c r="AC4" s="90">
        <f>R4+IFERROR(VLOOKUP($E:$E,'（居民）工资表-9月'!$E:$AC,25,0),0)</f>
        <v>0</v>
      </c>
      <c r="AD4" s="95">
        <f t="shared" ref="AD4:AD11" si="2">ROUND(S4-T4-U4-AB4-AC4,2)</f>
        <v>18.59</v>
      </c>
      <c r="AE4" s="96">
        <f>ROUND(MAX((AD4)*{0.03;0.1;0.2;0.25;0.3;0.35;0.45}-{0;2520;16920;31920;52920;85920;181920},0),2)</f>
        <v>0.56</v>
      </c>
      <c r="AF4" s="97">
        <f>IFERROR(VLOOKUP(E:E,'（居民）工资表-9月'!E:AF,28,0)+VLOOKUP(E:E,'（居民）工资表-9月'!E:AG,29,0),0)</f>
        <v>648.21</v>
      </c>
      <c r="AG4" s="97">
        <f t="shared" ref="AG4:AG11" si="3">IF((AE4-AF4)&lt;0,0,AE4-AF4)</f>
        <v>0</v>
      </c>
      <c r="AH4" s="107">
        <f t="shared" ref="AH4:AH11" si="4">ROUND(IF((L4-Q4-AG4)&lt;0,0,(L4-Q4-AG4)),2)</f>
        <v>7411.7</v>
      </c>
      <c r="AI4" s="108"/>
      <c r="AJ4" s="107">
        <f t="shared" ref="AJ4:AJ11" si="5">AH4+AI4</f>
        <v>7411.7</v>
      </c>
      <c r="AK4" s="109"/>
      <c r="AL4" s="107">
        <f t="shared" ref="AL4:AL11" si="6">AJ4+AG4+AK4</f>
        <v>7411.7</v>
      </c>
      <c r="AM4" s="109"/>
      <c r="AN4" s="109"/>
      <c r="AO4" s="109"/>
      <c r="AP4" s="109"/>
      <c r="AQ4" s="109"/>
      <c r="AR4" s="116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1" si="8">IF(SUMPRODUCT(N(E$1:E$7=E4))&gt;1,"重复","不")</f>
        <v>不</v>
      </c>
      <c r="AT4" s="116" t="str">
        <f t="shared" ref="AT4:AT11" si="9">IF(SUMPRODUCT(N(AO$1:AO$7=AO4))&gt;1,"重复","不")</f>
        <v>重复</v>
      </c>
      <c r="AV4" s="12" t="s">
        <v>145</v>
      </c>
      <c r="AW4" s="12" t="s">
        <v>51</v>
      </c>
    </row>
    <row r="5" s="12" customFormat="1" ht="18" customHeight="1" spans="1:49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89">
        <f t="shared" si="0"/>
        <v>655.8</v>
      </c>
      <c r="R5" s="70">
        <v>0</v>
      </c>
      <c r="S5" s="90">
        <f>L5+IFERROR(VLOOKUP($E:$E,'（居民）工资表-9月'!$E:$S,15,0),0)</f>
        <v>57400</v>
      </c>
      <c r="T5" s="91">
        <f>5000+IFERROR(VLOOKUP($E:$E,'（居民）工资表-9月'!$E:$T,16,0),0)</f>
        <v>50000</v>
      </c>
      <c r="U5" s="91">
        <f>Q5+IFERROR(VLOOKUP($E:$E,'（居民）工资表-9月'!$E:$U,17,0),0)</f>
        <v>6596.64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R5+IFERROR(VLOOKUP($E:$E,'（居民）工资表-9月'!$E:$AC,25,0),0)</f>
        <v>0</v>
      </c>
      <c r="AD5" s="95">
        <f t="shared" si="2"/>
        <v>803.36</v>
      </c>
      <c r="AE5" s="96">
        <f>ROUND(MAX((AD5)*{0.03;0.1;0.2;0.25;0.3;0.35;0.45}-{0;2520;16920;31920;52920;85920;181920},0),2)</f>
        <v>24.1</v>
      </c>
      <c r="AF5" s="97">
        <f>IFERROR(VLOOKUP(E:E,'（居民）工资表-9月'!E:AF,28,0)+VLOOKUP(E:E,'（居民）工资表-9月'!E:AG,29,0),0)</f>
        <v>22.77</v>
      </c>
      <c r="AG5" s="97">
        <f t="shared" si="3"/>
        <v>1.33</v>
      </c>
      <c r="AH5" s="107">
        <f t="shared" si="4"/>
        <v>5042.87</v>
      </c>
      <c r="AI5" s="108"/>
      <c r="AJ5" s="107">
        <f t="shared" si="5"/>
        <v>5042.87</v>
      </c>
      <c r="AK5" s="109"/>
      <c r="AL5" s="107">
        <f t="shared" si="6"/>
        <v>5044.2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 t="shared" si="8"/>
        <v>不</v>
      </c>
      <c r="AT5" s="116" t="str">
        <f t="shared" si="9"/>
        <v>重复</v>
      </c>
      <c r="AV5" s="12" t="s">
        <v>50</v>
      </c>
      <c r="AW5" s="12" t="s">
        <v>51</v>
      </c>
    </row>
    <row r="6" s="12" customFormat="1" ht="18" customHeight="1" spans="1:49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31560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L6+IFERROR(VLOOKUP($E:$E,'（居民）工资表-9月'!$E:$S,15,0),0)</f>
        <v>305600</v>
      </c>
      <c r="T6" s="91">
        <f>5000+IFERROR(VLOOKUP($E:$E,'（居民）工资表-9月'!$E:$T,16,0),0)</f>
        <v>50000</v>
      </c>
      <c r="U6" s="91">
        <f>Q6+IFERROR(VLOOKUP($E:$E,'（居民）工资表-9月'!$E:$U,17,0),0)</f>
        <v>9486.4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R6+IFERROR(VLOOKUP($E:$E,'（居民）工资表-9月'!$E:$AC,25,0),0)</f>
        <v>0</v>
      </c>
      <c r="AD6" s="95">
        <f t="shared" si="2"/>
        <v>246113.6</v>
      </c>
      <c r="AE6" s="96">
        <f>ROUND(MAX((AD6)*{0.03;0.1;0.2;0.25;0.3;0.35;0.45}-{0;2520;16920;31920;52920;85920;181920},0),2)</f>
        <v>32302.72</v>
      </c>
      <c r="AF6" s="97">
        <f>IFERROR(VLOOKUP(E:E,'（居民）工资表-9月'!E:AF,28,0)+VLOOKUP(E:E,'（居民）工资表-9月'!E:AG,29,0),0)</f>
        <v>27180.43</v>
      </c>
      <c r="AG6" s="97">
        <f t="shared" si="3"/>
        <v>5122.29</v>
      </c>
      <c r="AH6" s="107">
        <f t="shared" si="4"/>
        <v>25489.16</v>
      </c>
      <c r="AI6" s="108"/>
      <c r="AJ6" s="107">
        <f t="shared" si="5"/>
        <v>25489.16</v>
      </c>
      <c r="AK6" s="109"/>
      <c r="AL6" s="107">
        <f t="shared" si="6"/>
        <v>30611.45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  <c r="AV6" s="12" t="s">
        <v>152</v>
      </c>
      <c r="AW6" s="12" t="s">
        <v>153</v>
      </c>
    </row>
    <row r="7" s="12" customFormat="1" ht="18" customHeight="1" spans="1:49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9500</v>
      </c>
      <c r="M7" s="71">
        <v>471.12</v>
      </c>
      <c r="N7" s="71">
        <v>125.78</v>
      </c>
      <c r="O7" s="71">
        <v>29.45</v>
      </c>
      <c r="P7" s="71">
        <v>97</v>
      </c>
      <c r="Q7" s="89">
        <f t="shared" si="0"/>
        <v>723.35</v>
      </c>
      <c r="R7" s="70">
        <v>0</v>
      </c>
      <c r="S7" s="90">
        <f>L7+IFERROR(VLOOKUP($E:$E,'（居民）工资表-9月'!$E:$S,15,0),0)</f>
        <v>86700</v>
      </c>
      <c r="T7" s="91">
        <f>5000+IFERROR(VLOOKUP($E:$E,'（居民）工资表-9月'!$E:$T,16,0),0)</f>
        <v>50000</v>
      </c>
      <c r="U7" s="91">
        <f>Q7+IFERROR(VLOOKUP($E:$E,'（居民）工资表-9月'!$E:$U,17,0),0)</f>
        <v>5411.69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R7+IFERROR(VLOOKUP($E:$E,'（居民）工资表-9月'!$E:$AC,25,0),0)</f>
        <v>0</v>
      </c>
      <c r="AD7" s="95">
        <f t="shared" si="2"/>
        <v>31288.31</v>
      </c>
      <c r="AE7" s="96">
        <f>ROUND(MAX((AD7)*{0.03;0.1;0.2;0.25;0.3;0.35;0.45}-{0;2520;16920;31920;52920;85920;181920},0),2)</f>
        <v>938.65</v>
      </c>
      <c r="AF7" s="97">
        <f>IFERROR(VLOOKUP(E:E,'（居民）工资表-9月'!E:AF,28,0)+VLOOKUP(E:E,'（居民）工资表-9月'!E:AG,29,0),0)</f>
        <v>825.35</v>
      </c>
      <c r="AG7" s="97">
        <f t="shared" si="3"/>
        <v>113.3</v>
      </c>
      <c r="AH7" s="107">
        <f t="shared" si="4"/>
        <v>8663.35</v>
      </c>
      <c r="AI7" s="108"/>
      <c r="AJ7" s="107">
        <f t="shared" si="5"/>
        <v>8663.35</v>
      </c>
      <c r="AK7" s="109"/>
      <c r="AL7" s="107">
        <f t="shared" si="6"/>
        <v>8776.65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V7" s="12" t="s">
        <v>157</v>
      </c>
      <c r="AW7" s="12" t="s">
        <v>51</v>
      </c>
    </row>
    <row r="8" s="12" customFormat="1" ht="18" customHeight="1" spans="1:49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11100</v>
      </c>
      <c r="M8" s="71">
        <v>471.12</v>
      </c>
      <c r="N8" s="71">
        <v>123.78</v>
      </c>
      <c r="O8" s="71">
        <v>29.45</v>
      </c>
      <c r="P8" s="71">
        <v>172</v>
      </c>
      <c r="Q8" s="89">
        <f t="shared" si="0"/>
        <v>796.35</v>
      </c>
      <c r="R8" s="70">
        <v>0</v>
      </c>
      <c r="S8" s="90">
        <f>L8+IFERROR(VLOOKUP($E:$E,'（居民）工资表-9月'!$E:$S,15,0),0)</f>
        <v>107300</v>
      </c>
      <c r="T8" s="91">
        <f>5000+IFERROR(VLOOKUP($E:$E,'（居民）工资表-9月'!$E:$T,16,0),0)</f>
        <v>50000</v>
      </c>
      <c r="U8" s="91">
        <f>Q8+IFERROR(VLOOKUP($E:$E,'（居民）工资表-9月'!$E:$U,17,0),0)</f>
        <v>7169.43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R8+IFERROR(VLOOKUP($E:$E,'（居民）工资表-9月'!$E:$AC,25,0),0)</f>
        <v>0</v>
      </c>
      <c r="AD8" s="95">
        <f t="shared" si="2"/>
        <v>50130.57</v>
      </c>
      <c r="AE8" s="96">
        <f>ROUND(MAX((AD8)*{0.03;0.1;0.2;0.25;0.3;0.35;0.45}-{0;2520;16920;31920;52920;85920;181920},0),2)</f>
        <v>2493.06</v>
      </c>
      <c r="AF8" s="97">
        <f>IFERROR(VLOOKUP(E:E,'（居民）工资表-9月'!E:AF,28,0)+VLOOKUP(E:E,'（居民）工资表-9月'!E:AG,29,0),0)</f>
        <v>1962.69</v>
      </c>
      <c r="AG8" s="97">
        <f t="shared" si="3"/>
        <v>530.37</v>
      </c>
      <c r="AH8" s="107">
        <f t="shared" si="4"/>
        <v>9773.28</v>
      </c>
      <c r="AI8" s="108"/>
      <c r="AJ8" s="107">
        <f t="shared" si="5"/>
        <v>9773.28</v>
      </c>
      <c r="AK8" s="109"/>
      <c r="AL8" s="107">
        <f t="shared" si="6"/>
        <v>10303.65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V8" s="12" t="s">
        <v>157</v>
      </c>
      <c r="AW8" s="12" t="s">
        <v>51</v>
      </c>
    </row>
    <row r="9" s="12" customFormat="1" ht="18" customHeight="1" spans="1:49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315.6</v>
      </c>
      <c r="N9" s="71">
        <v>97.76</v>
      </c>
      <c r="O9" s="71">
        <v>11.84</v>
      </c>
      <c r="P9" s="71">
        <v>100</v>
      </c>
      <c r="Q9" s="89">
        <f t="shared" si="0"/>
        <v>525.2</v>
      </c>
      <c r="R9" s="70">
        <v>0</v>
      </c>
      <c r="S9" s="90">
        <f>L9+IFERROR(VLOOKUP($E:$E,'（居民）工资表-9月'!$E:$S,15,0),0)</f>
        <v>65000</v>
      </c>
      <c r="T9" s="91">
        <f>5000+IFERROR(VLOOKUP($E:$E,'（居民）工资表-9月'!$E:$T,16,0),0)</f>
        <v>50000</v>
      </c>
      <c r="U9" s="91">
        <f>Q9+IFERROR(VLOOKUP($E:$E,'（居民）工资表-9月'!$E:$U,17,0),0)</f>
        <v>5251.97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R9+IFERROR(VLOOKUP($E:$E,'（居民）工资表-9月'!$E:$AC,25,0),0)</f>
        <v>0</v>
      </c>
      <c r="AD9" s="95">
        <f t="shared" si="2"/>
        <v>9748.03</v>
      </c>
      <c r="AE9" s="96">
        <f>ROUND(MAX((AD9)*{0.03;0.1;0.2;0.25;0.3;0.35;0.45}-{0;2520;16920;31920;52920;85920;181920},0),2)</f>
        <v>292.44</v>
      </c>
      <c r="AF9" s="97">
        <f>IFERROR(VLOOKUP(E:E,'（居民）工资表-9月'!E:AF,28,0)+VLOOKUP(E:E,'（居民）工资表-9月'!E:AG,29,0),0)</f>
        <v>263.2</v>
      </c>
      <c r="AG9" s="97">
        <f t="shared" si="3"/>
        <v>29.24</v>
      </c>
      <c r="AH9" s="107">
        <f t="shared" si="4"/>
        <v>5945.56</v>
      </c>
      <c r="AI9" s="108"/>
      <c r="AJ9" s="107">
        <f t="shared" si="5"/>
        <v>5945.56</v>
      </c>
      <c r="AK9" s="109"/>
      <c r="AL9" s="107">
        <f t="shared" si="6"/>
        <v>5974.8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V9" s="12" t="s">
        <v>162</v>
      </c>
      <c r="AW9" s="12" t="s">
        <v>51</v>
      </c>
    </row>
    <row r="10" s="12" customFormat="1" ht="18" customHeight="1" spans="1:49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144</v>
      </c>
      <c r="G10" s="39" t="s">
        <v>165</v>
      </c>
      <c r="H10" s="40"/>
      <c r="I10" s="40"/>
      <c r="J10" s="69"/>
      <c r="K10" s="40"/>
      <c r="L10" s="70">
        <v>5500</v>
      </c>
      <c r="M10" s="71">
        <v>329.44</v>
      </c>
      <c r="N10" s="71">
        <v>87.36</v>
      </c>
      <c r="O10" s="71">
        <v>20.59</v>
      </c>
      <c r="P10" s="71">
        <v>105</v>
      </c>
      <c r="Q10" s="89">
        <f t="shared" si="0"/>
        <v>542.39</v>
      </c>
      <c r="R10" s="70">
        <v>0</v>
      </c>
      <c r="S10" s="90">
        <f>L10+IFERROR(VLOOKUP($E:$E,'（居民）工资表-9月'!$E:$S,15,0),0)</f>
        <v>22000</v>
      </c>
      <c r="T10" s="91">
        <f>5000+IFERROR(VLOOKUP($E:$E,'（居民）工资表-9月'!$E:$T,16,0),0)</f>
        <v>20000</v>
      </c>
      <c r="U10" s="91">
        <f>Q10+IFERROR(VLOOKUP($E:$E,'（居民）工资表-9月'!$E:$U,17,0),0)</f>
        <v>2287.91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R10+IFERROR(VLOOKUP($E:$E,'（居民）工资表-9月'!$E:$AC,25,0),0)</f>
        <v>0</v>
      </c>
      <c r="AD10" s="95">
        <f t="shared" si="2"/>
        <v>-287.91</v>
      </c>
      <c r="AE10" s="96">
        <f>ROUND(MAX((AD10)*{0.03;0.1;0.2;0.25;0.3;0.35;0.45}-{0;2520;16920;31920;52920;85920;181920},0),2)</f>
        <v>0</v>
      </c>
      <c r="AF10" s="97">
        <f>IFERROR(VLOOKUP(E:E,'（居民）工资表-9月'!E:AF,28,0)+VLOOKUP(E:E,'（居民）工资表-9月'!E:AG,29,0),0)</f>
        <v>0</v>
      </c>
      <c r="AG10" s="97">
        <f t="shared" si="3"/>
        <v>0</v>
      </c>
      <c r="AH10" s="107">
        <f t="shared" si="4"/>
        <v>4957.61</v>
      </c>
      <c r="AI10" s="108"/>
      <c r="AJ10" s="107">
        <f t="shared" si="5"/>
        <v>4957.61</v>
      </c>
      <c r="AK10" s="109"/>
      <c r="AL10" s="107">
        <f t="shared" si="6"/>
        <v>4957.61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V10" s="12" t="s">
        <v>166</v>
      </c>
      <c r="AW10" s="12" t="s">
        <v>216</v>
      </c>
    </row>
    <row r="11" s="12" customFormat="1" ht="18" customHeight="1" spans="1:49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148</v>
      </c>
      <c r="G11" s="39" t="s">
        <v>170</v>
      </c>
      <c r="H11" s="40"/>
      <c r="I11" s="40"/>
      <c r="J11" s="69"/>
      <c r="K11" s="40"/>
      <c r="L11" s="70">
        <v>4598.8</v>
      </c>
      <c r="M11" s="71">
        <v>352</v>
      </c>
      <c r="N11" s="71">
        <v>110</v>
      </c>
      <c r="O11" s="71">
        <v>22</v>
      </c>
      <c r="P11" s="71">
        <v>109</v>
      </c>
      <c r="Q11" s="89">
        <f t="shared" ref="Q11:Q19" si="10">ROUND(SUM(M11:P11),2)</f>
        <v>593</v>
      </c>
      <c r="R11" s="70">
        <v>0</v>
      </c>
      <c r="S11" s="90">
        <f>L11+IFERROR(VLOOKUP($E:$E,'（居民）工资表-9月'!$E:$S,15,0),0)</f>
        <v>45550.24</v>
      </c>
      <c r="T11" s="91">
        <f>5000+IFERROR(VLOOKUP($E:$E,'（居民）工资表-9月'!$E:$T,16,0),0)</f>
        <v>50000</v>
      </c>
      <c r="U11" s="91">
        <f>Q11+IFERROR(VLOOKUP($E:$E,'（居民）工资表-9月'!$E:$U,17,0),0)</f>
        <v>6150.16</v>
      </c>
      <c r="V11" s="70"/>
      <c r="W11" s="70"/>
      <c r="X11" s="70"/>
      <c r="Y11" s="70"/>
      <c r="Z11" s="70"/>
      <c r="AA11" s="70"/>
      <c r="AB11" s="90">
        <f t="shared" ref="AB11:AB19" si="11">ROUND(SUM(V11:AA11),2)</f>
        <v>0</v>
      </c>
      <c r="AC11" s="90">
        <f>R11+IFERROR(VLOOKUP($E:$E,'（居民）工资表-9月'!$E:$AC,25,0),0)</f>
        <v>0</v>
      </c>
      <c r="AD11" s="95">
        <f t="shared" ref="AD11:AD19" si="12">ROUND(S11-T11-U11-AB11-AC11,2)</f>
        <v>-10599.92</v>
      </c>
      <c r="AE11" s="96">
        <f>ROUND(MAX((AD11)*{0.03;0.1;0.2;0.25;0.3;0.35;0.45}-{0;2520;16920;31920;52920;85920;181920},0),2)</f>
        <v>0</v>
      </c>
      <c r="AF11" s="97">
        <f>IFERROR(VLOOKUP(E:E,'（居民）工资表-9月'!E:AF,28,0)+VLOOKUP(E:E,'（居民）工资表-9月'!E:AG,29,0),0)</f>
        <v>0</v>
      </c>
      <c r="AG11" s="97">
        <f t="shared" ref="AG11:AG19" si="13">IF((AE11-AF11)&lt;0,0,AE11-AF11)</f>
        <v>0</v>
      </c>
      <c r="AH11" s="107">
        <f t="shared" ref="AH11:AH19" si="14">ROUND(IF((L11-Q11-AG11)&lt;0,0,(L11-Q11-AG11)),2)</f>
        <v>4005.8</v>
      </c>
      <c r="AI11" s="108"/>
      <c r="AJ11" s="107">
        <f t="shared" ref="AJ11:AJ19" si="15">AH11+AI11</f>
        <v>4005.8</v>
      </c>
      <c r="AK11" s="109"/>
      <c r="AL11" s="107">
        <f t="shared" ref="AL11:AL19" si="16">AJ11+AG11+AK11</f>
        <v>4005.8</v>
      </c>
      <c r="AM11" s="109"/>
      <c r="AN11" s="109"/>
      <c r="AO11" s="109"/>
      <c r="AP11" s="109"/>
      <c r="AQ11" s="109"/>
      <c r="AR11" s="116" t="str">
        <f t="shared" ref="AR11:AR19" si="17">IF(LEN(E11)=18,IF(RIGHT(E11,1)="X"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,"正确","错误")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*1,"正确","错误")),IF(LEN(E11)=15,"老号，请注意！",IF(LEN(E11)=0,"未填写身份证号码","位数不对！")))</f>
        <v>正确</v>
      </c>
      <c r="AS11" s="116" t="str">
        <f t="shared" ref="AS11:AS19" si="18">IF(SUMPRODUCT(N(E$1:E$7=E11))&gt;1,"重复","不")</f>
        <v>不</v>
      </c>
      <c r="AT11" s="116" t="str">
        <f t="shared" ref="AT11:AT19" si="19">IF(SUMPRODUCT(N(AO$1:AO$7=AO11))&gt;1,"重复","不")</f>
        <v>重复</v>
      </c>
      <c r="AV11" s="12" t="s">
        <v>171</v>
      </c>
      <c r="AW11" s="12" t="s">
        <v>172</v>
      </c>
    </row>
    <row r="12" s="12" customFormat="1" ht="18" customHeight="1" spans="1:49">
      <c r="A12" s="36">
        <v>9</v>
      </c>
      <c r="B12" s="37" t="s">
        <v>142</v>
      </c>
      <c r="C12" s="37" t="s">
        <v>173</v>
      </c>
      <c r="D12" s="37" t="s">
        <v>143</v>
      </c>
      <c r="E12" s="326" t="s">
        <v>174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11000</v>
      </c>
      <c r="M12" s="71">
        <v>471.12</v>
      </c>
      <c r="N12" s="71">
        <v>153.63</v>
      </c>
      <c r="O12" s="71">
        <v>29.45</v>
      </c>
      <c r="P12" s="71">
        <v>97</v>
      </c>
      <c r="Q12" s="89">
        <f t="shared" si="10"/>
        <v>751.2</v>
      </c>
      <c r="R12" s="70">
        <v>0</v>
      </c>
      <c r="S12" s="90">
        <f>L12+IFERROR(VLOOKUP($E:$E,'（居民）工资表-9月'!$E:$S,15,0),0)</f>
        <v>94600</v>
      </c>
      <c r="T12" s="91">
        <f>5000+IFERROR(VLOOKUP($E:$E,'（居民）工资表-9月'!$E:$T,16,0),0)</f>
        <v>50000</v>
      </c>
      <c r="U12" s="91">
        <f>Q12+IFERROR(VLOOKUP($E:$E,'（居民）工资表-9月'!$E:$U,17,0),0)</f>
        <v>5710.83</v>
      </c>
      <c r="V12" s="70"/>
      <c r="W12" s="70"/>
      <c r="X12" s="70"/>
      <c r="Y12" s="70"/>
      <c r="Z12" s="70"/>
      <c r="AA12" s="70"/>
      <c r="AB12" s="90">
        <f t="shared" si="11"/>
        <v>0</v>
      </c>
      <c r="AC12" s="90">
        <f>R12+IFERROR(VLOOKUP($E:$E,'（居民）工资表-9月'!$E:$AC,25,0),0)</f>
        <v>0</v>
      </c>
      <c r="AD12" s="95">
        <f t="shared" si="12"/>
        <v>38889.17</v>
      </c>
      <c r="AE12" s="96">
        <f>ROUND(MAX((AD12)*{0.03;0.1;0.2;0.25;0.3;0.35;0.45}-{0;2520;16920;31920;52920;85920;181920},0),2)</f>
        <v>1368.92</v>
      </c>
      <c r="AF12" s="97">
        <f>IFERROR(VLOOKUP(E:E,'（居民）工资表-9月'!E:AF,28,0)+VLOOKUP(E:E,'（居民）工资表-9月'!E:AG,29,0),0)</f>
        <v>1009.21</v>
      </c>
      <c r="AG12" s="97">
        <f t="shared" si="13"/>
        <v>359.71</v>
      </c>
      <c r="AH12" s="107">
        <f t="shared" si="14"/>
        <v>9889.09</v>
      </c>
      <c r="AI12" s="108"/>
      <c r="AJ12" s="107">
        <f t="shared" si="15"/>
        <v>9889.09</v>
      </c>
      <c r="AK12" s="109"/>
      <c r="AL12" s="107">
        <f t="shared" si="16"/>
        <v>10248.8</v>
      </c>
      <c r="AM12" s="109"/>
      <c r="AN12" s="109"/>
      <c r="AO12" s="109"/>
      <c r="AP12" s="109"/>
      <c r="AQ12" s="109"/>
      <c r="AR12" s="116" t="str">
        <f t="shared" si="17"/>
        <v>正确</v>
      </c>
      <c r="AS12" s="116" t="str">
        <f t="shared" si="18"/>
        <v>不</v>
      </c>
      <c r="AT12" s="116" t="str">
        <f t="shared" si="19"/>
        <v>重复</v>
      </c>
      <c r="AV12" s="12" t="s">
        <v>157</v>
      </c>
      <c r="AW12" s="12" t="s">
        <v>51</v>
      </c>
    </row>
    <row r="13" s="12" customFormat="1" ht="18" customHeight="1" spans="1:49">
      <c r="A13" s="36">
        <v>10</v>
      </c>
      <c r="B13" s="37" t="s">
        <v>142</v>
      </c>
      <c r="C13" s="37" t="s">
        <v>175</v>
      </c>
      <c r="D13" s="37" t="s">
        <v>143</v>
      </c>
      <c r="E13" s="326" t="s">
        <v>176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9200</v>
      </c>
      <c r="M13" s="71">
        <v>471.12</v>
      </c>
      <c r="N13" s="71">
        <v>123.78</v>
      </c>
      <c r="O13" s="71">
        <v>29.45</v>
      </c>
      <c r="P13" s="71">
        <v>172</v>
      </c>
      <c r="Q13" s="89">
        <f t="shared" si="10"/>
        <v>796.35</v>
      </c>
      <c r="R13" s="70">
        <v>0</v>
      </c>
      <c r="S13" s="90">
        <f>L13+IFERROR(VLOOKUP($E:$E,'（居民）工资表-9月'!$E:$S,15,0),0)</f>
        <v>76862.05</v>
      </c>
      <c r="T13" s="91">
        <f>5000+IFERROR(VLOOKUP($E:$E,'（居民）工资表-9月'!$E:$T,16,0),0)</f>
        <v>50000</v>
      </c>
      <c r="U13" s="91">
        <f>Q13+IFERROR(VLOOKUP($E:$E,'（居民）工资表-9月'!$E:$U,17,0),0)</f>
        <v>7169.43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R13+IFERROR(VLOOKUP($E:$E,'（居民）工资表-9月'!$E:$AC,25,0),0)</f>
        <v>0</v>
      </c>
      <c r="AD13" s="95">
        <f t="shared" si="12"/>
        <v>19692.62</v>
      </c>
      <c r="AE13" s="96">
        <f>ROUND(MAX((AD13)*{0.03;0.1;0.2;0.25;0.3;0.35;0.45}-{0;2520;16920;31920;52920;85920;181920},0),2)</f>
        <v>590.78</v>
      </c>
      <c r="AF13" s="97">
        <f>IFERROR(VLOOKUP(E:E,'（居民）工资表-9月'!E:AF,28,0)+VLOOKUP(E:E,'（居民）工资表-9月'!E:AG,29,0),0)</f>
        <v>488.67</v>
      </c>
      <c r="AG13" s="97">
        <f t="shared" si="13"/>
        <v>102.11</v>
      </c>
      <c r="AH13" s="107">
        <f t="shared" si="14"/>
        <v>8301.54</v>
      </c>
      <c r="AI13" s="108"/>
      <c r="AJ13" s="107">
        <f t="shared" si="15"/>
        <v>8301.54</v>
      </c>
      <c r="AK13" s="109"/>
      <c r="AL13" s="107">
        <f t="shared" si="16"/>
        <v>8403.65</v>
      </c>
      <c r="AM13" s="109"/>
      <c r="AN13" s="109"/>
      <c r="AO13" s="109"/>
      <c r="AP13" s="109"/>
      <c r="AQ13" s="109"/>
      <c r="AR13" s="116" t="str">
        <f t="shared" si="17"/>
        <v>正确</v>
      </c>
      <c r="AS13" s="116" t="str">
        <f t="shared" si="18"/>
        <v>不</v>
      </c>
      <c r="AT13" s="116" t="str">
        <f t="shared" si="19"/>
        <v>重复</v>
      </c>
      <c r="AV13" s="12" t="s">
        <v>157</v>
      </c>
      <c r="AW13" s="12" t="s">
        <v>51</v>
      </c>
    </row>
    <row r="14" s="12" customFormat="1" ht="18" customHeight="1" spans="1:49">
      <c r="A14" s="36">
        <v>11</v>
      </c>
      <c r="B14" s="37" t="s">
        <v>142</v>
      </c>
      <c r="C14" s="37" t="s">
        <v>177</v>
      </c>
      <c r="D14" s="37" t="s">
        <v>143</v>
      </c>
      <c r="E14" s="326" t="s">
        <v>178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9800</v>
      </c>
      <c r="M14" s="71">
        <v>471.12</v>
      </c>
      <c r="N14" s="71">
        <v>123.78</v>
      </c>
      <c r="O14" s="71">
        <v>29.45</v>
      </c>
      <c r="P14" s="71">
        <v>172</v>
      </c>
      <c r="Q14" s="89">
        <f t="shared" si="10"/>
        <v>796.35</v>
      </c>
      <c r="R14" s="70">
        <v>0</v>
      </c>
      <c r="S14" s="90">
        <f>L14+IFERROR(VLOOKUP($E:$E,'（居民）工资表-9月'!$E:$S,15,0),0)</f>
        <v>82208.7</v>
      </c>
      <c r="T14" s="91">
        <f>5000+IFERROR(VLOOKUP($E:$E,'（居民）工资表-9月'!$E:$T,16,0),0)</f>
        <v>50000</v>
      </c>
      <c r="U14" s="91">
        <f>Q14+IFERROR(VLOOKUP($E:$E,'（居民）工资表-9月'!$E:$U,17,0),0)</f>
        <v>7169.43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R14+IFERROR(VLOOKUP($E:$E,'（居民）工资表-9月'!$E:$AC,25,0),0)</f>
        <v>0</v>
      </c>
      <c r="AD14" s="95">
        <f t="shared" si="12"/>
        <v>25039.27</v>
      </c>
      <c r="AE14" s="96">
        <f>ROUND(MAX((AD14)*{0.03;0.1;0.2;0.25;0.3;0.35;0.45}-{0;2520;16920;31920;52920;85920;181920},0),2)</f>
        <v>751.18</v>
      </c>
      <c r="AF14" s="97">
        <f>IFERROR(VLOOKUP(E:E,'（居民）工资表-9月'!E:AF,28,0)+VLOOKUP(E:E,'（居民）工资表-9月'!E:AG,29,0),0)</f>
        <v>631.07</v>
      </c>
      <c r="AG14" s="97">
        <f t="shared" si="13"/>
        <v>120.11</v>
      </c>
      <c r="AH14" s="107">
        <f t="shared" si="14"/>
        <v>8883.54</v>
      </c>
      <c r="AI14" s="108"/>
      <c r="AJ14" s="107">
        <f t="shared" si="15"/>
        <v>8883.54</v>
      </c>
      <c r="AK14" s="109"/>
      <c r="AL14" s="107">
        <f t="shared" si="16"/>
        <v>9003.65</v>
      </c>
      <c r="AM14" s="109"/>
      <c r="AN14" s="109"/>
      <c r="AO14" s="109"/>
      <c r="AP14" s="109"/>
      <c r="AQ14" s="109"/>
      <c r="AR14" s="116" t="str">
        <f t="shared" si="17"/>
        <v>正确</v>
      </c>
      <c r="AS14" s="116" t="str">
        <f t="shared" si="18"/>
        <v>不</v>
      </c>
      <c r="AT14" s="116" t="str">
        <f t="shared" si="19"/>
        <v>重复</v>
      </c>
      <c r="AV14" s="12" t="s">
        <v>157</v>
      </c>
      <c r="AW14" s="12" t="s">
        <v>51</v>
      </c>
    </row>
    <row r="15" s="12" customFormat="1" ht="18" customHeight="1" spans="1:49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 t="s">
        <v>181</v>
      </c>
      <c r="H15" s="40"/>
      <c r="I15" s="40"/>
      <c r="J15" s="69"/>
      <c r="K15" s="40"/>
      <c r="L15" s="70">
        <v>7900</v>
      </c>
      <c r="M15" s="71">
        <v>471.12</v>
      </c>
      <c r="N15" s="71">
        <v>153.63</v>
      </c>
      <c r="O15" s="71">
        <v>29.45</v>
      </c>
      <c r="P15" s="71">
        <v>97</v>
      </c>
      <c r="Q15" s="89">
        <f t="shared" si="10"/>
        <v>751.2</v>
      </c>
      <c r="R15" s="70">
        <v>0</v>
      </c>
      <c r="S15" s="90">
        <f>L15+IFERROR(VLOOKUP($E:$E,'（居民）工资表-9月'!$E:$S,15,0),0)</f>
        <v>74500</v>
      </c>
      <c r="T15" s="91">
        <f>5000+IFERROR(VLOOKUP($E:$E,'（居民）工资表-9月'!$E:$T,16,0),0)</f>
        <v>50000</v>
      </c>
      <c r="U15" s="91">
        <f>Q15+IFERROR(VLOOKUP($E:$E,'（居民）工资表-9月'!$E:$U,17,0),0)</f>
        <v>5710.83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R15+IFERROR(VLOOKUP($E:$E,'（居民）工资表-9月'!$E:$AC,25,0),0)</f>
        <v>0</v>
      </c>
      <c r="AD15" s="95">
        <f t="shared" si="12"/>
        <v>18789.17</v>
      </c>
      <c r="AE15" s="96">
        <f>ROUND(MAX((AD15)*{0.03;0.1;0.2;0.25;0.3;0.35;0.45}-{0;2520;16920;31920;52920;85920;181920},0),2)</f>
        <v>563.68</v>
      </c>
      <c r="AF15" s="97">
        <f>IFERROR(VLOOKUP(E:E,'（居民）工资表-9月'!E:AF,28,0)+VLOOKUP(E:E,'（居民）工资表-9月'!E:AG,29,0),0)</f>
        <v>499.21</v>
      </c>
      <c r="AG15" s="97">
        <f t="shared" si="13"/>
        <v>64.47</v>
      </c>
      <c r="AH15" s="107">
        <f t="shared" si="14"/>
        <v>7084.33</v>
      </c>
      <c r="AI15" s="108"/>
      <c r="AJ15" s="107">
        <f t="shared" si="15"/>
        <v>7084.33</v>
      </c>
      <c r="AK15" s="109"/>
      <c r="AL15" s="107">
        <f t="shared" si="16"/>
        <v>7148.8</v>
      </c>
      <c r="AM15" s="109"/>
      <c r="AN15" s="109"/>
      <c r="AO15" s="109"/>
      <c r="AP15" s="109"/>
      <c r="AQ15" s="109"/>
      <c r="AR15" s="116" t="str">
        <f t="shared" si="17"/>
        <v>正确</v>
      </c>
      <c r="AS15" s="116" t="str">
        <f t="shared" si="18"/>
        <v>不</v>
      </c>
      <c r="AT15" s="116" t="str">
        <f t="shared" si="19"/>
        <v>重复</v>
      </c>
      <c r="AV15" s="12" t="s">
        <v>157</v>
      </c>
      <c r="AW15" s="12" t="s">
        <v>51</v>
      </c>
    </row>
    <row r="16" s="12" customFormat="1" ht="18" customHeight="1" spans="1:49">
      <c r="A16" s="36">
        <v>13</v>
      </c>
      <c r="B16" s="37" t="s">
        <v>142</v>
      </c>
      <c r="C16" s="37" t="s">
        <v>182</v>
      </c>
      <c r="D16" s="37" t="s">
        <v>143</v>
      </c>
      <c r="E16" s="326" t="s">
        <v>183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6860</v>
      </c>
      <c r="M16" s="71">
        <v>471.12</v>
      </c>
      <c r="N16" s="71">
        <v>125.78</v>
      </c>
      <c r="O16" s="71">
        <v>29.45</v>
      </c>
      <c r="P16" s="71">
        <v>97</v>
      </c>
      <c r="Q16" s="89">
        <f t="shared" si="10"/>
        <v>723.35</v>
      </c>
      <c r="R16" s="70">
        <v>0</v>
      </c>
      <c r="S16" s="90">
        <f>L16+IFERROR(VLOOKUP($E:$E,'（居民）工资表-9月'!$E:$S,15,0),0)</f>
        <v>66261.74</v>
      </c>
      <c r="T16" s="91">
        <f>5000+IFERROR(VLOOKUP($E:$E,'（居民）工资表-9月'!$E:$T,16,0),0)</f>
        <v>50000</v>
      </c>
      <c r="U16" s="91">
        <f>Q16+IFERROR(VLOOKUP($E:$E,'（居民）工资表-9月'!$E:$U,17,0),0)</f>
        <v>5411.69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R16+IFERROR(VLOOKUP($E:$E,'（居民）工资表-9月'!$E:$AC,25,0),0)</f>
        <v>0</v>
      </c>
      <c r="AD16" s="95">
        <f t="shared" si="12"/>
        <v>10850.05</v>
      </c>
      <c r="AE16" s="96">
        <f>ROUND(MAX((AD16)*{0.03;0.1;0.2;0.25;0.3;0.35;0.45}-{0;2520;16920;31920;52920;85920;181920},0),2)</f>
        <v>325.5</v>
      </c>
      <c r="AF16" s="97">
        <f>IFERROR(VLOOKUP(E:E,'（居民）工资表-9月'!E:AF,28,0)+VLOOKUP(E:E,'（居民）工资表-9月'!E:AG,29,0),0)</f>
        <v>291.4</v>
      </c>
      <c r="AG16" s="97">
        <f t="shared" si="13"/>
        <v>34.1</v>
      </c>
      <c r="AH16" s="107">
        <f t="shared" si="14"/>
        <v>6102.55</v>
      </c>
      <c r="AI16" s="108"/>
      <c r="AJ16" s="107">
        <f t="shared" si="15"/>
        <v>6102.55</v>
      </c>
      <c r="AK16" s="109"/>
      <c r="AL16" s="107">
        <f t="shared" si="16"/>
        <v>6136.65</v>
      </c>
      <c r="AM16" s="109"/>
      <c r="AN16" s="109"/>
      <c r="AO16" s="109"/>
      <c r="AP16" s="109"/>
      <c r="AQ16" s="109"/>
      <c r="AR16" s="116" t="str">
        <f t="shared" si="17"/>
        <v>正确</v>
      </c>
      <c r="AS16" s="116" t="str">
        <f t="shared" si="18"/>
        <v>不</v>
      </c>
      <c r="AT16" s="116" t="str">
        <f t="shared" si="19"/>
        <v>重复</v>
      </c>
      <c r="AV16" s="12" t="s">
        <v>157</v>
      </c>
      <c r="AW16" s="12" t="s">
        <v>51</v>
      </c>
    </row>
    <row r="17" s="12" customFormat="1" ht="18" customHeight="1" spans="1:49">
      <c r="A17" s="36">
        <v>14</v>
      </c>
      <c r="B17" s="37" t="s">
        <v>142</v>
      </c>
      <c r="C17" s="37" t="s">
        <v>184</v>
      </c>
      <c r="D17" s="37" t="s">
        <v>143</v>
      </c>
      <c r="E17" s="326" t="s">
        <v>185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8060</v>
      </c>
      <c r="M17" s="71">
        <v>315.6</v>
      </c>
      <c r="N17" s="71">
        <v>97.76</v>
      </c>
      <c r="O17" s="71">
        <v>11.84</v>
      </c>
      <c r="P17" s="71">
        <v>175</v>
      </c>
      <c r="Q17" s="89">
        <f t="shared" si="10"/>
        <v>600.2</v>
      </c>
      <c r="R17" s="70">
        <v>0</v>
      </c>
      <c r="S17" s="90">
        <f>L17+IFERROR(VLOOKUP($E:$E,'（居民）工资表-9月'!$E:$S,15,0),0)</f>
        <v>29740</v>
      </c>
      <c r="T17" s="91">
        <f>5000+IFERROR(VLOOKUP($E:$E,'（居民）工资表-9月'!$E:$T,16,0),0)</f>
        <v>20000</v>
      </c>
      <c r="U17" s="91">
        <f>Q17+IFERROR(VLOOKUP($E:$E,'（居民）工资表-9月'!$E:$U,17,0),0)</f>
        <v>2367.68</v>
      </c>
      <c r="V17" s="70"/>
      <c r="W17" s="70"/>
      <c r="X17" s="70"/>
      <c r="Y17" s="70"/>
      <c r="Z17" s="70"/>
      <c r="AA17" s="70"/>
      <c r="AB17" s="90">
        <f t="shared" si="11"/>
        <v>0</v>
      </c>
      <c r="AC17" s="90">
        <f>R17+IFERROR(VLOOKUP($E:$E,'（居民）工资表-9月'!$E:$AC,25,0),0)</f>
        <v>0</v>
      </c>
      <c r="AD17" s="95">
        <f t="shared" si="12"/>
        <v>7372.32</v>
      </c>
      <c r="AE17" s="96">
        <f>ROUND(MAX((AD17)*{0.03;0.1;0.2;0.25;0.3;0.35;0.45}-{0;2520;16920;31920;52920;85920;181920},0),2)</f>
        <v>221.17</v>
      </c>
      <c r="AF17" s="97">
        <f>IFERROR(VLOOKUP(E:E,'（居民）工资表-9月'!E:AF,28,0)+VLOOKUP(E:E,'（居民）工资表-9月'!E:AG,29,0),0)</f>
        <v>147.38</v>
      </c>
      <c r="AG17" s="97">
        <f t="shared" si="13"/>
        <v>73.79</v>
      </c>
      <c r="AH17" s="107">
        <f t="shared" si="14"/>
        <v>7386.01</v>
      </c>
      <c r="AI17" s="108"/>
      <c r="AJ17" s="107">
        <f t="shared" si="15"/>
        <v>7386.01</v>
      </c>
      <c r="AK17" s="109"/>
      <c r="AL17" s="107">
        <f t="shared" si="16"/>
        <v>7459.8</v>
      </c>
      <c r="AM17" s="109"/>
      <c r="AN17" s="109"/>
      <c r="AO17" s="109"/>
      <c r="AP17" s="109"/>
      <c r="AQ17" s="109"/>
      <c r="AR17" s="116" t="str">
        <f t="shared" si="17"/>
        <v>正确</v>
      </c>
      <c r="AS17" s="116" t="str">
        <f t="shared" si="18"/>
        <v>不</v>
      </c>
      <c r="AT17" s="116" t="str">
        <f t="shared" si="19"/>
        <v>重复</v>
      </c>
      <c r="AV17" s="12" t="s">
        <v>157</v>
      </c>
      <c r="AW17" s="12" t="s">
        <v>51</v>
      </c>
    </row>
    <row r="18" s="12" customFormat="1" ht="18" customHeight="1" spans="1:49">
      <c r="A18" s="36">
        <v>15</v>
      </c>
      <c r="B18" s="37" t="s">
        <v>142</v>
      </c>
      <c r="C18" s="37" t="s">
        <v>186</v>
      </c>
      <c r="D18" s="37" t="s">
        <v>143</v>
      </c>
      <c r="E18" s="326" t="s">
        <v>187</v>
      </c>
      <c r="F18" s="38" t="s">
        <v>148</v>
      </c>
      <c r="G18" s="39"/>
      <c r="H18" s="40"/>
      <c r="I18" s="40"/>
      <c r="J18" s="69"/>
      <c r="K18" s="40"/>
      <c r="L18" s="70">
        <v>6800</v>
      </c>
      <c r="M18" s="71">
        <v>411.28</v>
      </c>
      <c r="N18" s="71">
        <v>102.82</v>
      </c>
      <c r="O18" s="71">
        <v>25.71</v>
      </c>
      <c r="P18" s="71">
        <v>103</v>
      </c>
      <c r="Q18" s="89">
        <f t="shared" si="10"/>
        <v>642.81</v>
      </c>
      <c r="R18" s="70">
        <v>0</v>
      </c>
      <c r="S18" s="90">
        <f>L18+IFERROR(VLOOKUP($E:$E,'（居民）工资表-9月'!$E:$S,15,0),0)</f>
        <v>62600</v>
      </c>
      <c r="T18" s="91">
        <f>5000+IFERROR(VLOOKUP($E:$E,'（居民）工资表-9月'!$E:$T,16,0),0)</f>
        <v>50000</v>
      </c>
      <c r="U18" s="91">
        <f>Q18+IFERROR(VLOOKUP($E:$E,'（居民）工资表-9月'!$E:$U,17,0),0)</f>
        <v>5308.89</v>
      </c>
      <c r="V18" s="70"/>
      <c r="W18" s="70"/>
      <c r="X18" s="70"/>
      <c r="Y18" s="70"/>
      <c r="Z18" s="70"/>
      <c r="AA18" s="70"/>
      <c r="AB18" s="90">
        <f t="shared" si="11"/>
        <v>0</v>
      </c>
      <c r="AC18" s="90">
        <f>R18+IFERROR(VLOOKUP($E:$E,'（居民）工资表-9月'!$E:$AC,25,0),0)</f>
        <v>0</v>
      </c>
      <c r="AD18" s="95">
        <f t="shared" si="12"/>
        <v>7291.11</v>
      </c>
      <c r="AE18" s="96">
        <f>ROUND(MAX((AD18)*{0.03;0.1;0.2;0.25;0.3;0.35;0.45}-{0;2520;16920;31920;52920;85920;181920},0),2)</f>
        <v>218.73</v>
      </c>
      <c r="AF18" s="97">
        <f>IFERROR(VLOOKUP(E:E,'（居民）工资表-9月'!E:AF,28,0)+VLOOKUP(E:E,'（居民）工资表-9月'!E:AG,29,0),0)</f>
        <v>184.02</v>
      </c>
      <c r="AG18" s="97">
        <f t="shared" si="13"/>
        <v>34.71</v>
      </c>
      <c r="AH18" s="107">
        <f t="shared" si="14"/>
        <v>6122.48</v>
      </c>
      <c r="AI18" s="108"/>
      <c r="AJ18" s="107">
        <f t="shared" si="15"/>
        <v>6122.48</v>
      </c>
      <c r="AK18" s="109"/>
      <c r="AL18" s="107">
        <f t="shared" si="16"/>
        <v>6157.19</v>
      </c>
      <c r="AM18" s="109"/>
      <c r="AN18" s="109"/>
      <c r="AO18" s="109"/>
      <c r="AP18" s="109"/>
      <c r="AQ18" s="109"/>
      <c r="AR18" s="116" t="str">
        <f t="shared" si="17"/>
        <v>正确</v>
      </c>
      <c r="AS18" s="116" t="str">
        <f t="shared" si="18"/>
        <v>不</v>
      </c>
      <c r="AT18" s="116" t="str">
        <f t="shared" si="19"/>
        <v>重复</v>
      </c>
      <c r="AV18" s="12" t="s">
        <v>157</v>
      </c>
      <c r="AW18" s="12" t="s">
        <v>51</v>
      </c>
    </row>
    <row r="19" s="12" customFormat="1" ht="18" customHeight="1" spans="1:48">
      <c r="A19" s="36">
        <v>16</v>
      </c>
      <c r="B19" s="37" t="s">
        <v>142</v>
      </c>
      <c r="C19" s="37" t="s">
        <v>188</v>
      </c>
      <c r="D19" s="37" t="s">
        <v>143</v>
      </c>
      <c r="E19" s="326" t="s">
        <v>189</v>
      </c>
      <c r="F19" s="38" t="s">
        <v>148</v>
      </c>
      <c r="G19" s="39">
        <v>15571147351</v>
      </c>
      <c r="H19" s="40"/>
      <c r="I19" s="40"/>
      <c r="J19" s="69"/>
      <c r="K19" s="40"/>
      <c r="L19" s="70">
        <v>4739.43</v>
      </c>
      <c r="M19" s="71">
        <v>373.2</v>
      </c>
      <c r="N19" s="71">
        <v>94.42</v>
      </c>
      <c r="O19" s="71">
        <v>13.99</v>
      </c>
      <c r="P19" s="71">
        <v>100.5</v>
      </c>
      <c r="Q19" s="89">
        <f t="shared" si="10"/>
        <v>582.11</v>
      </c>
      <c r="R19" s="70">
        <v>0</v>
      </c>
      <c r="S19" s="90">
        <f>L19+IFERROR(VLOOKUP($E:$E,'（居民）工资表-9月'!$E:$S,15,0),0)</f>
        <v>14383.14</v>
      </c>
      <c r="T19" s="91">
        <f>5000+IFERROR(VLOOKUP($E:$E,'（居民）工资表-9月'!$E:$T,16,0),0)</f>
        <v>20000</v>
      </c>
      <c r="U19" s="91">
        <f>Q19+IFERROR(VLOOKUP($E:$E,'（居民）工资表-9月'!$E:$U,17,0),0)</f>
        <v>2684.83</v>
      </c>
      <c r="V19" s="70"/>
      <c r="W19" s="70"/>
      <c r="X19" s="70"/>
      <c r="Y19" s="70"/>
      <c r="Z19" s="70"/>
      <c r="AA19" s="70"/>
      <c r="AB19" s="90">
        <f t="shared" si="11"/>
        <v>0</v>
      </c>
      <c r="AC19" s="90">
        <f>R19+IFERROR(VLOOKUP($E:$E,'（居民）工资表-9月'!$E:$AC,25,0),0)</f>
        <v>0</v>
      </c>
      <c r="AD19" s="95">
        <f t="shared" si="12"/>
        <v>-8301.69</v>
      </c>
      <c r="AE19" s="96">
        <f>ROUND(MAX((AD19)*{0.03;0.1;0.2;0.25;0.3;0.35;0.45}-{0;2520;16920;31920;52920;85920;181920},0),2)</f>
        <v>0</v>
      </c>
      <c r="AF19" s="97">
        <f>IFERROR(VLOOKUP(E:E,'（居民）工资表-9月'!E:AF,28,0)+VLOOKUP(E:E,'（居民）工资表-9月'!E:AG,29,0),0)</f>
        <v>0</v>
      </c>
      <c r="AG19" s="97">
        <f t="shared" si="13"/>
        <v>0</v>
      </c>
      <c r="AH19" s="107">
        <f t="shared" si="14"/>
        <v>4157.32</v>
      </c>
      <c r="AI19" s="108"/>
      <c r="AJ19" s="107">
        <f t="shared" si="15"/>
        <v>4157.32</v>
      </c>
      <c r="AK19" s="109"/>
      <c r="AL19" s="107">
        <f t="shared" si="16"/>
        <v>4157.32</v>
      </c>
      <c r="AM19" s="109"/>
      <c r="AN19" s="109"/>
      <c r="AO19" s="109"/>
      <c r="AP19" s="109"/>
      <c r="AQ19" s="109"/>
      <c r="AR19" s="116" t="str">
        <f t="shared" si="17"/>
        <v>正确</v>
      </c>
      <c r="AS19" s="116" t="str">
        <f t="shared" si="18"/>
        <v>不</v>
      </c>
      <c r="AT19" s="116" t="str">
        <f t="shared" si="19"/>
        <v>重复</v>
      </c>
      <c r="AV19" s="12" t="s">
        <v>190</v>
      </c>
    </row>
    <row r="20" s="12" customFormat="1" ht="18" customHeight="1" spans="1:46">
      <c r="A20" s="36"/>
      <c r="B20" s="37"/>
      <c r="C20" s="128"/>
      <c r="D20" s="37"/>
      <c r="E20" s="37"/>
      <c r="F20" s="38"/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/>
      <c r="R20" s="70"/>
      <c r="S20" s="90"/>
      <c r="T20" s="91"/>
      <c r="U20" s="91"/>
      <c r="V20" s="70"/>
      <c r="W20" s="70"/>
      <c r="X20" s="70"/>
      <c r="Y20" s="70"/>
      <c r="Z20" s="70"/>
      <c r="AA20" s="70"/>
      <c r="AB20" s="90"/>
      <c r="AC20" s="90"/>
      <c r="AD20" s="95"/>
      <c r="AE20" s="96"/>
      <c r="AF20" s="97"/>
      <c r="AG20" s="97"/>
      <c r="AH20" s="107"/>
      <c r="AI20" s="108"/>
      <c r="AJ20" s="107"/>
      <c r="AK20" s="109"/>
      <c r="AL20" s="107"/>
      <c r="AM20" s="109"/>
      <c r="AN20" s="109"/>
      <c r="AO20" s="109"/>
      <c r="AP20" s="109"/>
      <c r="AQ20" s="109"/>
      <c r="AR20" s="116"/>
      <c r="AS20" s="116"/>
      <c r="AT20" s="116"/>
    </row>
    <row r="21" s="13" customFormat="1" ht="18" customHeight="1" spans="1:46">
      <c r="A21" s="41"/>
      <c r="B21" s="42" t="s">
        <v>192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>SUM(L4:L20)</f>
        <v>146818.23</v>
      </c>
      <c r="M21" s="74">
        <f>SUM(M4:M20)</f>
        <v>6721.94</v>
      </c>
      <c r="N21" s="74">
        <f>SUM(N4:N20)</f>
        <v>1859.82</v>
      </c>
      <c r="O21" s="74">
        <f>SUM(O4:O20)</f>
        <v>365.25</v>
      </c>
      <c r="P21" s="74">
        <f>SUM(P4:P20)</f>
        <v>2069.5</v>
      </c>
      <c r="Q21" s="74">
        <f t="shared" ref="Q21:AL21" si="20">SUM(Q4:Q20)</f>
        <v>11016.51</v>
      </c>
      <c r="R21" s="74">
        <f t="shared" si="20"/>
        <v>0</v>
      </c>
      <c r="S21" s="74">
        <f t="shared" si="20"/>
        <v>1270705.87</v>
      </c>
      <c r="T21" s="74">
        <f t="shared" si="20"/>
        <v>710000</v>
      </c>
      <c r="U21" s="74">
        <f t="shared" si="20"/>
        <v>89869.22</v>
      </c>
      <c r="V21" s="74">
        <f t="shared" si="20"/>
        <v>10000</v>
      </c>
      <c r="W21" s="74">
        <f t="shared" si="20"/>
        <v>0</v>
      </c>
      <c r="X21" s="74">
        <f t="shared" si="20"/>
        <v>10000</v>
      </c>
      <c r="Y21" s="74">
        <f t="shared" si="20"/>
        <v>0</v>
      </c>
      <c r="Z21" s="74">
        <f t="shared" si="20"/>
        <v>4000</v>
      </c>
      <c r="AA21" s="74">
        <f t="shared" si="20"/>
        <v>0</v>
      </c>
      <c r="AB21" s="74">
        <f t="shared" si="20"/>
        <v>24000</v>
      </c>
      <c r="AC21" s="74">
        <f t="shared" si="20"/>
        <v>0</v>
      </c>
      <c r="AD21" s="74">
        <f t="shared" si="20"/>
        <v>446836.65</v>
      </c>
      <c r="AE21" s="74">
        <f t="shared" si="20"/>
        <v>40091.49</v>
      </c>
      <c r="AF21" s="74">
        <f t="shared" si="20"/>
        <v>34153.61</v>
      </c>
      <c r="AG21" s="74">
        <f t="shared" si="20"/>
        <v>6585.53</v>
      </c>
      <c r="AH21" s="74">
        <f t="shared" si="20"/>
        <v>129216.19</v>
      </c>
      <c r="AI21" s="74">
        <f t="shared" si="20"/>
        <v>0</v>
      </c>
      <c r="AJ21" s="74">
        <f t="shared" si="20"/>
        <v>129216.19</v>
      </c>
      <c r="AK21" s="74">
        <f t="shared" si="20"/>
        <v>0</v>
      </c>
      <c r="AL21" s="74">
        <f t="shared" si="20"/>
        <v>135801.72</v>
      </c>
      <c r="AM21" s="110"/>
      <c r="AN21" s="110"/>
      <c r="AO21" s="110"/>
      <c r="AP21" s="110"/>
      <c r="AQ21" s="110"/>
      <c r="AR21" s="45"/>
      <c r="AS21" s="45"/>
      <c r="AT21" s="118"/>
    </row>
    <row r="24" spans="30:30">
      <c r="AD24" s="101"/>
    </row>
    <row r="25" ht="18.75" customHeight="1" spans="2:30">
      <c r="B25" s="47" t="s">
        <v>131</v>
      </c>
      <c r="C25" s="47" t="s">
        <v>193</v>
      </c>
      <c r="D25" s="47" t="s">
        <v>22</v>
      </c>
      <c r="E25" s="47" t="s">
        <v>23</v>
      </c>
      <c r="AD25" s="10"/>
    </row>
    <row r="26" ht="18.75" customHeight="1" spans="2:5">
      <c r="B26" s="48">
        <f>AJ21</f>
        <v>129216.19</v>
      </c>
      <c r="C26" s="48">
        <f>AG21</f>
        <v>6585.53</v>
      </c>
      <c r="D26" s="48">
        <f>AK21</f>
        <v>0</v>
      </c>
      <c r="E26" s="48">
        <f>B26+C26+D26</f>
        <v>135801.72</v>
      </c>
    </row>
    <row r="27" spans="2:5">
      <c r="B27" s="49"/>
      <c r="C27" s="49"/>
      <c r="D27" s="49"/>
      <c r="E27" s="49"/>
    </row>
    <row r="28" s="14" customFormat="1" spans="1:35">
      <c r="A28" s="51" t="s">
        <v>194</v>
      </c>
      <c r="B28" s="52" t="s">
        <v>195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4"/>
      <c r="B29" s="55" t="s">
        <v>196</v>
      </c>
      <c r="C29" s="50"/>
      <c r="D29" s="50"/>
      <c r="E29" s="50"/>
      <c r="G29" s="53"/>
      <c r="J29" s="75"/>
      <c r="M29" s="76"/>
      <c r="AI29" s="112"/>
    </row>
    <row r="30" s="14" customFormat="1" spans="1:35">
      <c r="A30" s="52"/>
      <c r="B30" s="55" t="s">
        <v>197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12"/>
    </row>
    <row r="31" s="14" customFormat="1" customHeight="1" spans="1:35">
      <c r="A31" s="55"/>
      <c r="B31" s="55" t="s">
        <v>198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199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12"/>
    </row>
    <row r="33" s="14" customFormat="1" customHeight="1" spans="1:35">
      <c r="A33" s="55"/>
      <c r="B33" s="55" t="s">
        <v>200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12"/>
    </row>
    <row r="35" ht="11.25" customHeight="1" spans="2:2">
      <c r="B35" s="58" t="s">
        <v>201</v>
      </c>
    </row>
    <row r="36" spans="2:2">
      <c r="B36" s="59" t="s">
        <v>202</v>
      </c>
    </row>
    <row r="37" spans="2:2">
      <c r="B37" s="59" t="s">
        <v>203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C20">
    <cfRule type="duplicateValues" dxfId="4" priority="1"/>
  </conditionalFormatting>
  <conditionalFormatting sqref="B33">
    <cfRule type="duplicateValues" dxfId="4" priority="3" stopIfTrue="1"/>
  </conditionalFormatting>
  <conditionalFormatting sqref="B28:B32">
    <cfRule type="duplicateValues" dxfId="4" priority="4" stopIfTrue="1"/>
  </conditionalFormatting>
  <conditionalFormatting sqref="B36:B37">
    <cfRule type="duplicateValues" dxfId="4" priority="2" stopIfTrue="1"/>
  </conditionalFormatting>
  <conditionalFormatting sqref="C25:C27">
    <cfRule type="duplicateValues" dxfId="4" priority="5" stopIfTrue="1"/>
    <cfRule type="expression" dxfId="5" priority="6" stopIfTrue="1">
      <formula>AND(COUNTIF($B$21:$B$65457,C25)+COUNTIF($B$1:$B$3,C25)&gt;1,NOT(ISBLANK(C25)))</formula>
    </cfRule>
    <cfRule type="expression" dxfId="5" priority="7" stopIfTrue="1">
      <formula>AND(COUNTIF($B$32:$B$65408,C25)+COUNTIF($B$1:$B$31,C25)&gt;1,NOT(ISBLANK(C25)))</formula>
    </cfRule>
    <cfRule type="expression" dxfId="5" priority="8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tabColor rgb="FF00B050"/>
    <pageSetUpPr fitToPage="1"/>
  </sheetPr>
  <dimension ref="A1:AV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204</v>
      </c>
      <c r="AN2" s="29" t="s">
        <v>205</v>
      </c>
      <c r="AO2" s="114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</v>
      </c>
      <c r="Q4" s="89">
        <f t="shared" ref="Q4:Q12" si="0">ROUND(SUM(M4:P4),2)</f>
        <v>588.3</v>
      </c>
      <c r="R4" s="70">
        <v>0</v>
      </c>
      <c r="S4" s="90">
        <f>L4+IFERROR(VLOOKUP($E:$E,'（居民）工资表-10月'!$E:$S,15,0),0)</f>
        <v>88000</v>
      </c>
      <c r="T4" s="91">
        <f>5000+IFERROR(VLOOKUP($E:$E,'（居民）工资表-10月'!$E:$T,16,0),0)</f>
        <v>55000</v>
      </c>
      <c r="U4" s="91">
        <f>Q4+IFERROR(VLOOKUP($E:$E,'（居民）工资表-10月'!$E:$U,17,0),0)</f>
        <v>6569.71</v>
      </c>
      <c r="V4" s="70"/>
      <c r="W4" s="70"/>
      <c r="X4" s="70"/>
      <c r="Y4" s="70"/>
      <c r="Z4" s="70"/>
      <c r="AA4" s="70"/>
      <c r="AB4" s="90">
        <f t="shared" ref="AB4:AB12" si="1">ROUND(SUM(V4:AA4),2)</f>
        <v>0</v>
      </c>
      <c r="AC4" s="90">
        <f>R4+IFERROR(VLOOKUP($E:$E,'（居民）工资表-10月'!$E:$AC,25,0),0)</f>
        <v>0</v>
      </c>
      <c r="AD4" s="95">
        <f t="shared" ref="AD4:AD12" si="2">ROUND(S4-T4-U4-AB4-AC4,2)</f>
        <v>26430.29</v>
      </c>
      <c r="AE4" s="96">
        <f>ROUND(MAX((AD4)*{0.03;0.1;0.2;0.25;0.3;0.35;0.45}-{0;2520;16920;31920;52920;85920;181920},0),2)</f>
        <v>792.91</v>
      </c>
      <c r="AF4" s="97">
        <f>IFERROR(VLOOKUP(E:E,'（居民）工资表-10月'!E:AF,28,0)+VLOOKUP(E:E,'（居民）工资表-10月'!E:AG,29,0),0)</f>
        <v>648.21</v>
      </c>
      <c r="AG4" s="97">
        <f>IF((AE4-AF4)&lt;0,0,AE4-AF4)</f>
        <v>144.7</v>
      </c>
      <c r="AH4" s="107">
        <f t="shared" ref="AH4:AH12" si="3">ROUND(IF((L4-Q4-AG4)&lt;0,0,(L4-Q4-AG4)),2)</f>
        <v>7267</v>
      </c>
      <c r="AI4" s="108"/>
      <c r="AJ4" s="107">
        <f t="shared" ref="AJ4:AJ12" si="4">AH4+AI4</f>
        <v>7267</v>
      </c>
      <c r="AK4" s="109"/>
      <c r="AL4" s="107">
        <f t="shared" ref="AL4:AL12" si="5">AJ4+AG4+AK4</f>
        <v>7411.7</v>
      </c>
      <c r="AM4" s="109"/>
      <c r="AN4" s="109"/>
      <c r="AO4" s="109"/>
      <c r="AP4" s="109"/>
      <c r="AQ4" s="109"/>
      <c r="AR4" s="116" t="str">
        <f t="shared" ref="AR4:AR12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2" si="7">IF(SUMPRODUCT(N(E$1:E$6=E4))&gt;1,"重复","不")</f>
        <v>不</v>
      </c>
      <c r="AT4" s="116" t="str">
        <f t="shared" ref="AT4:AT12" si="8">IF(SUMPRODUCT(N(AO$1:AO$6=AO4))&gt;1,"重复","不")</f>
        <v>重复</v>
      </c>
      <c r="AU4" s="11"/>
      <c r="AV4" s="11"/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89">
        <f t="shared" si="0"/>
        <v>655.8</v>
      </c>
      <c r="R5" s="70">
        <v>0</v>
      </c>
      <c r="S5" s="90">
        <f>L5+IFERROR(VLOOKUP($E:$E,'（居民）工资表-10月'!$E:$S,15,0),0)</f>
        <v>63100</v>
      </c>
      <c r="T5" s="91">
        <f>5000+IFERROR(VLOOKUP($E:$E,'（居民）工资表-10月'!$E:$T,16,0),0)</f>
        <v>55000</v>
      </c>
      <c r="U5" s="91">
        <f>Q5+IFERROR(VLOOKUP($E:$E,'（居民）工资表-10月'!$E:$U,17,0),0)</f>
        <v>7252.44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R5+IFERROR(VLOOKUP($E:$E,'（居民）工资表-10月'!$E:$AC,25,0),0)</f>
        <v>0</v>
      </c>
      <c r="AD5" s="95">
        <f t="shared" si="2"/>
        <v>847.56</v>
      </c>
      <c r="AE5" s="96">
        <f>ROUND(MAX((AD5)*{0.03;0.1;0.2;0.25;0.3;0.35;0.45}-{0;2520;16920;31920;52920;85920;181920},0),2)</f>
        <v>25.43</v>
      </c>
      <c r="AF5" s="97">
        <f>IFERROR(VLOOKUP(E:E,'（居民）工资表-10月'!E:AF,28,0)+VLOOKUP(E:E,'（居民）工资表-10月'!E:AG,29,0),0)</f>
        <v>24.1</v>
      </c>
      <c r="AG5" s="97">
        <f t="shared" ref="AG5:AG12" si="9">IF((AE5-AF5)&lt;0,0,AE5-AF5)</f>
        <v>1.33</v>
      </c>
      <c r="AH5" s="107">
        <f t="shared" si="3"/>
        <v>5042.87</v>
      </c>
      <c r="AI5" s="108"/>
      <c r="AJ5" s="107">
        <f t="shared" si="4"/>
        <v>5042.87</v>
      </c>
      <c r="AK5" s="109"/>
      <c r="AL5" s="107">
        <f t="shared" si="5"/>
        <v>5044.2</v>
      </c>
      <c r="AM5" s="109"/>
      <c r="AN5" s="109"/>
      <c r="AO5" s="109"/>
      <c r="AP5" s="109"/>
      <c r="AQ5" s="109"/>
      <c r="AR5" s="116" t="str">
        <f t="shared" si="6"/>
        <v>正确</v>
      </c>
      <c r="AS5" s="116" t="str">
        <f t="shared" si="7"/>
        <v>不</v>
      </c>
      <c r="AT5" s="116" t="str">
        <f t="shared" si="8"/>
        <v>重复</v>
      </c>
      <c r="AU5" s="11"/>
      <c r="AV5" s="11"/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30560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L6+IFERROR(VLOOKUP($E:$E,'（居民）工资表-10月'!$E:$S,15,0),0)</f>
        <v>336160</v>
      </c>
      <c r="T6" s="91">
        <f>5000+IFERROR(VLOOKUP($E:$E,'（居民）工资表-10月'!$E:$T,16,0),0)</f>
        <v>55000</v>
      </c>
      <c r="U6" s="91">
        <f>Q6+IFERROR(VLOOKUP($E:$E,'（居民）工资表-10月'!$E:$U,17,0),0)</f>
        <v>10434.95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R6+IFERROR(VLOOKUP($E:$E,'（居民）工资表-10月'!$E:$AC,25,0),0)</f>
        <v>0</v>
      </c>
      <c r="AD6" s="95">
        <f t="shared" si="2"/>
        <v>270725.05</v>
      </c>
      <c r="AE6" s="96">
        <f>ROUND(MAX((AD6)*{0.03;0.1;0.2;0.25;0.3;0.35;0.45}-{0;2520;16920;31920;52920;85920;181920},0),2)</f>
        <v>37225.01</v>
      </c>
      <c r="AF6" s="97">
        <f>IFERROR(VLOOKUP(E:E,'（居民）工资表-10月'!E:AF,28,0)+VLOOKUP(E:E,'（居民）工资表-10月'!E:AG,29,0),0)</f>
        <v>32302.72</v>
      </c>
      <c r="AG6" s="97">
        <f t="shared" si="9"/>
        <v>4922.29</v>
      </c>
      <c r="AH6" s="107">
        <f t="shared" si="3"/>
        <v>24689.16</v>
      </c>
      <c r="AI6" s="108"/>
      <c r="AJ6" s="107">
        <f t="shared" si="4"/>
        <v>24689.16</v>
      </c>
      <c r="AK6" s="109"/>
      <c r="AL6" s="107">
        <f t="shared" si="5"/>
        <v>29611.45</v>
      </c>
      <c r="AM6" s="109"/>
      <c r="AN6" s="109"/>
      <c r="AO6" s="109"/>
      <c r="AP6" s="109"/>
      <c r="AQ6" s="109"/>
      <c r="AR6" s="116" t="str">
        <f t="shared" si="6"/>
        <v>正确</v>
      </c>
      <c r="AS6" s="116" t="str">
        <f t="shared" si="7"/>
        <v>不</v>
      </c>
      <c r="AT6" s="116" t="str">
        <f t="shared" si="8"/>
        <v>重复</v>
      </c>
      <c r="AU6" s="11"/>
      <c r="AV6" s="11"/>
    </row>
    <row r="7" s="12" customFormat="1" ht="19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90.51</v>
      </c>
      <c r="O7" s="71">
        <v>20.1</v>
      </c>
      <c r="P7" s="71">
        <v>97</v>
      </c>
      <c r="Q7" s="89">
        <f t="shared" si="0"/>
        <v>529.13</v>
      </c>
      <c r="R7" s="70">
        <v>0</v>
      </c>
      <c r="S7" s="90">
        <f>L7+IFERROR(VLOOKUP($E:$E,'（居民）工资表-10月'!$E:$S,15,0),0)</f>
        <v>94700</v>
      </c>
      <c r="T7" s="91">
        <f>5000+IFERROR(VLOOKUP($E:$E,'（居民）工资表-10月'!$E:$T,16,0),0)</f>
        <v>55000</v>
      </c>
      <c r="U7" s="91">
        <f>Q7+IFERROR(VLOOKUP($E:$E,'（居民）工资表-10月'!$E:$U,17,0),0)</f>
        <v>5940.82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R7+IFERROR(VLOOKUP($E:$E,'（居民）工资表-10月'!$E:$AC,25,0),0)</f>
        <v>0</v>
      </c>
      <c r="AD7" s="95">
        <f t="shared" si="2"/>
        <v>33759.18</v>
      </c>
      <c r="AE7" s="96">
        <f>ROUND(MAX((AD7)*{0.03;0.1;0.2;0.25;0.3;0.35;0.45}-{0;2520;16920;31920;52920;85920;181920},0),2)</f>
        <v>1012.78</v>
      </c>
      <c r="AF7" s="97">
        <f>IFERROR(VLOOKUP(E:E,'（居民）工资表-10月'!E:AF,28,0)+VLOOKUP(E:E,'（居民）工资表-10月'!E:AG,29,0),0)</f>
        <v>938.65</v>
      </c>
      <c r="AG7" s="97">
        <f t="shared" si="9"/>
        <v>74.13</v>
      </c>
      <c r="AH7" s="107">
        <f t="shared" si="3"/>
        <v>7396.74</v>
      </c>
      <c r="AI7" s="108"/>
      <c r="AJ7" s="107">
        <f t="shared" si="4"/>
        <v>7396.74</v>
      </c>
      <c r="AK7" s="109"/>
      <c r="AL7" s="107">
        <f t="shared" si="5"/>
        <v>7470.87</v>
      </c>
      <c r="AM7" s="109"/>
      <c r="AN7" s="109"/>
      <c r="AO7" s="109"/>
      <c r="AP7" s="109"/>
      <c r="AQ7" s="109"/>
      <c r="AR7" s="116" t="str">
        <f t="shared" si="6"/>
        <v>正确</v>
      </c>
      <c r="AS7" s="116" t="str">
        <f t="shared" si="7"/>
        <v>不</v>
      </c>
      <c r="AT7" s="116" t="str">
        <f t="shared" si="8"/>
        <v>重复</v>
      </c>
      <c r="AU7" s="11"/>
      <c r="AV7" s="11"/>
    </row>
    <row r="8" s="12" customFormat="1" ht="19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688</v>
      </c>
      <c r="Q8" s="89">
        <f t="shared" si="0"/>
        <v>1116</v>
      </c>
      <c r="R8" s="70">
        <v>0</v>
      </c>
      <c r="S8" s="90">
        <f>L8+IFERROR(VLOOKUP($E:$E,'（居民）工资表-10月'!$E:$S,15,0),0)</f>
        <v>117800</v>
      </c>
      <c r="T8" s="91">
        <f>5000+IFERROR(VLOOKUP($E:$E,'（居民）工资表-10月'!$E:$T,16,0),0)</f>
        <v>55000</v>
      </c>
      <c r="U8" s="91">
        <f>Q8+IFERROR(VLOOKUP($E:$E,'（居民）工资表-10月'!$E:$U,17,0),0)</f>
        <v>8285.43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R8+IFERROR(VLOOKUP($E:$E,'（居民）工资表-10月'!$E:$AC,25,0),0)</f>
        <v>0</v>
      </c>
      <c r="AD8" s="95">
        <f t="shared" si="2"/>
        <v>54514.57</v>
      </c>
      <c r="AE8" s="96">
        <f>ROUND(MAX((AD8)*{0.03;0.1;0.2;0.25;0.3;0.35;0.45}-{0;2520;16920;31920;52920;85920;181920},0),2)</f>
        <v>2931.46</v>
      </c>
      <c r="AF8" s="97">
        <f>IFERROR(VLOOKUP(E:E,'（居民）工资表-10月'!E:AF,28,0)+VLOOKUP(E:E,'（居民）工资表-10月'!E:AG,29,0),0)</f>
        <v>2493.06</v>
      </c>
      <c r="AG8" s="97">
        <f t="shared" si="9"/>
        <v>438.4</v>
      </c>
      <c r="AH8" s="107">
        <f t="shared" si="3"/>
        <v>8945.6</v>
      </c>
      <c r="AI8" s="108"/>
      <c r="AJ8" s="107">
        <f t="shared" si="4"/>
        <v>8945.6</v>
      </c>
      <c r="AK8" s="109"/>
      <c r="AL8" s="107">
        <f t="shared" si="5"/>
        <v>9384</v>
      </c>
      <c r="AM8" s="109"/>
      <c r="AN8" s="109"/>
      <c r="AO8" s="109"/>
      <c r="AP8" s="109"/>
      <c r="AQ8" s="109"/>
      <c r="AR8" s="116" t="str">
        <f t="shared" si="6"/>
        <v>正确</v>
      </c>
      <c r="AS8" s="116" t="str">
        <f t="shared" si="7"/>
        <v>不</v>
      </c>
      <c r="AT8" s="116" t="str">
        <f t="shared" si="8"/>
        <v>重复</v>
      </c>
      <c r="AU8" s="11"/>
      <c r="AV8" s="11"/>
    </row>
    <row r="9" s="12" customFormat="1" ht="19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147.6</v>
      </c>
      <c r="N9" s="71">
        <v>90.4</v>
      </c>
      <c r="O9" s="71">
        <v>5.53</v>
      </c>
      <c r="P9" s="71">
        <v>100</v>
      </c>
      <c r="Q9" s="89">
        <f t="shared" si="0"/>
        <v>343.53</v>
      </c>
      <c r="R9" s="70">
        <v>0</v>
      </c>
      <c r="S9" s="90">
        <f>L9+IFERROR(VLOOKUP($E:$E,'（居民）工资表-10月'!$E:$S,15,0),0)</f>
        <v>71500</v>
      </c>
      <c r="T9" s="91">
        <f>5000+IFERROR(VLOOKUP($E:$E,'（居民）工资表-10月'!$E:$T,16,0),0)</f>
        <v>55000</v>
      </c>
      <c r="U9" s="91">
        <f>Q9+IFERROR(VLOOKUP($E:$E,'（居民）工资表-10月'!$E:$U,17,0),0)</f>
        <v>5595.5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R9+IFERROR(VLOOKUP($E:$E,'（居民）工资表-10月'!$E:$AC,25,0),0)</f>
        <v>0</v>
      </c>
      <c r="AD9" s="95">
        <f t="shared" si="2"/>
        <v>10904.5</v>
      </c>
      <c r="AE9" s="96">
        <f>ROUND(MAX((AD9)*{0.03;0.1;0.2;0.25;0.3;0.35;0.45}-{0;2520;16920;31920;52920;85920;181920},0),2)</f>
        <v>327.14</v>
      </c>
      <c r="AF9" s="97">
        <f>IFERROR(VLOOKUP(E:E,'（居民）工资表-10月'!E:AF,28,0)+VLOOKUP(E:E,'（居民）工资表-10月'!E:AG,29,0),0)</f>
        <v>292.44</v>
      </c>
      <c r="AG9" s="97">
        <f t="shared" si="9"/>
        <v>34.7</v>
      </c>
      <c r="AH9" s="107">
        <f t="shared" si="3"/>
        <v>6121.77</v>
      </c>
      <c r="AI9" s="108"/>
      <c r="AJ9" s="107">
        <f t="shared" si="4"/>
        <v>6121.77</v>
      </c>
      <c r="AK9" s="109"/>
      <c r="AL9" s="107">
        <f t="shared" si="5"/>
        <v>6156.47</v>
      </c>
      <c r="AM9" s="109"/>
      <c r="AN9" s="109"/>
      <c r="AO9" s="109"/>
      <c r="AP9" s="109"/>
      <c r="AQ9" s="109"/>
      <c r="AR9" s="116" t="str">
        <f t="shared" si="6"/>
        <v>正确</v>
      </c>
      <c r="AS9" s="116" t="str">
        <f t="shared" si="7"/>
        <v>不</v>
      </c>
      <c r="AT9" s="116" t="str">
        <f t="shared" si="8"/>
        <v>重复</v>
      </c>
      <c r="AU9" s="11"/>
      <c r="AV9" s="11"/>
    </row>
    <row r="10" s="12" customFormat="1" ht="19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144</v>
      </c>
      <c r="G10" s="39" t="s">
        <v>165</v>
      </c>
      <c r="H10" s="40"/>
      <c r="I10" s="40"/>
      <c r="J10" s="69"/>
      <c r="K10" s="40"/>
      <c r="L10" s="70">
        <v>5500</v>
      </c>
      <c r="M10" s="71">
        <v>329.44</v>
      </c>
      <c r="N10" s="71">
        <v>87.36</v>
      </c>
      <c r="O10" s="71">
        <v>20.59</v>
      </c>
      <c r="P10" s="71">
        <v>105</v>
      </c>
      <c r="Q10" s="89">
        <f t="shared" si="0"/>
        <v>542.39</v>
      </c>
      <c r="R10" s="70">
        <v>0</v>
      </c>
      <c r="S10" s="90">
        <f>L10+IFERROR(VLOOKUP($E:$E,'（居民）工资表-10月'!$E:$S,15,0),0)</f>
        <v>27500</v>
      </c>
      <c r="T10" s="91">
        <f>5000+IFERROR(VLOOKUP($E:$E,'（居民）工资表-10月'!$E:$T,16,0),0)</f>
        <v>25000</v>
      </c>
      <c r="U10" s="91">
        <f>Q10+IFERROR(VLOOKUP($E:$E,'（居民）工资表-10月'!$E:$U,17,0),0)</f>
        <v>2830.3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R10+IFERROR(VLOOKUP($E:$E,'（居民）工资表-10月'!$E:$AC,25,0),0)</f>
        <v>0</v>
      </c>
      <c r="AD10" s="95">
        <f t="shared" si="2"/>
        <v>-330.3</v>
      </c>
      <c r="AE10" s="96">
        <f>ROUND(MAX((AD10)*{0.03;0.1;0.2;0.25;0.3;0.35;0.45}-{0;2520;16920;31920;52920;85920;181920},0),2)</f>
        <v>0</v>
      </c>
      <c r="AF10" s="97">
        <f>IFERROR(VLOOKUP(E:E,'（居民）工资表-10月'!E:AF,28,0)+VLOOKUP(E:E,'（居民）工资表-10月'!E:AG,29,0),0)</f>
        <v>0</v>
      </c>
      <c r="AG10" s="97">
        <f t="shared" si="9"/>
        <v>0</v>
      </c>
      <c r="AH10" s="107">
        <f t="shared" si="3"/>
        <v>4957.61</v>
      </c>
      <c r="AI10" s="108"/>
      <c r="AJ10" s="107">
        <f t="shared" si="4"/>
        <v>4957.61</v>
      </c>
      <c r="AK10" s="109"/>
      <c r="AL10" s="107">
        <f t="shared" si="5"/>
        <v>4957.61</v>
      </c>
      <c r="AM10" s="109"/>
      <c r="AN10" s="109"/>
      <c r="AO10" s="109"/>
      <c r="AP10" s="109"/>
      <c r="AQ10" s="109"/>
      <c r="AR10" s="116" t="str">
        <f t="shared" si="6"/>
        <v>正确</v>
      </c>
      <c r="AS10" s="116" t="str">
        <f t="shared" si="7"/>
        <v>不</v>
      </c>
      <c r="AT10" s="116" t="str">
        <f t="shared" si="8"/>
        <v>重复</v>
      </c>
      <c r="AU10" s="11"/>
      <c r="AV10" s="11"/>
    </row>
    <row r="11" s="12" customFormat="1" ht="18" customHeight="1" spans="1:48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148</v>
      </c>
      <c r="G11" s="39" t="s">
        <v>170</v>
      </c>
      <c r="H11" s="40"/>
      <c r="I11" s="40"/>
      <c r="J11" s="69"/>
      <c r="K11" s="40"/>
      <c r="L11" s="70">
        <v>4598.8</v>
      </c>
      <c r="M11" s="71">
        <v>352</v>
      </c>
      <c r="N11" s="71">
        <v>110</v>
      </c>
      <c r="O11" s="71">
        <v>22</v>
      </c>
      <c r="P11" s="71">
        <v>109</v>
      </c>
      <c r="Q11" s="89">
        <f t="shared" si="0"/>
        <v>593</v>
      </c>
      <c r="R11" s="70">
        <v>0</v>
      </c>
      <c r="S11" s="90">
        <f>L11+IFERROR(VLOOKUP($E:$E,'（居民）工资表-10月'!$E:$S,15,0),0)</f>
        <v>50149.04</v>
      </c>
      <c r="T11" s="91">
        <f>5000+IFERROR(VLOOKUP($E:$E,'（居民）工资表-10月'!$E:$T,16,0),0)</f>
        <v>55000</v>
      </c>
      <c r="U11" s="91">
        <f>Q11+IFERROR(VLOOKUP($E:$E,'（居民）工资表-10月'!$E:$U,17,0),0)</f>
        <v>6743.16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R11+IFERROR(VLOOKUP($E:$E,'（居民）工资表-10月'!$E:$AC,25,0),0)</f>
        <v>0</v>
      </c>
      <c r="AD11" s="95">
        <f t="shared" si="2"/>
        <v>-11594.12</v>
      </c>
      <c r="AE11" s="96">
        <f>ROUND(MAX((AD11)*{0.03;0.1;0.2;0.25;0.3;0.35;0.45}-{0;2520;16920;31920;52920;85920;181920},0),2)</f>
        <v>0</v>
      </c>
      <c r="AF11" s="97">
        <f>IFERROR(VLOOKUP(E:E,'（居民）工资表-10月'!E:AF,28,0)+VLOOKUP(E:E,'（居民）工资表-10月'!E:AG,29,0),0)</f>
        <v>0</v>
      </c>
      <c r="AG11" s="97">
        <f t="shared" si="9"/>
        <v>0</v>
      </c>
      <c r="AH11" s="107">
        <f t="shared" si="3"/>
        <v>4005.8</v>
      </c>
      <c r="AI11" s="108"/>
      <c r="AJ11" s="107">
        <f t="shared" si="4"/>
        <v>4005.8</v>
      </c>
      <c r="AK11" s="109"/>
      <c r="AL11" s="107">
        <f t="shared" si="5"/>
        <v>4005.8</v>
      </c>
      <c r="AM11" s="109"/>
      <c r="AN11" s="109"/>
      <c r="AO11" s="109"/>
      <c r="AP11" s="109"/>
      <c r="AQ11" s="109"/>
      <c r="AR11" s="116" t="str">
        <f t="shared" si="6"/>
        <v>正确</v>
      </c>
      <c r="AS11" s="116" t="str">
        <f t="shared" si="7"/>
        <v>不</v>
      </c>
      <c r="AT11" s="116" t="str">
        <f t="shared" si="8"/>
        <v>重复</v>
      </c>
      <c r="AU11" s="11"/>
      <c r="AV11" s="11"/>
    </row>
    <row r="12" s="12" customFormat="1" ht="18" customHeight="1" spans="1:48">
      <c r="A12" s="36">
        <v>9</v>
      </c>
      <c r="B12" s="37" t="s">
        <v>142</v>
      </c>
      <c r="C12" s="37" t="s">
        <v>173</v>
      </c>
      <c r="D12" s="37" t="s">
        <v>143</v>
      </c>
      <c r="E12" s="326" t="s">
        <v>174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8500</v>
      </c>
      <c r="M12" s="71">
        <v>321.52</v>
      </c>
      <c r="N12" s="71">
        <v>128.68</v>
      </c>
      <c r="O12" s="71">
        <v>20.1</v>
      </c>
      <c r="P12" s="71">
        <v>97</v>
      </c>
      <c r="Q12" s="89">
        <f t="shared" ref="Q12:Q20" si="10">ROUND(SUM(M12:P12),2)</f>
        <v>567.3</v>
      </c>
      <c r="R12" s="70">
        <v>0</v>
      </c>
      <c r="S12" s="90">
        <f>L12+IFERROR(VLOOKUP($E:$E,'（居民）工资表-10月'!$E:$S,15,0),0)</f>
        <v>103100</v>
      </c>
      <c r="T12" s="91">
        <f>5000+IFERROR(VLOOKUP($E:$E,'（居民）工资表-10月'!$E:$T,16,0),0)</f>
        <v>55000</v>
      </c>
      <c r="U12" s="91">
        <f>Q12+IFERROR(VLOOKUP($E:$E,'（居民）工资表-10月'!$E:$U,17,0),0)</f>
        <v>6278.13</v>
      </c>
      <c r="V12" s="70"/>
      <c r="W12" s="70"/>
      <c r="X12" s="70"/>
      <c r="Y12" s="70"/>
      <c r="Z12" s="70"/>
      <c r="AA12" s="70"/>
      <c r="AB12" s="90">
        <f t="shared" ref="AB12:AB20" si="11">ROUND(SUM(V12:AA12),2)</f>
        <v>0</v>
      </c>
      <c r="AC12" s="90">
        <f>R12+IFERROR(VLOOKUP($E:$E,'（居民）工资表-10月'!$E:$AC,25,0),0)</f>
        <v>0</v>
      </c>
      <c r="AD12" s="95">
        <f t="shared" ref="AD12:AD20" si="12">ROUND(S12-T12-U12-AB12-AC12,2)</f>
        <v>41821.87</v>
      </c>
      <c r="AE12" s="96">
        <f>ROUND(MAX((AD12)*{0.03;0.1;0.2;0.25;0.3;0.35;0.45}-{0;2520;16920;31920;52920;85920;181920},0),2)</f>
        <v>1662.19</v>
      </c>
      <c r="AF12" s="97">
        <f>IFERROR(VLOOKUP(E:E,'（居民）工资表-10月'!E:AF,28,0)+VLOOKUP(E:E,'（居民）工资表-10月'!E:AG,29,0),0)</f>
        <v>1368.92</v>
      </c>
      <c r="AG12" s="97">
        <f t="shared" ref="AG12:AG20" si="13">IF((AE12-AF12)&lt;0,0,AE12-AF12)</f>
        <v>293.27</v>
      </c>
      <c r="AH12" s="107">
        <f t="shared" ref="AH12:AH20" si="14">ROUND(IF((L12-Q12-AG12)&lt;0,0,(L12-Q12-AG12)),2)</f>
        <v>7639.43</v>
      </c>
      <c r="AI12" s="108"/>
      <c r="AJ12" s="107">
        <f t="shared" ref="AJ12:AJ20" si="15">AH12+AI12</f>
        <v>7639.43</v>
      </c>
      <c r="AK12" s="109"/>
      <c r="AL12" s="107">
        <f t="shared" ref="AL12:AL20" si="16">AJ12+AG12+AK12</f>
        <v>7932.7</v>
      </c>
      <c r="AM12" s="109"/>
      <c r="AN12" s="109"/>
      <c r="AO12" s="109"/>
      <c r="AP12" s="109"/>
      <c r="AQ12" s="109"/>
      <c r="AR12" s="116" t="str">
        <f t="shared" ref="AR12:AR20" si="17">IF(LEN(E12)=18,IF(RIGHT(E12,1)="X",IF(CHOOSE(MOD(SUM(LEFT(RIGHT(E12,18))*7+LEFT(RIGHT(E12,17))*9+LEFT(RIGHT(E12,16))*10+LEFT(RIGHT(E12,15))*5+LEFT(RIGHT(E12,14))*8+LEFT(RIGHT(E12,13))*4+LEFT(RIGHT(E12,12))*2+LEFT(RIGHT(E12,11))*1+LEFT(RIGHT(E12,10))*6+LEFT(RIGHT(E12,9))*3+LEFT(RIGHT(E12,8))*7+LEFT(RIGHT(E12,7))*9+LEFT(RIGHT(E12,6))*10+LEFT(RIGHT(E12,5))*5+LEFT(RIGHT(E12,4))*8+LEFT(RIGHT(E12,3))*4+LEFT(RIGHT(E12,2))*2),11)+1,1,0,"X",9,8,7,6,5,4,3,2)=LEFT(RIGHT(E12,1)),"正确","错误"),IF(CHOOSE(MOD(SUM(LEFT(RIGHT(E12,18))*7+LEFT(RIGHT(E12,17))*9+LEFT(RIGHT(E12,16))*10+LEFT(RIGHT(E12,15))*5+LEFT(RIGHT(E12,14))*8+LEFT(RIGHT(E12,13))*4+LEFT(RIGHT(E12,12))*2+LEFT(RIGHT(E12,11))*1+LEFT(RIGHT(E12,10))*6+LEFT(RIGHT(E12,9))*3+LEFT(RIGHT(E12,8))*7+LEFT(RIGHT(E12,7))*9+LEFT(RIGHT(E12,6))*10+LEFT(RIGHT(E12,5))*5+LEFT(RIGHT(E12,4))*8+LEFT(RIGHT(E12,3))*4+LEFT(RIGHT(E12,2))*2),11)+1,1,0,"X",9,8,7,6,5,4,3,2)=LEFT(RIGHT(E12,1))*1,"正确","错误")),IF(LEN(E12)=15,"老号，请注意！",IF(LEN(E12)=0,"未填写身份证号码","位数不对！")))</f>
        <v>正确</v>
      </c>
      <c r="AS12" s="116" t="str">
        <f t="shared" ref="AS12:AS20" si="18">IF(SUMPRODUCT(N(E$1:E$6=E12))&gt;1,"重复","不")</f>
        <v>不</v>
      </c>
      <c r="AT12" s="116" t="str">
        <f t="shared" ref="AT12:AT20" si="19">IF(SUMPRODUCT(N(AO$1:AO$6=AO12))&gt;1,"重复","不")</f>
        <v>重复</v>
      </c>
      <c r="AU12" s="11"/>
      <c r="AV12" s="11"/>
    </row>
    <row r="13" s="12" customFormat="1" ht="18" customHeight="1" spans="1:48">
      <c r="A13" s="36">
        <v>10</v>
      </c>
      <c r="B13" s="37" t="s">
        <v>142</v>
      </c>
      <c r="C13" s="37" t="s">
        <v>175</v>
      </c>
      <c r="D13" s="37" t="s">
        <v>143</v>
      </c>
      <c r="E13" s="326" t="s">
        <v>176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688</v>
      </c>
      <c r="Q13" s="89">
        <f t="shared" si="10"/>
        <v>1116</v>
      </c>
      <c r="R13" s="70">
        <v>0</v>
      </c>
      <c r="S13" s="90">
        <f>L13+IFERROR(VLOOKUP($E:$E,'（居民）工资表-10月'!$E:$S,15,0),0)</f>
        <v>83862.05</v>
      </c>
      <c r="T13" s="91">
        <f>5000+IFERROR(VLOOKUP($E:$E,'（居民）工资表-10月'!$E:$T,16,0),0)</f>
        <v>55000</v>
      </c>
      <c r="U13" s="91">
        <f>Q13+IFERROR(VLOOKUP($E:$E,'（居民）工资表-10月'!$E:$U,17,0),0)</f>
        <v>8285.43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R13+IFERROR(VLOOKUP($E:$E,'（居民）工资表-10月'!$E:$AC,25,0),0)</f>
        <v>0</v>
      </c>
      <c r="AD13" s="95">
        <f t="shared" si="12"/>
        <v>20576.62</v>
      </c>
      <c r="AE13" s="96">
        <f>ROUND(MAX((AD13)*{0.03;0.1;0.2;0.25;0.3;0.35;0.45}-{0;2520;16920;31920;52920;85920;181920},0),2)</f>
        <v>617.3</v>
      </c>
      <c r="AF13" s="97">
        <f>IFERROR(VLOOKUP(E:E,'（居民）工资表-10月'!E:AF,28,0)+VLOOKUP(E:E,'（居民）工资表-10月'!E:AG,29,0),0)</f>
        <v>590.78</v>
      </c>
      <c r="AG13" s="97">
        <f t="shared" si="13"/>
        <v>26.52</v>
      </c>
      <c r="AH13" s="107">
        <f t="shared" si="14"/>
        <v>5857.48</v>
      </c>
      <c r="AI13" s="108"/>
      <c r="AJ13" s="107">
        <f t="shared" si="15"/>
        <v>5857.48</v>
      </c>
      <c r="AK13" s="109"/>
      <c r="AL13" s="107">
        <f t="shared" si="16"/>
        <v>5884</v>
      </c>
      <c r="AM13" s="109"/>
      <c r="AN13" s="109"/>
      <c r="AO13" s="109"/>
      <c r="AP13" s="109"/>
      <c r="AQ13" s="109"/>
      <c r="AR13" s="116" t="str">
        <f t="shared" si="17"/>
        <v>正确</v>
      </c>
      <c r="AS13" s="116" t="str">
        <f t="shared" si="18"/>
        <v>不</v>
      </c>
      <c r="AT13" s="116" t="str">
        <f t="shared" si="19"/>
        <v>重复</v>
      </c>
      <c r="AU13" s="11"/>
      <c r="AV13" s="11"/>
    </row>
    <row r="14" s="12" customFormat="1" ht="18" customHeight="1" spans="1:48">
      <c r="A14" s="36">
        <v>11</v>
      </c>
      <c r="B14" s="37" t="s">
        <v>142</v>
      </c>
      <c r="C14" s="37" t="s">
        <v>177</v>
      </c>
      <c r="D14" s="37" t="s">
        <v>143</v>
      </c>
      <c r="E14" s="326" t="s">
        <v>178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7000</v>
      </c>
      <c r="M14" s="71">
        <v>321.52</v>
      </c>
      <c r="N14" s="71">
        <v>86.38</v>
      </c>
      <c r="O14" s="71">
        <v>20.1</v>
      </c>
      <c r="P14" s="71">
        <v>688</v>
      </c>
      <c r="Q14" s="89">
        <f t="shared" si="10"/>
        <v>1116</v>
      </c>
      <c r="R14" s="70">
        <v>0</v>
      </c>
      <c r="S14" s="90">
        <f>L14+IFERROR(VLOOKUP($E:$E,'（居民）工资表-10月'!$E:$S,15,0),0)</f>
        <v>89208.7</v>
      </c>
      <c r="T14" s="91">
        <f>5000+IFERROR(VLOOKUP($E:$E,'（居民）工资表-10月'!$E:$T,16,0),0)</f>
        <v>55000</v>
      </c>
      <c r="U14" s="91">
        <f>Q14+IFERROR(VLOOKUP($E:$E,'（居民）工资表-10月'!$E:$U,17,0),0)</f>
        <v>8285.43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R14+IFERROR(VLOOKUP($E:$E,'（居民）工资表-10月'!$E:$AC,25,0),0)</f>
        <v>0</v>
      </c>
      <c r="AD14" s="95">
        <f t="shared" si="12"/>
        <v>25923.27</v>
      </c>
      <c r="AE14" s="96">
        <f>ROUND(MAX((AD14)*{0.03;0.1;0.2;0.25;0.3;0.35;0.45}-{0;2520;16920;31920;52920;85920;181920},0),2)</f>
        <v>777.7</v>
      </c>
      <c r="AF14" s="97">
        <f>IFERROR(VLOOKUP(E:E,'（居民）工资表-10月'!E:AF,28,0)+VLOOKUP(E:E,'（居民）工资表-10月'!E:AG,29,0),0)</f>
        <v>751.18</v>
      </c>
      <c r="AG14" s="97">
        <f t="shared" si="13"/>
        <v>26.5200000000001</v>
      </c>
      <c r="AH14" s="107">
        <f t="shared" si="14"/>
        <v>5857.48</v>
      </c>
      <c r="AI14" s="108"/>
      <c r="AJ14" s="107">
        <f t="shared" si="15"/>
        <v>5857.48</v>
      </c>
      <c r="AK14" s="109"/>
      <c r="AL14" s="107">
        <f t="shared" si="16"/>
        <v>5884</v>
      </c>
      <c r="AM14" s="109"/>
      <c r="AN14" s="109"/>
      <c r="AO14" s="109"/>
      <c r="AP14" s="109"/>
      <c r="AQ14" s="109"/>
      <c r="AR14" s="116" t="str">
        <f t="shared" si="17"/>
        <v>正确</v>
      </c>
      <c r="AS14" s="116" t="str">
        <f t="shared" si="18"/>
        <v>不</v>
      </c>
      <c r="AT14" s="116" t="str">
        <f t="shared" si="19"/>
        <v>重复</v>
      </c>
      <c r="AU14" s="11"/>
      <c r="AV14" s="11"/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 t="s">
        <v>181</v>
      </c>
      <c r="H15" s="40"/>
      <c r="I15" s="40"/>
      <c r="J15" s="69"/>
      <c r="K15" s="40"/>
      <c r="L15" s="70">
        <v>7000</v>
      </c>
      <c r="M15" s="71">
        <v>321.52</v>
      </c>
      <c r="N15" s="71">
        <v>128.68</v>
      </c>
      <c r="O15" s="71">
        <v>20.1</v>
      </c>
      <c r="P15" s="71">
        <v>97</v>
      </c>
      <c r="Q15" s="89">
        <f t="shared" si="10"/>
        <v>567.3</v>
      </c>
      <c r="R15" s="70">
        <v>0</v>
      </c>
      <c r="S15" s="90">
        <f>L15+IFERROR(VLOOKUP($E:$E,'（居民）工资表-10月'!$E:$S,15,0),0)</f>
        <v>81500</v>
      </c>
      <c r="T15" s="91">
        <f>5000+IFERROR(VLOOKUP($E:$E,'（居民）工资表-10月'!$E:$T,16,0),0)</f>
        <v>55000</v>
      </c>
      <c r="U15" s="91">
        <f>Q15+IFERROR(VLOOKUP($E:$E,'（居民）工资表-10月'!$E:$U,17,0),0)</f>
        <v>6278.13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R15+IFERROR(VLOOKUP($E:$E,'（居民）工资表-10月'!$E:$AC,25,0),0)</f>
        <v>0</v>
      </c>
      <c r="AD15" s="95">
        <f t="shared" si="12"/>
        <v>20221.87</v>
      </c>
      <c r="AE15" s="96">
        <f>ROUND(MAX((AD15)*{0.03;0.1;0.2;0.25;0.3;0.35;0.45}-{0;2520;16920;31920;52920;85920;181920},0),2)</f>
        <v>606.66</v>
      </c>
      <c r="AF15" s="97">
        <f>IFERROR(VLOOKUP(E:E,'（居民）工资表-10月'!E:AF,28,0)+VLOOKUP(E:E,'（居民）工资表-10月'!E:AG,29,0),0)</f>
        <v>563.68</v>
      </c>
      <c r="AG15" s="97">
        <f t="shared" si="13"/>
        <v>42.98</v>
      </c>
      <c r="AH15" s="107">
        <f t="shared" si="14"/>
        <v>6389.72</v>
      </c>
      <c r="AI15" s="108"/>
      <c r="AJ15" s="107">
        <f t="shared" si="15"/>
        <v>6389.72</v>
      </c>
      <c r="AK15" s="109"/>
      <c r="AL15" s="107">
        <f t="shared" si="16"/>
        <v>6432.7</v>
      </c>
      <c r="AM15" s="109"/>
      <c r="AN15" s="109"/>
      <c r="AO15" s="109"/>
      <c r="AP15" s="109"/>
      <c r="AQ15" s="109"/>
      <c r="AR15" s="116" t="str">
        <f t="shared" si="17"/>
        <v>正确</v>
      </c>
      <c r="AS15" s="116" t="str">
        <f t="shared" si="18"/>
        <v>不</v>
      </c>
      <c r="AT15" s="116" t="str">
        <f t="shared" si="19"/>
        <v>重复</v>
      </c>
      <c r="AU15" s="11"/>
      <c r="AV15" s="11"/>
    </row>
    <row r="16" s="12" customFormat="1" ht="18" customHeight="1" spans="1:48">
      <c r="A16" s="36">
        <v>13</v>
      </c>
      <c r="B16" s="37" t="s">
        <v>142</v>
      </c>
      <c r="C16" s="37" t="s">
        <v>182</v>
      </c>
      <c r="D16" s="37" t="s">
        <v>143</v>
      </c>
      <c r="E16" s="326" t="s">
        <v>183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6060</v>
      </c>
      <c r="M16" s="71">
        <v>321.52</v>
      </c>
      <c r="N16" s="71">
        <v>90.51</v>
      </c>
      <c r="O16" s="71">
        <v>20.1</v>
      </c>
      <c r="P16" s="71">
        <v>97</v>
      </c>
      <c r="Q16" s="89">
        <f t="shared" si="10"/>
        <v>529.13</v>
      </c>
      <c r="R16" s="70">
        <v>0</v>
      </c>
      <c r="S16" s="90">
        <f>L16+IFERROR(VLOOKUP($E:$E,'（居民）工资表-10月'!$E:$S,15,0),0)</f>
        <v>72321.74</v>
      </c>
      <c r="T16" s="91">
        <f>5000+IFERROR(VLOOKUP($E:$E,'（居民）工资表-10月'!$E:$T,16,0),0)</f>
        <v>55000</v>
      </c>
      <c r="U16" s="91">
        <f>Q16+IFERROR(VLOOKUP($E:$E,'（居民）工资表-10月'!$E:$U,17,0),0)</f>
        <v>5940.82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R16+IFERROR(VLOOKUP($E:$E,'（居民）工资表-10月'!$E:$AC,25,0),0)</f>
        <v>0</v>
      </c>
      <c r="AD16" s="95">
        <f t="shared" si="12"/>
        <v>11380.92</v>
      </c>
      <c r="AE16" s="96">
        <f>ROUND(MAX((AD16)*{0.03;0.1;0.2;0.25;0.3;0.35;0.45}-{0;2520;16920;31920;52920;85920;181920},0),2)</f>
        <v>341.43</v>
      </c>
      <c r="AF16" s="97">
        <f>IFERROR(VLOOKUP(E:E,'（居民）工资表-10月'!E:AF,28,0)+VLOOKUP(E:E,'（居民）工资表-10月'!E:AG,29,0),0)</f>
        <v>325.5</v>
      </c>
      <c r="AG16" s="97">
        <f t="shared" si="13"/>
        <v>15.93</v>
      </c>
      <c r="AH16" s="107">
        <f t="shared" si="14"/>
        <v>5514.94</v>
      </c>
      <c r="AI16" s="108"/>
      <c r="AJ16" s="107">
        <f t="shared" si="15"/>
        <v>5514.94</v>
      </c>
      <c r="AK16" s="109"/>
      <c r="AL16" s="107">
        <f t="shared" si="16"/>
        <v>5530.87</v>
      </c>
      <c r="AM16" s="109"/>
      <c r="AN16" s="109"/>
      <c r="AO16" s="109"/>
      <c r="AP16" s="109"/>
      <c r="AQ16" s="109"/>
      <c r="AR16" s="116" t="str">
        <f t="shared" si="17"/>
        <v>正确</v>
      </c>
      <c r="AS16" s="116" t="str">
        <f t="shared" si="18"/>
        <v>不</v>
      </c>
      <c r="AT16" s="116" t="str">
        <f t="shared" si="19"/>
        <v>重复</v>
      </c>
      <c r="AU16" s="11"/>
      <c r="AV16" s="11"/>
    </row>
    <row r="17" s="12" customFormat="1" ht="18" customHeight="1" spans="1:48">
      <c r="A17" s="36">
        <v>14</v>
      </c>
      <c r="B17" s="37" t="s">
        <v>142</v>
      </c>
      <c r="C17" s="37" t="s">
        <v>184</v>
      </c>
      <c r="D17" s="37" t="s">
        <v>143</v>
      </c>
      <c r="E17" s="326" t="s">
        <v>185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6560</v>
      </c>
      <c r="M17" s="71">
        <v>147.6</v>
      </c>
      <c r="N17" s="71">
        <v>90.4</v>
      </c>
      <c r="O17" s="71">
        <v>5.53</v>
      </c>
      <c r="P17" s="71">
        <v>175</v>
      </c>
      <c r="Q17" s="89">
        <f t="shared" si="10"/>
        <v>418.53</v>
      </c>
      <c r="R17" s="70">
        <v>0</v>
      </c>
      <c r="S17" s="90">
        <f>L17+IFERROR(VLOOKUP($E:$E,'（居民）工资表-10月'!$E:$S,15,0),0)</f>
        <v>36300</v>
      </c>
      <c r="T17" s="91">
        <f>5000+IFERROR(VLOOKUP($E:$E,'（居民）工资表-10月'!$E:$T,16,0),0)</f>
        <v>25000</v>
      </c>
      <c r="U17" s="91">
        <f>Q17+IFERROR(VLOOKUP($E:$E,'（居民）工资表-10月'!$E:$U,17,0),0)</f>
        <v>2786.21</v>
      </c>
      <c r="V17" s="70"/>
      <c r="W17" s="70"/>
      <c r="X17" s="70"/>
      <c r="Y17" s="70"/>
      <c r="Z17" s="70"/>
      <c r="AA17" s="70"/>
      <c r="AB17" s="90">
        <f t="shared" si="11"/>
        <v>0</v>
      </c>
      <c r="AC17" s="90">
        <f>R17+IFERROR(VLOOKUP($E:$E,'（居民）工资表-10月'!$E:$AC,25,0),0)</f>
        <v>0</v>
      </c>
      <c r="AD17" s="95">
        <f t="shared" si="12"/>
        <v>8513.79</v>
      </c>
      <c r="AE17" s="96">
        <f>ROUND(MAX((AD17)*{0.03;0.1;0.2;0.25;0.3;0.35;0.45}-{0;2520;16920;31920;52920;85920;181920},0),2)</f>
        <v>255.41</v>
      </c>
      <c r="AF17" s="97">
        <f>IFERROR(VLOOKUP(E:E,'（居民）工资表-10月'!E:AF,28,0)+VLOOKUP(E:E,'（居民）工资表-10月'!E:AG,29,0),0)</f>
        <v>221.17</v>
      </c>
      <c r="AG17" s="97">
        <f t="shared" si="13"/>
        <v>34.24</v>
      </c>
      <c r="AH17" s="107">
        <f t="shared" si="14"/>
        <v>6107.23</v>
      </c>
      <c r="AI17" s="108"/>
      <c r="AJ17" s="107">
        <f t="shared" si="15"/>
        <v>6107.23</v>
      </c>
      <c r="AK17" s="109"/>
      <c r="AL17" s="107">
        <f t="shared" si="16"/>
        <v>6141.47</v>
      </c>
      <c r="AM17" s="109"/>
      <c r="AN17" s="109"/>
      <c r="AO17" s="109"/>
      <c r="AP17" s="109"/>
      <c r="AQ17" s="109"/>
      <c r="AR17" s="116" t="str">
        <f t="shared" si="17"/>
        <v>正确</v>
      </c>
      <c r="AS17" s="116" t="str">
        <f t="shared" si="18"/>
        <v>不</v>
      </c>
      <c r="AT17" s="116" t="str">
        <f t="shared" si="19"/>
        <v>重复</v>
      </c>
      <c r="AU17" s="11"/>
      <c r="AV17" s="11"/>
    </row>
    <row r="18" s="12" customFormat="1" ht="18" customHeight="1" spans="1:48">
      <c r="A18" s="36">
        <v>15</v>
      </c>
      <c r="B18" s="37" t="s">
        <v>142</v>
      </c>
      <c r="C18" s="37" t="s">
        <v>186</v>
      </c>
      <c r="D18" s="37" t="s">
        <v>143</v>
      </c>
      <c r="E18" s="326" t="s">
        <v>187</v>
      </c>
      <c r="F18" s="38" t="s">
        <v>148</v>
      </c>
      <c r="G18" s="39"/>
      <c r="H18" s="40"/>
      <c r="I18" s="40"/>
      <c r="J18" s="69"/>
      <c r="K18" s="40"/>
      <c r="L18" s="70">
        <v>6000</v>
      </c>
      <c r="M18" s="71">
        <v>321.52</v>
      </c>
      <c r="N18" s="71">
        <v>80.38</v>
      </c>
      <c r="O18" s="71">
        <v>20.1</v>
      </c>
      <c r="P18" s="71">
        <v>103</v>
      </c>
      <c r="Q18" s="89">
        <f t="shared" si="10"/>
        <v>525</v>
      </c>
      <c r="R18" s="70">
        <v>0</v>
      </c>
      <c r="S18" s="90">
        <f>L18+IFERROR(VLOOKUP($E:$E,'（居民）工资表-10月'!$E:$S,15,0),0)</f>
        <v>68600</v>
      </c>
      <c r="T18" s="91">
        <f>5000+IFERROR(VLOOKUP($E:$E,'（居民）工资表-10月'!$E:$T,16,0),0)</f>
        <v>55000</v>
      </c>
      <c r="U18" s="91">
        <f>Q18+IFERROR(VLOOKUP($E:$E,'（居民）工资表-10月'!$E:$U,17,0),0)</f>
        <v>5833.89</v>
      </c>
      <c r="V18" s="70"/>
      <c r="W18" s="70"/>
      <c r="X18" s="70"/>
      <c r="Y18" s="70"/>
      <c r="Z18" s="70"/>
      <c r="AA18" s="70"/>
      <c r="AB18" s="90">
        <f t="shared" si="11"/>
        <v>0</v>
      </c>
      <c r="AC18" s="90">
        <f>R18+IFERROR(VLOOKUP($E:$E,'（居民）工资表-10月'!$E:$AC,25,0),0)</f>
        <v>0</v>
      </c>
      <c r="AD18" s="95">
        <f t="shared" si="12"/>
        <v>7766.11</v>
      </c>
      <c r="AE18" s="96">
        <f>ROUND(MAX((AD18)*{0.03;0.1;0.2;0.25;0.3;0.35;0.45}-{0;2520;16920;31920;52920;85920;181920},0),2)</f>
        <v>232.98</v>
      </c>
      <c r="AF18" s="97">
        <f>IFERROR(VLOOKUP(E:E,'（居民）工资表-10月'!E:AF,28,0)+VLOOKUP(E:E,'（居民）工资表-10月'!E:AG,29,0),0)</f>
        <v>218.73</v>
      </c>
      <c r="AG18" s="97">
        <f t="shared" si="13"/>
        <v>14.25</v>
      </c>
      <c r="AH18" s="107">
        <f t="shared" si="14"/>
        <v>5460.75</v>
      </c>
      <c r="AI18" s="108"/>
      <c r="AJ18" s="107">
        <f t="shared" si="15"/>
        <v>5460.75</v>
      </c>
      <c r="AK18" s="109"/>
      <c r="AL18" s="107">
        <f t="shared" si="16"/>
        <v>5475</v>
      </c>
      <c r="AM18" s="109"/>
      <c r="AN18" s="109"/>
      <c r="AO18" s="109"/>
      <c r="AP18" s="109"/>
      <c r="AQ18" s="109"/>
      <c r="AR18" s="116" t="str">
        <f t="shared" si="17"/>
        <v>正确</v>
      </c>
      <c r="AS18" s="116" t="str">
        <f t="shared" si="18"/>
        <v>不</v>
      </c>
      <c r="AT18" s="116" t="str">
        <f t="shared" si="19"/>
        <v>重复</v>
      </c>
      <c r="AU18" s="11"/>
      <c r="AV18" s="11"/>
    </row>
    <row r="19" s="12" customFormat="1" ht="18" customHeight="1" spans="1:48">
      <c r="A19" s="36">
        <v>16</v>
      </c>
      <c r="B19" s="37" t="s">
        <v>142</v>
      </c>
      <c r="C19" s="37" t="s">
        <v>188</v>
      </c>
      <c r="D19" s="37" t="s">
        <v>143</v>
      </c>
      <c r="E19" s="326" t="s">
        <v>189</v>
      </c>
      <c r="F19" s="38" t="s">
        <v>148</v>
      </c>
      <c r="G19" s="39">
        <v>15571147351</v>
      </c>
      <c r="H19" s="40"/>
      <c r="I19" s="40"/>
      <c r="J19" s="69"/>
      <c r="K19" s="40"/>
      <c r="L19" s="70">
        <v>5425</v>
      </c>
      <c r="M19" s="71">
        <v>337.92</v>
      </c>
      <c r="N19" s="71">
        <v>91.48</v>
      </c>
      <c r="O19" s="71">
        <v>12.67</v>
      </c>
      <c r="P19" s="71">
        <v>100.5</v>
      </c>
      <c r="Q19" s="89">
        <f t="shared" si="10"/>
        <v>542.57</v>
      </c>
      <c r="R19" s="70">
        <v>0</v>
      </c>
      <c r="S19" s="90">
        <f>L19+IFERROR(VLOOKUP($E:$E,'（居民）工资表-10月'!$E:$S,15,0),0)</f>
        <v>19808.14</v>
      </c>
      <c r="T19" s="91">
        <f>5000+IFERROR(VLOOKUP($E:$E,'（居民）工资表-10月'!$E:$T,16,0),0)</f>
        <v>25000</v>
      </c>
      <c r="U19" s="91">
        <f>Q19+IFERROR(VLOOKUP($E:$E,'（居民）工资表-10月'!$E:$U,17,0),0)</f>
        <v>3227.4</v>
      </c>
      <c r="V19" s="70"/>
      <c r="W19" s="70"/>
      <c r="X19" s="70"/>
      <c r="Y19" s="70"/>
      <c r="Z19" s="70"/>
      <c r="AA19" s="70"/>
      <c r="AB19" s="90">
        <f t="shared" si="11"/>
        <v>0</v>
      </c>
      <c r="AC19" s="90">
        <f>R19+IFERROR(VLOOKUP($E:$E,'（居民）工资表-10月'!$E:$AC,25,0),0)</f>
        <v>0</v>
      </c>
      <c r="AD19" s="95">
        <f t="shared" si="12"/>
        <v>-8419.26</v>
      </c>
      <c r="AE19" s="96">
        <f>ROUND(MAX((AD19)*{0.03;0.1;0.2;0.25;0.3;0.35;0.45}-{0;2520;16920;31920;52920;85920;181920},0),2)</f>
        <v>0</v>
      </c>
      <c r="AF19" s="97">
        <f>IFERROR(VLOOKUP(E:E,'（居民）工资表-10月'!E:AF,28,0)+VLOOKUP(E:E,'（居民）工资表-10月'!E:AG,29,0),0)</f>
        <v>0</v>
      </c>
      <c r="AG19" s="97">
        <f t="shared" si="13"/>
        <v>0</v>
      </c>
      <c r="AH19" s="107">
        <f t="shared" si="14"/>
        <v>4882.43</v>
      </c>
      <c r="AI19" s="108"/>
      <c r="AJ19" s="107">
        <f t="shared" si="15"/>
        <v>4882.43</v>
      </c>
      <c r="AK19" s="109"/>
      <c r="AL19" s="107">
        <f t="shared" si="16"/>
        <v>4882.43</v>
      </c>
      <c r="AM19" s="109"/>
      <c r="AN19" s="109"/>
      <c r="AO19" s="109"/>
      <c r="AP19" s="109"/>
      <c r="AQ19" s="109"/>
      <c r="AR19" s="116" t="str">
        <f t="shared" si="17"/>
        <v>正确</v>
      </c>
      <c r="AS19" s="116" t="str">
        <f t="shared" si="18"/>
        <v>不</v>
      </c>
      <c r="AT19" s="116" t="str">
        <f t="shared" si="19"/>
        <v>重复</v>
      </c>
      <c r="AU19" s="11"/>
      <c r="AV19" s="11"/>
    </row>
    <row r="20" s="12" customFormat="1" ht="18" customHeight="1" spans="1:48">
      <c r="A20" s="36"/>
      <c r="B20" s="37"/>
      <c r="C20" s="37"/>
      <c r="D20" s="37"/>
      <c r="E20" s="37"/>
      <c r="F20" s="38"/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/>
      <c r="R20" s="70"/>
      <c r="S20" s="90"/>
      <c r="T20" s="91"/>
      <c r="U20" s="91"/>
      <c r="V20" s="70"/>
      <c r="W20" s="70"/>
      <c r="X20" s="70"/>
      <c r="Y20" s="70"/>
      <c r="Z20" s="70"/>
      <c r="AA20" s="70"/>
      <c r="AB20" s="90"/>
      <c r="AC20" s="90"/>
      <c r="AD20" s="95"/>
      <c r="AE20" s="96"/>
      <c r="AF20" s="97"/>
      <c r="AG20" s="97"/>
      <c r="AH20" s="107"/>
      <c r="AI20" s="108"/>
      <c r="AJ20" s="107"/>
      <c r="AK20" s="109"/>
      <c r="AL20" s="107"/>
      <c r="AM20" s="109"/>
      <c r="AN20" s="109"/>
      <c r="AO20" s="109"/>
      <c r="AP20" s="109"/>
      <c r="AQ20" s="109"/>
      <c r="AR20" s="116"/>
      <c r="AS20" s="116"/>
      <c r="AT20" s="116"/>
      <c r="AU20" s="11"/>
      <c r="AV20" s="11"/>
    </row>
    <row r="21" s="13" customFormat="1" ht="18" customHeight="1" spans="1:46">
      <c r="A21" s="41"/>
      <c r="B21" s="42" t="s">
        <v>192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>SUM(L4:L19)</f>
        <v>132903.8</v>
      </c>
      <c r="M21" s="74">
        <f>SUM(M4:M19)</f>
        <v>5213.7</v>
      </c>
      <c r="N21" s="74">
        <f>SUM(N4:N19)</f>
        <v>1587.08</v>
      </c>
      <c r="O21" s="74">
        <f t="shared" ref="O21:AL21" si="20">SUM(O4:O19)</f>
        <v>280.25</v>
      </c>
      <c r="P21" s="74">
        <f t="shared" si="20"/>
        <v>3617.5</v>
      </c>
      <c r="Q21" s="74">
        <f t="shared" si="20"/>
        <v>10698.53</v>
      </c>
      <c r="R21" s="74">
        <f t="shared" si="20"/>
        <v>0</v>
      </c>
      <c r="S21" s="74">
        <f t="shared" si="20"/>
        <v>1403609.67</v>
      </c>
      <c r="T21" s="74">
        <f t="shared" si="20"/>
        <v>790000</v>
      </c>
      <c r="U21" s="74">
        <f t="shared" si="20"/>
        <v>100567.75</v>
      </c>
      <c r="V21" s="74">
        <f t="shared" si="20"/>
        <v>0</v>
      </c>
      <c r="W21" s="74">
        <f t="shared" si="20"/>
        <v>0</v>
      </c>
      <c r="X21" s="74">
        <f t="shared" si="20"/>
        <v>0</v>
      </c>
      <c r="Y21" s="74">
        <f t="shared" si="20"/>
        <v>0</v>
      </c>
      <c r="Z21" s="74">
        <f t="shared" si="20"/>
        <v>0</v>
      </c>
      <c r="AA21" s="74">
        <f t="shared" si="20"/>
        <v>0</v>
      </c>
      <c r="AB21" s="74">
        <f t="shared" si="20"/>
        <v>0</v>
      </c>
      <c r="AC21" s="74">
        <f t="shared" si="20"/>
        <v>0</v>
      </c>
      <c r="AD21" s="74">
        <f t="shared" si="20"/>
        <v>513041.92</v>
      </c>
      <c r="AE21" s="74">
        <f t="shared" si="20"/>
        <v>46808.4</v>
      </c>
      <c r="AF21" s="74">
        <f t="shared" si="20"/>
        <v>40739.14</v>
      </c>
      <c r="AG21" s="74">
        <f t="shared" si="20"/>
        <v>6069.26</v>
      </c>
      <c r="AH21" s="74">
        <f t="shared" si="20"/>
        <v>116136.01</v>
      </c>
      <c r="AI21" s="74">
        <f t="shared" si="20"/>
        <v>0</v>
      </c>
      <c r="AJ21" s="74">
        <f t="shared" si="20"/>
        <v>116136.01</v>
      </c>
      <c r="AK21" s="74">
        <f t="shared" si="20"/>
        <v>0</v>
      </c>
      <c r="AL21" s="74">
        <f t="shared" si="20"/>
        <v>122205.27</v>
      </c>
      <c r="AM21" s="110"/>
      <c r="AN21" s="110"/>
      <c r="AO21" s="110"/>
      <c r="AP21" s="110"/>
      <c r="AQ21" s="110"/>
      <c r="AR21" s="45"/>
      <c r="AS21" s="45"/>
      <c r="AT21" s="118"/>
    </row>
    <row r="24" spans="30:30">
      <c r="AD24" s="101"/>
    </row>
    <row r="25" ht="18.75" customHeight="1" spans="2:30">
      <c r="B25" s="47" t="s">
        <v>131</v>
      </c>
      <c r="C25" s="47" t="s">
        <v>193</v>
      </c>
      <c r="D25" s="47" t="s">
        <v>22</v>
      </c>
      <c r="E25" s="47" t="s">
        <v>23</v>
      </c>
      <c r="AD25" s="10"/>
    </row>
    <row r="26" ht="18.75" customHeight="1" spans="2:5">
      <c r="B26" s="48">
        <f>AJ21</f>
        <v>116136.01</v>
      </c>
      <c r="C26" s="48">
        <f>AG21</f>
        <v>6069.26</v>
      </c>
      <c r="D26" s="48">
        <f>AK21</f>
        <v>0</v>
      </c>
      <c r="E26" s="48">
        <f>B26+C26+D26</f>
        <v>122205.27</v>
      </c>
    </row>
    <row r="27" spans="2:5">
      <c r="B27" s="49"/>
      <c r="C27" s="49"/>
      <c r="D27" s="49"/>
      <c r="E27" s="49"/>
    </row>
    <row r="28" s="14" customFormat="1" spans="1:35">
      <c r="A28" s="51" t="s">
        <v>194</v>
      </c>
      <c r="B28" s="52" t="s">
        <v>195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4"/>
      <c r="B29" s="55" t="s">
        <v>196</v>
      </c>
      <c r="C29" s="50"/>
      <c r="D29" s="50"/>
      <c r="E29" s="50"/>
      <c r="G29" s="53"/>
      <c r="J29" s="75"/>
      <c r="M29" s="76"/>
      <c r="AI29" s="112"/>
    </row>
    <row r="30" s="14" customFormat="1" spans="1:35">
      <c r="A30" s="52"/>
      <c r="B30" s="55" t="s">
        <v>197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12"/>
    </row>
    <row r="31" s="14" customFormat="1" customHeight="1" spans="1:35">
      <c r="A31" s="55"/>
      <c r="B31" s="55" t="s">
        <v>198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199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12"/>
    </row>
    <row r="33" s="14" customFormat="1" customHeight="1" spans="1:35">
      <c r="A33" s="55"/>
      <c r="B33" s="55" t="s">
        <v>200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12"/>
    </row>
    <row r="35" ht="11.25" customHeight="1" spans="2:2">
      <c r="B35" s="58" t="s">
        <v>201</v>
      </c>
    </row>
    <row r="36" spans="2:2">
      <c r="B36" s="59" t="s">
        <v>202</v>
      </c>
    </row>
    <row r="37" spans="2:2">
      <c r="B37" s="59" t="s">
        <v>203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4" priority="2" stopIfTrue="1"/>
  </conditionalFormatting>
  <conditionalFormatting sqref="B28:B32">
    <cfRule type="duplicateValues" dxfId="4" priority="3" stopIfTrue="1"/>
  </conditionalFormatting>
  <conditionalFormatting sqref="B36:B37">
    <cfRule type="duplicateValues" dxfId="4" priority="1" stopIfTrue="1"/>
  </conditionalFormatting>
  <conditionalFormatting sqref="C25:C27">
    <cfRule type="duplicateValues" dxfId="4" priority="4" stopIfTrue="1"/>
    <cfRule type="expression" dxfId="5" priority="5" stopIfTrue="1">
      <formula>AND(COUNTIF($B$21:$B$65457,C25)+COUNTIF($B$1:$B$3,C25)&gt;1,NOT(ISBLANK(C25)))</formula>
    </cfRule>
    <cfRule type="expression" dxfId="5" priority="6" stopIfTrue="1">
      <formula>AND(COUNTIF($B$32:$B$65408,C25)+COUNTIF($B$1:$B$31,C25)&gt;1,NOT(ISBLANK(C25)))</formula>
    </cfRule>
    <cfRule type="expression" dxfId="5" priority="7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0 " > < c o m m e n t   s : r e f = " F 1 "   r g b C l r = " E F C 7 5 4 " / > < c o m m e n t   s : r e f = " G 1 "   r g b C l r = " E F C 7 5 4 " / > < c o m m e n t   s : r e f = " H 1 "   r g b C l r = " E F C 7 5 4 " / > < c o m m e n t   s : r e f = " K 1 "   r g b C l r = " E F C 7 5 4 " / > < c o m m e n t   s : r e f = " F 1 8 "   r g b C l r = " E F C 7 5 4 " / > < c o m m e n t   s : r e f = " G 1 8 "   r g b C l r = " E F C 7 5 4 " / > < c o m m e n t   s : r e f = " J 1 8 "   r g b C l r = " E F C 7 5 4 " / > < c o m m e n t   s : r e f = " Q 1 8 "   r g b C l r = " E F C 7 5 4 " / > < c o m m e n t   s : r e f = " K 1 9 "   r g b C l r = " E F C 7 5 4 " / > < c o m m e n t   s : r e f = " R 1 9 "   r g b C l r = " E F C 7 5 4 " / > < / c o m m e n t L i s t > < c o m m e n t L i s t   s h e e t S t i d = " 2 9 " > < c o m m e n t   s : r e f = " E 1 "   r g b C l r = " B 3 C 8 8 8 " / > < c o m m e n t   s : r e f = " F 1 "   r g b C l r = " B 3 C 8 8 8 " / > < c o m m e n t   s : r e f = " G 1 "   r g b C l r = " B 3 C 8 8 8 " / > < c o m m e n t   s : r e f = " H 1 "   r g b C l r = " B 3 C 8 8 8 " / > < c o m m e n t   s : r e f = " O 1 "   r g b C l r = " B 3 C 8 8 8 " / > < c o m m e n t   s : r e f = " P 1 "   r g b C l r = " B 3 C 8 8 8 " / > < c o m m e n t   s : r e f = " S 1 "   r g b C l r = " B 3 C 8 8 8 " / > < c o m m e n t   s : r e f = " Z 1 "   r g b C l r = " B 3 C 8 8 8 " / > < c o m m e n t   s : r e f = " A L 1 "   r g b C l r = " B 3 C 8 8 8 " / > < c o m m e n t   s : r e f = " A M 1 "   r g b C l r = " B 3 C 8 8 8 " / > < c o m m e n t   s : r e f = " A N 1 "   r g b C l r = " B 3 C 8 8 8 " / > < c o m m e n t   s : r e f = " A O 1 "   r g b C l r = " B 3 C 8 8 8 " / > < c o m m e n t   s : r e f = " T 2 "   r g b C l r = " B 3 C 8 8 8 " / > < c o m m e n t   s : r e f = " A A 2 "   r g b C l r = " B 3 C 8 8 8 " / > < / c o m m e n t L i s t > < c o m m e n t L i s t   s h e e t S t i d = " 2 3 " / > < c o m m e n t L i s t   s h e e t S t i d = " 2 4 " / > < c o m m e n t L i s t   s h e e t S t i d = " 1 " / > < c o m m e n t L i s t   s h e e t S t i d = " 2 5 " / > < c o m m e n t L i s t   s h e e t S t i d = " 1 5 " / > < c o m m e n t L i s t   s h e e t S t i d = " 1 6 " / > < c o m m e n t L i s t   s h e e t S t i d = " 1 7 " / > < c o m m e n t L i s t   s h e e t S t i d = " 1 8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社保</vt:lpstr>
      <vt:lpstr>付款通知</vt:lpstr>
      <vt:lpstr>（居民）工资表-7月</vt:lpstr>
      <vt:lpstr>（居民）工资表-5月</vt:lpstr>
      <vt:lpstr>（居民）工资表-6月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乔鑫凝</cp:lastModifiedBy>
  <dcterms:created xsi:type="dcterms:W3CDTF">2018-08-01T08:19:00Z</dcterms:created>
  <cp:lastPrinted>2019-02-02T09:30:00Z</cp:lastPrinted>
  <dcterms:modified xsi:type="dcterms:W3CDTF">2024-06-03T08:38:33Z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2052-12.1.0.16929</vt:lpwstr>
  </property>
  <property fmtid="{D5CDD505-2E9C-101B-9397-08002B2CF9AE}" pid="4" name="ICV">
    <vt:lpwstr>BAAAEB3A37F248E48D2032AB646B39E1</vt:lpwstr>
  </property>
  <property fmtid="{D5CDD505-2E9C-101B-9397-08002B2CF9AE}" pid="5" name="KSOReadingLayout">
    <vt:bool>true</vt:bool>
  </property>
</Properties>
</file>