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09" firstSheet="1" activeTab="4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'（居民）工资表-9月'!$A$3:$AT$21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'（居民）工资表-8月'!$A$3:$AV$20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<sst xmlns="http://schemas.openxmlformats.org/spreadsheetml/2006/main" count="2238" uniqueCount="256">
  <si>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</si>
  <si>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</si>
  <si>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</si>
  <si>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</si>
  <si>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</si>
  <si>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</si>
  <si>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</si>
  <si>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</si>
  <si>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</si>
  <si>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</si>
  <si>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</si>
  <si>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</si>
  <si>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</si>
  <si>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</si>
  <si>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</si>
  <si>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</si>
  <si>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</si>
  <si>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</si>
  <si>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</si>
  <si>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</si>
  <si>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</si>
  <si>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</si>
  <si>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</si>
  <si>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</si>
  <si>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</si>
  <si>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</si>
  <si>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</si>
  <si>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</si>
  <si>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</si>
  <si>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</si>
  <si>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</si>
  <si>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</si>
  <si>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</si>
  <si>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</si>
  <si>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</si>
  <si>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</si>
  <si>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</si>
  <si>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</si>
  <si>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</si>
  <si>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</si>
  <si>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</si>
  <si>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</si>
  <si>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</si>
  <si>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</si>
  <si>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</si>
  <si>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</si>
  <si>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</si>
  <si>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</si>
  <si>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</si>
  <si>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</si>
  <si>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</si>
  <si>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</si>
  <si>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</si>
  <si>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</si>
  <si>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</si>
  <si>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</si>
  <si>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</si>
  <si>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</si>
  <si>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</si>
  <si>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</si>
  <si>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</si>
  <si>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</si>
  <si>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</si>
  <si>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</si>
  <si>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</si>
  <si>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</si>
  <si>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</si>
  <si>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</si>
  <si>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</si>
  <si>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根据贵公司与我公司所签订的服务协议，请贵公司在2024年4月8日之前按照下列表格内容支付相关款项.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</si>
  <si>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</si>
  <si>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</si>
  <si>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</si>
  <si>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</si>
  <si>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</si>
  <si>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</si>
  <si>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</si>
  <si>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</si>
  <si>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</si>
  <si>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</si>
  <si>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</si>
  <si>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</si>
  <si>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</si>
  <si>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</si>
  <si>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</si>
  <si>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</si>
  <si>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</si>
  <si>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</si>
  <si>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</si>
  <si>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</si>
  <si>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</si>
  <si>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</si>
  <si>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</si>
  <si>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</si>
  <si>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</si>
  <si>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</si>
  <si>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</si>
  <si>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</si>
  <si>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</si>
  <si>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</si>
  <si>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</si>
  <si>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</si>
  <si>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</si>
  <si>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</si>
  <si>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</si>
  <si>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</si>
  <si>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</si>
  <si>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</si>
  <si>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</si>
  <si>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</si>
  <si>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</si>
  <si>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</si>
  <si>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</si>
  <si>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</si>
  <si>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</si>
  <si>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</si>
  <si>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</si>
  <si>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</si>
  <si>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</si>
  <si>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</si>
  <si>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</si>
  <si>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</si>
  <si>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</si>
  <si>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</si>
  <si>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</si>
  <si>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</si>
  <si>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</si>
  <si>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</si>
  <si>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</si>
  <si>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</si>
  <si>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</si>
  <si>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</si>
  <si>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</si>
  <si>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</si>
  <si>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</si>
  <si>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</si>
  <si>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</si>
  <si>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</si>
  <si>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</si>
  <si>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</si>
  <si>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</si>
  <si>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</si>
  <si>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</si>
  <si>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</si>
  <si>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</si>
  <si>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</si>
  <si>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</si>
  <si>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</si>
  <si>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</si>
  <si>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</si>
  <si>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</si>
  <si>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</si>
  <si>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</si>
  <si>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</si>
  <si>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</si>
  <si>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</si>
  <si>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</si>
  <si>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</si>
  <si>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</si>
  <si>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</si>
  <si>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</si>
  <si>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</si>
  <si>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</si>
  <si>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谭江月</t>
  </si>
  <si>
    <t>500228199607193387</t>
  </si>
  <si>
    <t>18297976577</t>
  </si>
  <si>
    <t>重庆</t>
  </si>
  <si>
    <t>重庆外商</t>
  </si>
  <si>
    <t>孙海娟</t>
  </si>
  <si>
    <t>150428198211155123</t>
  </si>
  <si>
    <t>13875812115</t>
  </si>
  <si>
    <t>天津</t>
  </si>
  <si>
    <t>天津易铭天</t>
  </si>
  <si>
    <t>汤祥文</t>
  </si>
  <si>
    <t>340222198505126017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</si>
  <si>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</si>
  <si>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</si>
  <si>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</si>
  <si>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</si>
  <si>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</si>
  <si>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</si>
  <si>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</si>
  <si>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</si>
  <si>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</si>
  <si>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杨文</t>
  </si>
  <si>
    <t>430902198512287016</t>
  </si>
  <si>
    <t>张莉</t>
  </si>
  <si>
    <t>340122198910212909</t>
  </si>
  <si>
    <t>周兆平</t>
  </si>
  <si>
    <t>420625199902250033</t>
  </si>
  <si>
    <t>武汉</t>
  </si>
  <si>
    <t>武汉乾通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</si>
  <si>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</si>
  <si>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</si>
  <si>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</si>
  <si>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</si>
  <si>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</si>
  <si>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</si>
  <si>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</si>
  <si>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</si>
  <si>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</si>
  <si>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</si>
  <si>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</si>
  <si>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</si>
  <si>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</si>
  <si>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</si>
  <si>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</si>
  <si>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</si>
  <si>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</si>
  <si>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</si>
  <si>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</si>
  <si>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</si>
  <si>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倪绍帅</t>
  </si>
  <si>
    <t>341225199804264377</t>
  </si>
  <si>
    <t>吕阳</t>
  </si>
  <si>
    <t>420704199405100011</t>
  </si>
  <si>
    <t>重庆易铭天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</si>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</sst>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workbookViewId="0">
      <selection activeCell="G19" sqref="G19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122874.99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122874.99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122874.99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'（居民）工资表-6月'!E25</f>
        <v>122874.99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122874.99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122874.99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122874.99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11" sqref="M11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296.26</v>
      </c>
      <c r="N4" s="71">
        <v>76.62</v>
      </c>
      <c r="O4" s="71">
        <v>11.11</v>
      </c>
      <c r="P4" s="71">
        <v>177</v>
      </c>
      <c r="Q4" s="89">
        <f>ROUND(SUM(M4:P4),2)</f>
        <v>560.99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4189.19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10.81</v>
      </c>
      <c r="AE4" s="96">
        <f>ROUND(MAX((AD4)*{0.03;0.1;0.2;0.25;0.3;0.35;0.45}-{0;2520;16920;31920;52920;85920;181920},0),2)</f>
        <v>0.32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7439.01</v>
      </c>
      <c r="AI4" s="108"/>
      <c r="AJ4" s="107">
        <f>AH4+AI4</f>
        <v>7439.01</v>
      </c>
      <c r="AK4" s="109"/>
      <c r="AL4" s="107">
        <f>AJ4+AG4+AK4</f>
        <v>7439.01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367.04</v>
      </c>
      <c r="N5" s="71">
        <v>113.48</v>
      </c>
      <c r="O5" s="71">
        <v>4.6</v>
      </c>
      <c r="P5" s="71">
        <v>115</v>
      </c>
      <c r="Q5" s="89">
        <f>ROUND(SUM(M5:P5),2)</f>
        <v>600.12</v>
      </c>
      <c r="R5" s="70">
        <v>0</v>
      </c>
      <c r="S5" s="90">
        <f>L5+IFERROR(VLOOKUP($E:$E,'（居民）工资表-6月'!$E:$S,15,0),0)</f>
        <v>40300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4573.56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-6273.56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5099.88</v>
      </c>
      <c r="AI5" s="108"/>
      <c r="AJ5" s="107">
        <f>AH5+AI5</f>
        <v>5099.88</v>
      </c>
      <c r="AK5" s="109"/>
      <c r="AL5" s="107">
        <f>AJ5+AG5+AK5</f>
        <v>5099.88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181.3</v>
      </c>
      <c r="Q6" s="89">
        <f>ROUND(SUM(M6:P6),2)</f>
        <v>948.85</v>
      </c>
      <c r="R6" s="70">
        <v>0</v>
      </c>
      <c r="S6" s="90">
        <f>L6+IFERROR(VLOOKUP($E:$E,'（居民）工资表-6月'!$E:$S,15,0),0)</f>
        <v>210920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6640.15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158779.85</v>
      </c>
      <c r="AE6" s="96">
        <f>ROUND(MAX((AD6)*{0.03;0.1;0.2;0.25;0.3;0.35;0.45}-{0;2520;16920;31920;52920;85920;181920},0),2)</f>
        <v>14835.97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2822.23</v>
      </c>
      <c r="AH6" s="107">
        <f>ROUND(IF((L6-Q6-AG6)&lt;0,0,(L6-Q6-AG6)),2)</f>
        <v>26788.92</v>
      </c>
      <c r="AI6" s="108"/>
      <c r="AJ6" s="107">
        <f>AH6+AI6</f>
        <v>26788.92</v>
      </c>
      <c r="AK6" s="109"/>
      <c r="AL6" s="107">
        <f>AJ6+AG6+AK6</f>
        <v>29611.15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9100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ref="Q7:Q19" si="0">ROUND(SUM(M7:P7),2)</f>
        <v>507.36</v>
      </c>
      <c r="R7" s="70">
        <v>0</v>
      </c>
      <c r="S7" s="90">
        <f>L7+IFERROR(VLOOKUP($E:$E,'（居民）工资表-6月'!$E:$S,15,0),0)</f>
        <v>59100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3673.62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15426.38</v>
      </c>
      <c r="AE7" s="96">
        <f>ROUND(MAX((AD7)*{0.03;0.1;0.2;0.25;0.3;0.35;0.45}-{0;2520;16920;31920;52920;85920;181920},0),2)</f>
        <v>462.79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0</v>
      </c>
      <c r="AH7" s="107">
        <f t="shared" ref="AH7:AH19" si="4">ROUND(IF((L7-Q7-AG7)&lt;0,0,(L7-Q7-AG7)),2)</f>
        <v>8592.64</v>
      </c>
      <c r="AI7" s="108"/>
      <c r="AJ7" s="107">
        <f t="shared" ref="AJ7:AJ19" si="5">AH7+AI7</f>
        <v>8592.64</v>
      </c>
      <c r="AK7" s="109"/>
      <c r="AL7" s="107">
        <f t="shared" ref="AL7:AL19" si="6">AJ7+AG7+AK7</f>
        <v>8592.64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10300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L8+IFERROR(VLOOKUP($E:$E,'（居民）工资表-6月'!$E:$S,15,0),0)</f>
        <v>73300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5212.36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33087.64</v>
      </c>
      <c r="AE8" s="96">
        <f>ROUND(MAX((AD8)*{0.03;0.1;0.2;0.25;0.3;0.35;0.45}-{0;2520;16920;31920;52920;85920;181920},0),2)</f>
        <v>992.63</v>
      </c>
      <c r="AF8" s="97">
        <f>IFERROR(VLOOKUP(E:E,'（居民）工资表-6月'!E:AF,28,0)+VLOOKUP(E:E,'（居民）工资表-6月'!E:AG,29,0),0)</f>
        <v>851.04</v>
      </c>
      <c r="AG8" s="97">
        <f t="shared" si="3"/>
        <v>141.59</v>
      </c>
      <c r="AH8" s="107">
        <f t="shared" si="4"/>
        <v>9578.05</v>
      </c>
      <c r="AI8" s="108"/>
      <c r="AJ8" s="107">
        <f t="shared" si="5"/>
        <v>9578.05</v>
      </c>
      <c r="AK8" s="109"/>
      <c r="AL8" s="107">
        <f t="shared" si="6"/>
        <v>9719.64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3698.45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6801.55</v>
      </c>
      <c r="AE9" s="96">
        <f>ROUND(MAX((AD9)*{0.03;0.1;0.2;0.25;0.3;0.35;0.45}-{0;2520;16920;31920;52920;85920;181920},0),2)</f>
        <v>204.05</v>
      </c>
      <c r="AF9" s="97">
        <f>IFERROR(VLOOKUP(E:E,'（居民）工资表-6月'!E:AF,28,0)+VLOOKUP(E:E,'（居民）工资表-6月'!E:AG,29,0),0)</f>
        <v>174.47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L10+IFERROR(VLOOKUP($E:$E,'（居民）工资表-6月'!$E:$S,15,0),0)</f>
        <v>5500</v>
      </c>
      <c r="T10" s="91">
        <f>5000+IFERROR(VLOOKUP($E:$E,'（居民）工资表-6月'!$E:$T,16,0),0)</f>
        <v>5000</v>
      </c>
      <c r="U10" s="91">
        <f>Q10+IFERROR(VLOOKUP($E:$E,'（居民）工资表-6月'!$E:$U,17,0),0)</f>
        <v>525.49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-25.49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L11+IFERROR(VLOOKUP($E:$E,'（居民）工资表-6月'!$E:$S,15,0),0)</f>
        <v>31753.84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4372.16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-7618.32</v>
      </c>
      <c r="AE11" s="96">
        <f>ROUND(MAX((AD11)*{0.03;0.1;0.2;0.25;0.3;0.35;0.45}-{0;2520;16920;31920;52920;85920;181920},0),2)</f>
        <v>0</v>
      </c>
      <c r="AF11" s="97">
        <f>IFERROR(VLOOKUP(E:E,'（居民）工资表-6月'!E:AF,28,0)+VLOOKUP(E:E,'（居民）工资表-6月'!E:AG,29,0),0)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2" t="s">
        <v>171</v>
      </c>
      <c r="AN11" s="12" t="s">
        <v>172</v>
      </c>
    </row>
    <row r="12" s="12" customFormat="1" ht="18" customHeight="1" spans="1:40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10300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L12+IFERROR(VLOOKUP($E:$E,'（居民）工资表-6月'!$E:$S,15,0),0)</f>
        <v>61300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3889.21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22410.79</v>
      </c>
      <c r="AE12" s="96">
        <f>ROUND(MAX((AD12)*{0.03;0.1;0.2;0.25;0.3;0.35;0.45}-{0;2520;16920;31920;52920;85920;181920},0),2)</f>
        <v>672.32</v>
      </c>
      <c r="AF12" s="97">
        <f>IFERROR(VLOOKUP(E:E,'（居民）工资表-6月'!E:AF,28,0)+VLOOKUP(E:E,'（居民）工资表-6月'!E:AG,29,0),0)</f>
        <v>529.38</v>
      </c>
      <c r="AG12" s="97">
        <f t="shared" si="3"/>
        <v>142.94</v>
      </c>
      <c r="AH12" s="107">
        <f t="shared" si="4"/>
        <v>9621.85</v>
      </c>
      <c r="AI12" s="108"/>
      <c r="AJ12" s="107">
        <f t="shared" si="5"/>
        <v>9621.85</v>
      </c>
      <c r="AK12" s="109"/>
      <c r="AL12" s="107">
        <f t="shared" si="6"/>
        <v>9764.79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9000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L13+IFERROR(VLOOKUP($E:$E,'（居民）工资表-6月'!$E:$S,15,0),0)</f>
        <v>51000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5212.36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10787.64</v>
      </c>
      <c r="AE13" s="96">
        <f>ROUND(MAX((AD13)*{0.03;0.1;0.2;0.25;0.3;0.35;0.45}-{0;2520;16920;31920;52920;85920;181920},0),2)</f>
        <v>323.63</v>
      </c>
      <c r="AF13" s="97">
        <f>IFERROR(VLOOKUP(E:E,'（居民）工资表-6月'!E:AF,28,0)+VLOOKUP(E:E,'（居民）工资表-6月'!E:AG,29,0),0)</f>
        <v>221.04</v>
      </c>
      <c r="AG13" s="97">
        <f t="shared" si="3"/>
        <v>102.59</v>
      </c>
      <c r="AH13" s="107">
        <f t="shared" si="4"/>
        <v>8317.05</v>
      </c>
      <c r="AI13" s="108"/>
      <c r="AJ13" s="107">
        <f t="shared" si="5"/>
        <v>8317.05</v>
      </c>
      <c r="AK13" s="109"/>
      <c r="AL13" s="107">
        <f t="shared" si="6"/>
        <v>8419.64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L14+IFERROR(VLOOKUP($E:$E,'（居民）工资表-6月'!$E:$S,15,0),0)</f>
        <v>51608.7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5212.36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11396.34</v>
      </c>
      <c r="AE14" s="96">
        <f>ROUND(MAX((AD14)*{0.03;0.1;0.2;0.25;0.3;0.35;0.45}-{0;2520;16920;31920;52920;85920;181920},0),2)</f>
        <v>341.89</v>
      </c>
      <c r="AF14" s="97">
        <f>IFERROR(VLOOKUP(E:E,'（居民）工资表-6月'!E:AF,28,0)+VLOOKUP(E:E,'（居民）工资表-6月'!E:AG,29,0),0)</f>
        <v>239.3</v>
      </c>
      <c r="AG14" s="97">
        <f t="shared" si="3"/>
        <v>102.59</v>
      </c>
      <c r="AH14" s="107">
        <f t="shared" si="4"/>
        <v>8317.05</v>
      </c>
      <c r="AI14" s="108"/>
      <c r="AJ14" s="107">
        <f t="shared" si="5"/>
        <v>8317.05</v>
      </c>
      <c r="AK14" s="109"/>
      <c r="AL14" s="107">
        <f t="shared" si="6"/>
        <v>8419.64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8800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L15+IFERROR(VLOOKUP($E:$E,'（居民）工资表-6月'!$E:$S,15,0),0)</f>
        <v>50800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3889.21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11910.79</v>
      </c>
      <c r="AE15" s="96">
        <f>ROUND(MAX((AD15)*{0.03;0.1;0.2;0.25;0.3;0.35;0.45}-{0;2520;16920;31920;52920;85920;181920},0),2)</f>
        <v>357.32</v>
      </c>
      <c r="AF15" s="97">
        <f>IFERROR(VLOOKUP(E:E,'（居民）工资表-6月'!E:AF,28,0)+VLOOKUP(E:E,'（居民）工资表-6月'!E:AG,29,0),0)</f>
        <v>259.38</v>
      </c>
      <c r="AG15" s="97">
        <f t="shared" si="3"/>
        <v>97.94</v>
      </c>
      <c r="AH15" s="107">
        <f t="shared" si="4"/>
        <v>8166.85</v>
      </c>
      <c r="AI15" s="108"/>
      <c r="AJ15" s="107">
        <f t="shared" si="5"/>
        <v>8166.85</v>
      </c>
      <c r="AK15" s="109"/>
      <c r="AL15" s="107">
        <f t="shared" si="6"/>
        <v>8264.79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7360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L16+IFERROR(VLOOKUP($E:$E,'（居民）工资表-6月'!$E:$S,15,0),0)</f>
        <v>44481.74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3673.62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5808.12</v>
      </c>
      <c r="AE16" s="96">
        <f>ROUND(MAX((AD16)*{0.03;0.1;0.2;0.25;0.3;0.35;0.45}-{0;2520;16920;31920;52920;85920;181920},0),2)</f>
        <v>174.24</v>
      </c>
      <c r="AF16" s="97">
        <f>IFERROR(VLOOKUP(E:E,'（居民）工资表-6月'!E:AF,28,0)+VLOOKUP(E:E,'（居民）工资表-6月'!E:AG,29,0),0)</f>
        <v>118.66</v>
      </c>
      <c r="AG16" s="97">
        <f t="shared" si="3"/>
        <v>55.58</v>
      </c>
      <c r="AH16" s="107">
        <f t="shared" si="4"/>
        <v>6797.06</v>
      </c>
      <c r="AI16" s="108"/>
      <c r="AJ16" s="107">
        <f t="shared" si="5"/>
        <v>6797.06</v>
      </c>
      <c r="AK16" s="109"/>
      <c r="AL16" s="107">
        <f t="shared" si="6"/>
        <v>6852.64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7060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L17+IFERROR(VLOOKUP($E:$E,'（居民）工资表-6月'!$E:$S,15,0),0)</f>
        <v>7060</v>
      </c>
      <c r="T17" s="91">
        <f>5000+IFERROR(VLOOKUP($E:$E,'（居民）工资表-6月'!$E:$T,16,0),0)</f>
        <v>5000</v>
      </c>
      <c r="U17" s="91">
        <f>Q17+IFERROR(VLOOKUP($E:$E,'（居民）工资表-6月'!$E:$U,17,0),0)</f>
        <v>589.16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1470.84</v>
      </c>
      <c r="AE17" s="96">
        <f>ROUND(MAX((AD17)*{0.03;0.1;0.2;0.25;0.3;0.35;0.45}-{0;2520;16920;31920;52920;85920;181920},0),2)</f>
        <v>44.13</v>
      </c>
      <c r="AF17" s="97">
        <f>IFERROR(VLOOKUP(E:E,'（居民）工资表-6月'!E:AF,28,0)+VLOOKUP(E:E,'（居民）工资表-6月'!E:AG,29,0),0)</f>
        <v>0</v>
      </c>
      <c r="AG17" s="97">
        <f t="shared" si="3"/>
        <v>44.13</v>
      </c>
      <c r="AH17" s="107">
        <f t="shared" si="4"/>
        <v>6426.71</v>
      </c>
      <c r="AI17" s="108"/>
      <c r="AJ17" s="107">
        <f t="shared" si="5"/>
        <v>6426.71</v>
      </c>
      <c r="AK17" s="109"/>
      <c r="AL17" s="107">
        <f t="shared" si="6"/>
        <v>6470.84</v>
      </c>
      <c r="AM17" s="12" t="s">
        <v>162</v>
      </c>
      <c r="AN17" s="12" t="s">
        <v>51</v>
      </c>
    </row>
    <row r="18" s="12" customFormat="1" ht="18" customHeight="1" spans="1:40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5400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L18+IFERROR(VLOOKUP($E:$E,'（居民）工资表-6月'!$E:$S,15,0),0)</f>
        <v>41400</v>
      </c>
      <c r="T18" s="91">
        <f>5000+IFERROR(VLOOKUP($E:$E,'（居民）工资表-6月'!$E:$T,16,0),0)</f>
        <v>35000</v>
      </c>
      <c r="U18" s="91">
        <f>Q18+IFERROR(VLOOKUP($E:$E,'（居民）工资表-6月'!$E:$U,17,0),0)</f>
        <v>3655.36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2744.64</v>
      </c>
      <c r="AE18" s="96">
        <f>ROUND(MAX((AD18)*{0.03;0.1;0.2;0.25;0.3;0.35;0.45}-{0;2520;16920;31920;52920;85920;181920},0),2)</f>
        <v>82.34</v>
      </c>
      <c r="AF18" s="97">
        <f>IFERROR(VLOOKUP(E:E,'（居民）工资表-6月'!E:AF,28,0)+VLOOKUP(E:E,'（居民）工资表-6月'!E:AG,29,0),0)</f>
        <v>85.5</v>
      </c>
      <c r="AG18" s="97">
        <f t="shared" si="3"/>
        <v>0</v>
      </c>
      <c r="AH18" s="107">
        <f t="shared" si="4"/>
        <v>4894.64</v>
      </c>
      <c r="AI18" s="108"/>
      <c r="AJ18" s="107">
        <f t="shared" si="5"/>
        <v>4894.64</v>
      </c>
      <c r="AK18" s="109"/>
      <c r="AL18" s="107">
        <f t="shared" si="6"/>
        <v>4894.64</v>
      </c>
      <c r="AM18" s="12" t="s">
        <v>157</v>
      </c>
      <c r="AN18" s="12" t="s">
        <v>51</v>
      </c>
    </row>
    <row r="19" s="12" customFormat="1" ht="18" customHeight="1" spans="1:40">
      <c r="A19" s="36">
        <v>15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1466.67</v>
      </c>
      <c r="M19" s="71">
        <v>652.32</v>
      </c>
      <c r="N19" s="71">
        <v>170.08</v>
      </c>
      <c r="O19" s="71">
        <v>24.46</v>
      </c>
      <c r="P19" s="71">
        <v>201</v>
      </c>
      <c r="Q19" s="89">
        <f t="shared" si="0"/>
        <v>1047.86</v>
      </c>
      <c r="R19" s="70">
        <v>0</v>
      </c>
      <c r="S19" s="90">
        <f>L19+IFERROR(VLOOKUP($E:$E,'（居民）工资表-6月'!$E:$S,15,0),0)</f>
        <v>1466.67</v>
      </c>
      <c r="T19" s="91">
        <f>5000+IFERROR(VLOOKUP($E:$E,'（居民）工资表-6月'!$E:$T,16,0),0)</f>
        <v>5000</v>
      </c>
      <c r="U19" s="91">
        <f>Q19+IFERROR(VLOOKUP($E:$E,'（居民）工资表-6月'!$E:$U,17,0),0)</f>
        <v>1047.86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R19+IFERROR(VLOOKUP($E:$E,'（居民）工资表-6月'!$E:$AC,25,0),0)</f>
        <v>0</v>
      </c>
      <c r="AD19" s="95">
        <f t="shared" si="2"/>
        <v>-4581.19</v>
      </c>
      <c r="AE19" s="96">
        <f>ROUND(MAX((AD19)*{0.03;0.1;0.2;0.25;0.3;0.35;0.45}-{0;2520;16920;31920;52920;85920;181920},0),2)</f>
        <v>0</v>
      </c>
      <c r="AF19" s="97">
        <f>IFERROR(VLOOKUP(E:E,'（居民）工资表-6月'!E:AF,28,0)+VLOOKUP(E:E,'（居民）工资表-6月'!E:AG,29,0),0)</f>
        <v>0</v>
      </c>
      <c r="AG19" s="97">
        <f t="shared" si="3"/>
        <v>0</v>
      </c>
      <c r="AH19" s="107">
        <f t="shared" si="4"/>
        <v>418.81</v>
      </c>
      <c r="AI19" s="108"/>
      <c r="AJ19" s="107">
        <f t="shared" si="5"/>
        <v>418.81</v>
      </c>
      <c r="AK19" s="109"/>
      <c r="AL19" s="107">
        <f t="shared" si="6"/>
        <v>418.81</v>
      </c>
      <c r="AM19" s="12" t="s">
        <v>190</v>
      </c>
      <c r="AN19" s="12" t="s">
        <v>191</v>
      </c>
    </row>
    <row r="20" s="13" customFormat="1" ht="18" customHeight="1" spans="1:38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138645.47</v>
      </c>
      <c r="M20" s="74">
        <f t="shared" ref="M20:AL20" si="7">SUM(M4:M19)</f>
        <v>5652.66</v>
      </c>
      <c r="N20" s="74">
        <f t="shared" si="7"/>
        <v>1592.78</v>
      </c>
      <c r="O20" s="74">
        <f t="shared" si="7"/>
        <v>295.47</v>
      </c>
      <c r="P20" s="74">
        <f t="shared" si="7"/>
        <v>2170.3</v>
      </c>
      <c r="Q20" s="74">
        <f t="shared" si="7"/>
        <v>9711.21</v>
      </c>
      <c r="R20" s="74">
        <f t="shared" si="7"/>
        <v>0</v>
      </c>
      <c r="S20" s="74">
        <f t="shared" si="7"/>
        <v>831490.95</v>
      </c>
      <c r="T20" s="74">
        <f t="shared" si="7"/>
        <v>470000</v>
      </c>
      <c r="U20" s="74">
        <f t="shared" si="7"/>
        <v>60054.12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262136.83</v>
      </c>
      <c r="AE20" s="74">
        <f t="shared" si="7"/>
        <v>18491.63</v>
      </c>
      <c r="AF20" s="74">
        <f t="shared" si="7"/>
        <v>15447.47</v>
      </c>
      <c r="AG20" s="74">
        <f t="shared" si="7"/>
        <v>3539.17</v>
      </c>
      <c r="AH20" s="74">
        <f t="shared" si="7"/>
        <v>125395.09</v>
      </c>
      <c r="AI20" s="74">
        <f t="shared" si="7"/>
        <v>0</v>
      </c>
      <c r="AJ20" s="74">
        <f t="shared" si="7"/>
        <v>125395.09</v>
      </c>
      <c r="AK20" s="74">
        <f t="shared" si="7"/>
        <v>0</v>
      </c>
      <c r="AL20" s="74">
        <f t="shared" si="7"/>
        <v>128934.26</v>
      </c>
    </row>
    <row r="23" spans="30:30">
      <c r="AD23" s="101"/>
    </row>
    <row r="24" ht="18.75" customHeight="1" spans="2:30">
      <c r="B24" s="47" t="s">
        <v>131</v>
      </c>
      <c r="C24" s="47" t="s">
        <v>193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125395.09</v>
      </c>
      <c r="C25" s="48">
        <f>AG20</f>
        <v>3539.17</v>
      </c>
      <c r="D25" s="48">
        <f>AK20</f>
        <v>0</v>
      </c>
      <c r="E25" s="48">
        <f>B25+C25+D25</f>
        <v>128934.26</v>
      </c>
    </row>
    <row r="26" spans="2:5">
      <c r="B26" s="49"/>
      <c r="C26" s="49"/>
      <c r="D26" s="49"/>
      <c r="E26" s="49" t="e">
        <f>#REF!</f>
        <v>#REF!</v>
      </c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214</v>
      </c>
      <c r="D18" s="37" t="s">
        <v>143</v>
      </c>
      <c r="E18" s="37" t="s">
        <v>215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tabSelected="1" workbookViewId="0">
      <pane xSplit="6" ySplit="3" topLeftCell="AF4" activePane="bottomRight" state="frozen"/>
      <selection/>
      <selection pane="topRight"/>
      <selection pane="bottomLeft"/>
      <selection pane="bottomRight" activeCell="AV1" sqref="AU$1:AV$104857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214</v>
      </c>
      <c r="D18" s="37" t="s">
        <v>143</v>
      </c>
      <c r="E18" s="37" t="s">
        <v>215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342.66</v>
      </c>
      <c r="N4" s="71">
        <v>76.62</v>
      </c>
      <c r="O4" s="71">
        <v>12.85</v>
      </c>
      <c r="P4" s="71">
        <v>177</v>
      </c>
      <c r="Q4" s="89">
        <f>ROUND(SUM(M4:P4),2)</f>
        <v>609.13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4798.32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19201.68</v>
      </c>
      <c r="AE4" s="96">
        <f>ROUND(MAX((AD4)*{0.03;0.1;0.2;0.25;0.3;0.35;0.45}-{0;2520;16920;31920;52920;85920;181920},0),2)</f>
        <v>576.05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144.9</v>
      </c>
      <c r="AH4" s="107">
        <f>ROUND(IF((L4-Q4-AG4)&lt;0,0,(L4-Q4-AG4)),2)</f>
        <v>7245.97</v>
      </c>
      <c r="AI4" s="108"/>
      <c r="AJ4" s="107">
        <f>AH4+AI4</f>
        <v>7245.97</v>
      </c>
      <c r="AK4" s="109"/>
      <c r="AL4" s="107">
        <f>AJ4+AG4+AK4</f>
        <v>7390.87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478.4</v>
      </c>
      <c r="N5" s="71">
        <v>113.48</v>
      </c>
      <c r="O5" s="71">
        <v>4.6</v>
      </c>
      <c r="P5" s="71">
        <v>115</v>
      </c>
      <c r="Q5" s="89">
        <f>ROUND(SUM(M5:P5),2)</f>
        <v>711.48</v>
      </c>
      <c r="R5" s="70">
        <v>0</v>
      </c>
      <c r="S5" s="90">
        <f>L5+IFERROR(VLOOKUP($E:$E,'（居民）工资表-7月'!$E:$S,15,0),0)</f>
        <v>46000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5285.04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714.96</v>
      </c>
      <c r="AE5" s="96">
        <f>ROUND(MAX((AD5)*{0.03;0.1;0.2;0.25;0.3;0.35;0.45}-{0;2520;16920;31920;52920;85920;181920},0),2)</f>
        <v>21.45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2.65</v>
      </c>
      <c r="AH5" s="107">
        <f>ROUND(IF((L5-Q5-AG5)&lt;0,0,(L5-Q5-AG5)),2)</f>
        <v>4985.87</v>
      </c>
      <c r="AI5" s="108"/>
      <c r="AJ5" s="107">
        <f>AH5+AI5</f>
        <v>4985.87</v>
      </c>
      <c r="AK5" s="109"/>
      <c r="AL5" s="107">
        <f>AJ5+AG5+AK5</f>
        <v>4988.52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ref="Q6:Q19" si="0">ROUND(SUM(M6:P6),2)</f>
        <v>948.85</v>
      </c>
      <c r="R6" s="70">
        <v>0</v>
      </c>
      <c r="S6" s="90">
        <f>L6+IFERROR(VLOOKUP($E:$E,'（居民）工资表-7月'!$E:$S,15,0),0)</f>
        <v>242480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7589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194891</v>
      </c>
      <c r="AE6" s="96">
        <f>ROUND(MAX((AD6)*{0.03;0.1;0.2;0.25;0.3;0.35;0.45}-{0;2520;16920;31920;52920;85920;181920},0),2)</f>
        <v>22058.2</v>
      </c>
      <c r="AF6" s="97">
        <f>IFERROR(VLOOKUP(E:E,'（居民）工资表-7月'!E:AF,28,0)+VLOOKUP(E:E,'（居民）工资表-7月'!E:AG,29,0),0)</f>
        <v>14835.97</v>
      </c>
      <c r="AG6" s="97">
        <f t="shared" ref="AG6:AG19" si="3">IF((AE6-AF6)&lt;0,0,AE6-AF6)</f>
        <v>7222.23</v>
      </c>
      <c r="AH6" s="107">
        <f t="shared" ref="AH6:AH19" si="4">ROUND(IF((L6-Q6-AG6)&lt;0,0,(L6-Q6-AG6)),2)</f>
        <v>23388.92</v>
      </c>
      <c r="AI6" s="108"/>
      <c r="AJ6" s="107">
        <f t="shared" ref="AJ6:AJ19" si="5">AH6+AI6</f>
        <v>23388.92</v>
      </c>
      <c r="AK6" s="109"/>
      <c r="AL6" s="107">
        <f t="shared" ref="AL6:AL19" si="6">AJ6+AG6+AK6</f>
        <v>30611.15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8500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L7+IFERROR(VLOOKUP($E:$E,'（居民）工资表-7月'!$E:$S,15,0),0)</f>
        <v>67600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4180.98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23419.02</v>
      </c>
      <c r="AE7" s="96">
        <f>ROUND(MAX((AD7)*{0.03;0.1;0.2;0.25;0.3;0.35;0.45}-{0;2520;16920;31920;52920;85920;181920},0),2)</f>
        <v>702.57</v>
      </c>
      <c r="AF7" s="97">
        <f>IFERROR(VLOOKUP(E:E,'（居民）工资表-7月'!E:AF,28,0)+VLOOKUP(E:E,'（居民）工资表-7月'!E:AG,29,0),0)</f>
        <v>505.01</v>
      </c>
      <c r="AG7" s="97">
        <f t="shared" si="3"/>
        <v>197.56</v>
      </c>
      <c r="AH7" s="107">
        <f t="shared" si="4"/>
        <v>7795.08</v>
      </c>
      <c r="AI7" s="108"/>
      <c r="AJ7" s="107">
        <f t="shared" si="5"/>
        <v>7795.08</v>
      </c>
      <c r="AK7" s="109"/>
      <c r="AL7" s="107">
        <f t="shared" si="6"/>
        <v>7992.64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11800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L8+IFERROR(VLOOKUP($E:$E,'（居民）工资表-7月'!$E:$S,15,0),0)</f>
        <v>85100</v>
      </c>
      <c r="T8" s="91">
        <f>5000+IFERROR(VLOOKUP($E:$E,'（居民）工资表-7月'!$E:$T,16,0),0)</f>
        <v>40000</v>
      </c>
      <c r="U8" s="91">
        <f>Q8+IFERROR(VLOOKUP($E:$E,'（居民）工资表-7月'!$E:$U,17,0),0)</f>
        <v>5792.72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39307.28</v>
      </c>
      <c r="AE8" s="96">
        <f>ROUND(MAX((AD8)*{0.03;0.1;0.2;0.25;0.3;0.35;0.45}-{0;2520;16920;31920;52920;85920;181920},0),2)</f>
        <v>1410.73</v>
      </c>
      <c r="AF8" s="97">
        <f>IFERROR(VLOOKUP(E:E,'（居民）工资表-7月'!E:AF,28,0)+VLOOKUP(E:E,'（居民）工资表-7月'!E:AG,29,0),0)</f>
        <v>992.63</v>
      </c>
      <c r="AG8" s="97">
        <f t="shared" si="3"/>
        <v>418.1</v>
      </c>
      <c r="AH8" s="107">
        <f t="shared" si="4"/>
        <v>10801.54</v>
      </c>
      <c r="AI8" s="108"/>
      <c r="AJ8" s="107">
        <f t="shared" si="5"/>
        <v>10801.54</v>
      </c>
      <c r="AK8" s="109"/>
      <c r="AL8" s="107">
        <f t="shared" si="6"/>
        <v>11219.64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4212.61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7787.39</v>
      </c>
      <c r="AE9" s="96">
        <f>ROUND(MAX((AD9)*{0.03;0.1;0.2;0.25;0.3;0.35;0.45}-{0;2520;16920;31920;52920;85920;181920},0),2)</f>
        <v>233.62</v>
      </c>
      <c r="AF9" s="97">
        <f>IFERROR(VLOOKUP(E:E,'（居民）工资表-7月'!E:AF,28,0)+VLOOKUP(E:E,'（居民）工资表-7月'!E:AG,29,0),0)</f>
        <v>204.05</v>
      </c>
      <c r="AG9" s="97">
        <f t="shared" si="3"/>
        <v>29.57</v>
      </c>
      <c r="AH9" s="107">
        <f t="shared" si="4"/>
        <v>5956.27</v>
      </c>
      <c r="AI9" s="108"/>
      <c r="AJ9" s="107">
        <f t="shared" si="5"/>
        <v>5956.27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L10+IFERROR(VLOOKUP($E:$E,'（居民）工资表-7月'!$E:$S,15,0),0)</f>
        <v>11000</v>
      </c>
      <c r="T10" s="91">
        <f>5000+IFERROR(VLOOKUP($E:$E,'（居民）工资表-7月'!$E:$T,16,0),0)</f>
        <v>10000</v>
      </c>
      <c r="U10" s="91">
        <f>Q10+IFERROR(VLOOKUP($E:$E,'（居民）工资表-7月'!$E:$U,17,0),0)</f>
        <v>1050.98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-50.98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L11+IFERROR(VLOOKUP($E:$E,'（居民）工资表-7月'!$E:$S,15,0),0)</f>
        <v>36352.64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4965.16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-8612.52</v>
      </c>
      <c r="AE11" s="96">
        <f>ROUND(MAX((AD11)*{0.03;0.1;0.2;0.25;0.3;0.35;0.45}-{0;2520;16920;31920;52920;85920;181920},0),2)</f>
        <v>0</v>
      </c>
      <c r="AF11" s="97">
        <f>IFERROR(VLOOKUP(E:E,'（居民）工资表-7月'!E:AF,28,0)+VLOOKUP(E:E,'（居民）工资表-7月'!E:AG,29,0),0)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11300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L12+IFERROR(VLOOKUP($E:$E,'（居民）工资表-7月'!$E:$S,15,0),0)</f>
        <v>72600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4424.42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28175.58</v>
      </c>
      <c r="AE12" s="96">
        <f>ROUND(MAX((AD12)*{0.03;0.1;0.2;0.25;0.3;0.35;0.45}-{0;2520;16920;31920;52920;85920;181920},0),2)</f>
        <v>845.27</v>
      </c>
      <c r="AF12" s="97">
        <f>IFERROR(VLOOKUP(E:E,'（居民）工资表-7月'!E:AF,28,0)+VLOOKUP(E:E,'（居民）工资表-7月'!E:AG,29,0),0)</f>
        <v>672.32</v>
      </c>
      <c r="AG12" s="97">
        <f t="shared" si="3"/>
        <v>172.95</v>
      </c>
      <c r="AH12" s="107">
        <f t="shared" si="4"/>
        <v>10591.84</v>
      </c>
      <c r="AI12" s="108"/>
      <c r="AJ12" s="107">
        <f t="shared" si="5"/>
        <v>10591.84</v>
      </c>
      <c r="AK12" s="109"/>
      <c r="AL12" s="107">
        <f t="shared" si="6"/>
        <v>10764.79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8227.27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L13+IFERROR(VLOOKUP($E:$E,'（居民）工资表-7月'!$E:$S,15,0),0)</f>
        <v>59227.27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5792.72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13434.55</v>
      </c>
      <c r="AE13" s="96">
        <f>ROUND(MAX((AD13)*{0.03;0.1;0.2;0.25;0.3;0.35;0.45}-{0;2520;16920;31920;52920;85920;181920},0),2)</f>
        <v>403.04</v>
      </c>
      <c r="AF13" s="97">
        <f>IFERROR(VLOOKUP(E:E,'（居民）工资表-7月'!E:AF,28,0)+VLOOKUP(E:E,'（居民）工资表-7月'!E:AG,29,0),0)</f>
        <v>323.63</v>
      </c>
      <c r="AG13" s="97">
        <f t="shared" si="3"/>
        <v>79.41</v>
      </c>
      <c r="AH13" s="107">
        <f t="shared" si="4"/>
        <v>7567.5</v>
      </c>
      <c r="AI13" s="108"/>
      <c r="AJ13" s="107">
        <f t="shared" si="5"/>
        <v>7567.5</v>
      </c>
      <c r="AK13" s="109"/>
      <c r="AL13" s="107">
        <f t="shared" si="6"/>
        <v>7646.91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11000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L14+IFERROR(VLOOKUP($E:$E,'（居民）工资表-7月'!$E:$S,15,0),0)</f>
        <v>62608.7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5792.72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16815.98</v>
      </c>
      <c r="AE14" s="96">
        <f>ROUND(MAX((AD14)*{0.03;0.1;0.2;0.25;0.3;0.35;0.45}-{0;2520;16920;31920;52920;85920;181920},0),2)</f>
        <v>504.48</v>
      </c>
      <c r="AF14" s="97">
        <f>IFERROR(VLOOKUP(E:E,'（居民）工资表-7月'!E:AF,28,0)+VLOOKUP(E:E,'（居民）工资表-7月'!E:AG,29,0),0)</f>
        <v>341.89</v>
      </c>
      <c r="AG14" s="97">
        <f t="shared" si="3"/>
        <v>162.59</v>
      </c>
      <c r="AH14" s="107">
        <f t="shared" si="4"/>
        <v>10257.05</v>
      </c>
      <c r="AI14" s="108"/>
      <c r="AJ14" s="107">
        <f t="shared" si="5"/>
        <v>10257.05</v>
      </c>
      <c r="AK14" s="109"/>
      <c r="AL14" s="107">
        <f t="shared" si="6"/>
        <v>10419.64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L15+IFERROR(VLOOKUP($E:$E,'（居民）工资表-7月'!$E:$S,15,0),0)</f>
        <v>58700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4424.42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14275.58</v>
      </c>
      <c r="AE15" s="96">
        <f>ROUND(MAX((AD15)*{0.03;0.1;0.2;0.25;0.3;0.35;0.45}-{0;2520;16920;31920;52920;85920;181920},0),2)</f>
        <v>428.27</v>
      </c>
      <c r="AF15" s="97">
        <f>IFERROR(VLOOKUP(E:E,'（居民）工资表-7月'!E:AF,28,0)+VLOOKUP(E:E,'（居民）工资表-7月'!E:AG,29,0),0)</f>
        <v>357.32</v>
      </c>
      <c r="AG15" s="97">
        <f t="shared" si="3"/>
        <v>70.95</v>
      </c>
      <c r="AH15" s="107">
        <f t="shared" si="4"/>
        <v>7293.84</v>
      </c>
      <c r="AI15" s="108"/>
      <c r="AJ15" s="107">
        <f t="shared" si="5"/>
        <v>7293.84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7860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L16+IFERROR(VLOOKUP($E:$E,'（居民）工资表-7月'!$E:$S,15,0),0)</f>
        <v>52341.74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4180.98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8160.76</v>
      </c>
      <c r="AE16" s="96">
        <f>ROUND(MAX((AD16)*{0.03;0.1;0.2;0.25;0.3;0.35;0.45}-{0;2520;16920;31920;52920;85920;181920},0),2)</f>
        <v>244.82</v>
      </c>
      <c r="AF16" s="97">
        <f>IFERROR(VLOOKUP(E:E,'（居民）工资表-7月'!E:AF,28,0)+VLOOKUP(E:E,'（居民）工资表-7月'!E:AG,29,0),0)</f>
        <v>174.24</v>
      </c>
      <c r="AG16" s="97">
        <f t="shared" si="3"/>
        <v>70.58</v>
      </c>
      <c r="AH16" s="107">
        <f t="shared" si="4"/>
        <v>7282.06</v>
      </c>
      <c r="AI16" s="108"/>
      <c r="AJ16" s="107">
        <f t="shared" si="5"/>
        <v>7282.06</v>
      </c>
      <c r="AK16" s="109"/>
      <c r="AL16" s="107">
        <f t="shared" si="6"/>
        <v>7352.64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L17+IFERROR(VLOOKUP($E:$E,'（居民）工资表-7月'!$E:$S,15,0),0)</f>
        <v>13620</v>
      </c>
      <c r="T17" s="91">
        <f>5000+IFERROR(VLOOKUP($E:$E,'（居民）工资表-7月'!$E:$T,16,0),0)</f>
        <v>10000</v>
      </c>
      <c r="U17" s="91">
        <f>Q17+IFERROR(VLOOKUP($E:$E,'（居民）工资表-7月'!$E:$U,17,0),0)</f>
        <v>1178.32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2441.68</v>
      </c>
      <c r="AE17" s="96">
        <f>ROUND(MAX((AD17)*{0.03;0.1;0.2;0.25;0.3;0.35;0.45}-{0;2520;16920;31920;52920;85920;181920},0),2)</f>
        <v>73.25</v>
      </c>
      <c r="AF17" s="97">
        <f>IFERROR(VLOOKUP(E:E,'（居民）工资表-7月'!E:AF,28,0)+VLOOKUP(E:E,'（居民）工资表-7月'!E:AG,29,0),0)</f>
        <v>44.13</v>
      </c>
      <c r="AG17" s="97">
        <f t="shared" si="3"/>
        <v>29.12</v>
      </c>
      <c r="AH17" s="107">
        <f t="shared" si="4"/>
        <v>5941.72</v>
      </c>
      <c r="AI17" s="108"/>
      <c r="AJ17" s="107">
        <f t="shared" si="5"/>
        <v>5941.72</v>
      </c>
      <c r="AK17" s="109"/>
      <c r="AL17" s="107">
        <f t="shared" si="6"/>
        <v>5970.84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7800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L18+IFERROR(VLOOKUP($E:$E,'（居民）工资表-7月'!$E:$S,15,0),0)</f>
        <v>49200</v>
      </c>
      <c r="T18" s="91">
        <f>5000+IFERROR(VLOOKUP($E:$E,'（居民）工资表-7月'!$E:$T,16,0),0)</f>
        <v>40000</v>
      </c>
      <c r="U18" s="91">
        <f>Q18+IFERROR(VLOOKUP($E:$E,'（居民）工资表-7月'!$E:$U,17,0),0)</f>
        <v>4160.72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5039.28</v>
      </c>
      <c r="AE18" s="96">
        <f>ROUND(MAX((AD18)*{0.03;0.1;0.2;0.25;0.3;0.35;0.45}-{0;2520;16920;31920;52920;85920;181920},0),2)</f>
        <v>151.18</v>
      </c>
      <c r="AF18" s="97">
        <f>IFERROR(VLOOKUP(E:E,'（居民）工资表-7月'!E:AF,28,0)+VLOOKUP(E:E,'（居民）工资表-7月'!E:AG,29,0),0)</f>
        <v>85.5</v>
      </c>
      <c r="AG18" s="97">
        <f t="shared" si="3"/>
        <v>65.68</v>
      </c>
      <c r="AH18" s="107">
        <f t="shared" si="4"/>
        <v>7228.96</v>
      </c>
      <c r="AI18" s="108"/>
      <c r="AJ18" s="107">
        <f t="shared" si="5"/>
        <v>7228.96</v>
      </c>
      <c r="AK18" s="109"/>
      <c r="AL18" s="107">
        <f t="shared" si="6"/>
        <v>7294.64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3800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L19+IFERROR(VLOOKUP($E:$E,'（居民）工资表-7月'!$E:$S,15,0),0)</f>
        <v>5266.67</v>
      </c>
      <c r="T19" s="91">
        <f>5000+IFERROR(VLOOKUP($E:$E,'（居民）工资表-7月'!$E:$T,16,0),0)</f>
        <v>10000</v>
      </c>
      <c r="U19" s="91">
        <f>Q19+IFERROR(VLOOKUP($E:$E,'（居民）工资表-7月'!$E:$U,17,0),0)</f>
        <v>1575.29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R19+IFERROR(VLOOKUP($E:$E,'（居民）工资表-7月'!$E:$AC,25,0),0)</f>
        <v>0</v>
      </c>
      <c r="AD19" s="95">
        <f t="shared" si="2"/>
        <v>-6308.62</v>
      </c>
      <c r="AE19" s="96">
        <f>ROUND(MAX((AD19)*{0.03;0.1;0.2;0.25;0.3;0.35;0.45}-{0;2520;16920;31920;52920;85920;181920},0),2)</f>
        <v>0</v>
      </c>
      <c r="AF19" s="97">
        <f>IFERROR(VLOOKUP(E:E,'（居民）工资表-7月'!E:AF,28,0)+VLOOKUP(E:E,'（居民）工资表-7月'!E:AG,29,0),0)</f>
        <v>0</v>
      </c>
      <c r="AG19" s="97">
        <f t="shared" si="3"/>
        <v>0</v>
      </c>
      <c r="AH19" s="107">
        <f t="shared" si="4"/>
        <v>3272.57</v>
      </c>
      <c r="AI19" s="108"/>
      <c r="AJ19" s="107">
        <f t="shared" si="5"/>
        <v>3272.57</v>
      </c>
      <c r="AK19" s="109"/>
      <c r="AL19" s="107">
        <f t="shared" si="6"/>
        <v>3272.57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IF(SUMPRODUCT(N(E$1:E$18=E19))&gt;1,"重复","不")</f>
        <v>不</v>
      </c>
      <c r="AT19" s="116" t="str">
        <f>IF(SUMPRODUCT(N(AO$1:AO$18=AO19))&gt;1,"重复","不")</f>
        <v>重复</v>
      </c>
      <c r="AU19" s="12" t="s">
        <v>190</v>
      </c>
      <c r="AV19" s="12" t="s">
        <v>191</v>
      </c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146606.07</v>
      </c>
      <c r="M20" s="74">
        <f>SUM(M4:M19)</f>
        <v>5484.26</v>
      </c>
      <c r="N20" s="74">
        <f>SUM(N4:N19)</f>
        <v>1511.24</v>
      </c>
      <c r="O20" s="74">
        <f t="shared" ref="O20:AL20" si="10">SUM(O4:O19)</f>
        <v>284.98</v>
      </c>
      <c r="P20" s="74">
        <f t="shared" si="10"/>
        <v>2069.8</v>
      </c>
      <c r="Q20" s="74">
        <f t="shared" si="10"/>
        <v>9350.28</v>
      </c>
      <c r="R20" s="74">
        <f t="shared" si="10"/>
        <v>0</v>
      </c>
      <c r="S20" s="74">
        <f t="shared" si="10"/>
        <v>978097.02</v>
      </c>
      <c r="T20" s="74">
        <f t="shared" si="10"/>
        <v>550000</v>
      </c>
      <c r="U20" s="74">
        <f t="shared" si="10"/>
        <v>69404.4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358692.62</v>
      </c>
      <c r="AE20" s="74">
        <f t="shared" si="10"/>
        <v>27652.93</v>
      </c>
      <c r="AF20" s="74">
        <f t="shared" si="10"/>
        <v>18986.64</v>
      </c>
      <c r="AG20" s="74">
        <f t="shared" si="10"/>
        <v>8666.29</v>
      </c>
      <c r="AH20" s="74">
        <f t="shared" si="10"/>
        <v>128589.5</v>
      </c>
      <c r="AI20" s="74">
        <f t="shared" si="10"/>
        <v>0</v>
      </c>
      <c r="AJ20" s="74">
        <f t="shared" si="10"/>
        <v>128589.5</v>
      </c>
      <c r="AK20" s="74">
        <f t="shared" si="10"/>
        <v>0</v>
      </c>
      <c r="AL20" s="74">
        <f t="shared" si="10"/>
        <v>137255.79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193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128589.5</v>
      </c>
      <c r="C25" s="48">
        <f>AG20</f>
        <v>8666.29</v>
      </c>
      <c r="D25" s="48">
        <f>AK20</f>
        <v>0</v>
      </c>
      <c r="E25" s="48">
        <f>B25+C25+D25</f>
        <v>137255.79</v>
      </c>
    </row>
    <row r="26" spans="2:5">
      <c r="B26" s="49"/>
      <c r="C26" s="49"/>
      <c r="D26" s="49"/>
      <c r="E26" s="49" t="e">
        <f>#REF!</f>
        <v>#REF!</v>
      </c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86.35</v>
      </c>
      <c r="O4" s="71">
        <v>11.98</v>
      </c>
      <c r="P4" s="71">
        <v>177</v>
      </c>
      <c r="Q4" s="89">
        <f>ROUND(SUM(M4:P4),2)</f>
        <v>594.79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5393.11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21606.89</v>
      </c>
      <c r="AE4" s="96">
        <f>ROUND(MAX((AD4)*{0.03;0.1;0.2;0.25;0.3;0.35;0.45}-{0;2520;16920;31920;52920;85920;181920},0),2)</f>
        <v>648.21</v>
      </c>
      <c r="AF4" s="97">
        <f>IFERROR(VLOOKUP(E:E,'（居民）工资表-8月'!E:AF,28,0)+VLOOKUP(E:E,'（居民）工资表-8月'!E:AG,29,0),0)</f>
        <v>576.05</v>
      </c>
      <c r="AG4" s="97">
        <f>AE4-AF4</f>
        <v>72.1600000000001</v>
      </c>
      <c r="AH4" s="107">
        <f>ROUND(IF((L4-Q4-AG4)&lt;0,0,(L4-Q4-AG4)),2)</f>
        <v>7333.05</v>
      </c>
      <c r="AI4" s="108"/>
      <c r="AJ4" s="107">
        <f>AH4+AI4</f>
        <v>7333.05</v>
      </c>
      <c r="AK4" s="109"/>
      <c r="AL4" s="107">
        <f>AJ4+AG4+AK4</f>
        <v>7405.21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ref="Q5:Q19" si="0">ROUND(SUM(M5:P5),2)</f>
        <v>655.8</v>
      </c>
      <c r="R5" s="70">
        <v>0</v>
      </c>
      <c r="S5" s="90">
        <f>L5+IFERROR(VLOOKUP($E:$E,'（居民）工资表-8月'!$E:$S,15,0),0)</f>
        <v>51700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5940.84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759.16</v>
      </c>
      <c r="AE5" s="96">
        <f>ROUND(MAX((AD5)*{0.03;0.1;0.2;0.25;0.3;0.35;0.45}-{0;2520;16920;31920;52920;85920;181920},0),2)</f>
        <v>22.77</v>
      </c>
      <c r="AF5" s="97">
        <f>IFERROR(VLOOKUP(E:E,'（居民）工资表-8月'!E:AF,28,0)+VLOOKUP(E:E,'（居民）工资表-8月'!E:AG,29,0),0)</f>
        <v>21.45</v>
      </c>
      <c r="AG5" s="97">
        <f t="shared" ref="AG5:AG19" si="3">AE5-AF5</f>
        <v>1.32</v>
      </c>
      <c r="AH5" s="107">
        <f t="shared" ref="AH5:AH19" si="4">ROUND(IF((L5-Q5-AG5)&lt;0,0,(L5-Q5-AG5)),2)</f>
        <v>5042.88</v>
      </c>
      <c r="AI5" s="108"/>
      <c r="AJ5" s="107">
        <f t="shared" ref="AJ5:AJ19" si="5">AH5+AI5</f>
        <v>5042.88</v>
      </c>
      <c r="AK5" s="109"/>
      <c r="AL5" s="107">
        <f t="shared" ref="AL5:AL19" si="6">AJ5+AG5+AK5</f>
        <v>5044.2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si="0"/>
        <v>948.85</v>
      </c>
      <c r="R6" s="70">
        <v>0</v>
      </c>
      <c r="S6" s="90">
        <f>L6+IFERROR(VLOOKUP($E:$E,'（居民）工资表-8月'!$E:$S,15,0),0)</f>
        <v>274040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8537.85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220502.15</v>
      </c>
      <c r="AE6" s="96">
        <f>ROUND(MAX((AD6)*{0.03;0.1;0.2;0.25;0.3;0.35;0.45}-{0;2520;16920;31920;52920;85920;181920},0),2)</f>
        <v>27180.43</v>
      </c>
      <c r="AF6" s="97">
        <f>IFERROR(VLOOKUP(E:E,'（居民）工资表-8月'!E:AF,28,0)+VLOOKUP(E:E,'（居民）工资表-8月'!E:AG,29,0),0)</f>
        <v>22058.2</v>
      </c>
      <c r="AG6" s="97">
        <f t="shared" si="3"/>
        <v>5122.23</v>
      </c>
      <c r="AH6" s="107">
        <f t="shared" si="4"/>
        <v>25488.92</v>
      </c>
      <c r="AI6" s="108"/>
      <c r="AJ6" s="107">
        <f t="shared" si="5"/>
        <v>25488.92</v>
      </c>
      <c r="AK6" s="109"/>
      <c r="AL6" s="107">
        <f t="shared" si="6"/>
        <v>30611.15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9600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L7+IFERROR(VLOOKUP($E:$E,'（居民）工资表-8月'!$E:$S,15,0),0)</f>
        <v>77200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4688.34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27511.66</v>
      </c>
      <c r="AE7" s="96">
        <f>ROUND(MAX((AD7)*{0.03;0.1;0.2;0.25;0.3;0.35;0.45}-{0;2520;16920;31920;52920;85920;181920},0),2)</f>
        <v>825.35</v>
      </c>
      <c r="AF7" s="97">
        <f>IFERROR(VLOOKUP(E:E,'（居民）工资表-8月'!E:AF,28,0)+VLOOKUP(E:E,'（居民）工资表-8月'!E:AG,29,0),0)</f>
        <v>702.57</v>
      </c>
      <c r="AG7" s="97">
        <f t="shared" si="3"/>
        <v>122.78</v>
      </c>
      <c r="AH7" s="107">
        <f t="shared" si="4"/>
        <v>8969.86</v>
      </c>
      <c r="AI7" s="108"/>
      <c r="AJ7" s="107">
        <f t="shared" si="5"/>
        <v>8969.86</v>
      </c>
      <c r="AK7" s="109"/>
      <c r="AL7" s="107">
        <f t="shared" si="6"/>
        <v>9092.64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L8+IFERROR(VLOOKUP($E:$E,'（居民）工资表-8月'!$E:$S,15,0),0)</f>
        <v>96200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6373.08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44826.92</v>
      </c>
      <c r="AE8" s="96">
        <f>ROUND(MAX((AD8)*{0.03;0.1;0.2;0.25;0.3;0.35;0.45}-{0;2520;16920;31920;52920;85920;181920},0),2)</f>
        <v>1962.69</v>
      </c>
      <c r="AF8" s="97">
        <f>IFERROR(VLOOKUP(E:E,'（居民）工资表-8月'!E:AF,28,0)+VLOOKUP(E:E,'（居民）工资表-8月'!E:AG,29,0),0)</f>
        <v>1410.73</v>
      </c>
      <c r="AG8" s="97">
        <f t="shared" si="3"/>
        <v>551.96</v>
      </c>
      <c r="AH8" s="107">
        <f t="shared" si="4"/>
        <v>9967.68</v>
      </c>
      <c r="AI8" s="108"/>
      <c r="AJ8" s="107">
        <f t="shared" si="5"/>
        <v>9967.68</v>
      </c>
      <c r="AK8" s="109"/>
      <c r="AL8" s="107">
        <f t="shared" si="6"/>
        <v>10519.64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4726.77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8773.23</v>
      </c>
      <c r="AE9" s="96">
        <f>ROUND(MAX((AD9)*{0.03;0.1;0.2;0.25;0.3;0.35;0.45}-{0;2520;16920;31920;52920;85920;181920},0),2)</f>
        <v>263.2</v>
      </c>
      <c r="AF9" s="97">
        <f>IFERROR(VLOOKUP(E:E,'（居民）工资表-8月'!E:AF,28,0)+VLOOKUP(E:E,'（居民）工资表-8月'!E:AG,29,0),0)</f>
        <v>233.62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445.36</v>
      </c>
      <c r="N10" s="71">
        <v>116.34</v>
      </c>
      <c r="O10" s="71">
        <v>27.84</v>
      </c>
      <c r="P10" s="71">
        <v>105</v>
      </c>
      <c r="Q10" s="89">
        <f t="shared" si="0"/>
        <v>694.54</v>
      </c>
      <c r="R10" s="70">
        <v>0</v>
      </c>
      <c r="S10" s="90">
        <f>L10+IFERROR(VLOOKUP($E:$E,'（居民）工资表-8月'!$E:$S,15,0),0)</f>
        <v>16500</v>
      </c>
      <c r="T10" s="91">
        <f>5000+IFERROR(VLOOKUP($E:$E,'（居民）工资表-8月'!$E:$T,16,0),0)</f>
        <v>15000</v>
      </c>
      <c r="U10" s="91">
        <f>Q10+IFERROR(VLOOKUP($E:$E,'（居民）工资表-8月'!$E:$U,17,0),0)</f>
        <v>1745.52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-245.52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4805.46</v>
      </c>
      <c r="AI10" s="108"/>
      <c r="AJ10" s="107">
        <f t="shared" si="5"/>
        <v>4805.46</v>
      </c>
      <c r="AK10" s="109"/>
      <c r="AL10" s="107">
        <f t="shared" si="6"/>
        <v>4805.46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109</v>
      </c>
      <c r="O11" s="71">
        <v>22</v>
      </c>
      <c r="P11" s="71">
        <v>109</v>
      </c>
      <c r="Q11" s="89">
        <f t="shared" si="0"/>
        <v>592</v>
      </c>
      <c r="R11" s="70">
        <v>0</v>
      </c>
      <c r="S11" s="90">
        <f>L11+IFERROR(VLOOKUP($E:$E,'（居民）工资表-8月'!$E:$S,15,0),0)</f>
        <v>40951.44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5557.16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-9605.72</v>
      </c>
      <c r="AE11" s="96">
        <f>ROUND(MAX((AD11)*{0.03;0.1;0.2;0.25;0.3;0.35;0.45}-{0;2520;16920;31920;52920;85920;181920},0),2)</f>
        <v>0</v>
      </c>
      <c r="AF11" s="97">
        <f>IFERROR(VLOOKUP(E:E,'（居民）工资表-8月'!E:AF,28,0)+VLOOKUP(E:E,'（居民）工资表-8月'!E:AG,29,0),0)</f>
        <v>0</v>
      </c>
      <c r="AG11" s="97">
        <f t="shared" si="3"/>
        <v>0</v>
      </c>
      <c r="AH11" s="107">
        <f t="shared" si="4"/>
        <v>4006.8</v>
      </c>
      <c r="AI11" s="108"/>
      <c r="AJ11" s="107">
        <f t="shared" si="5"/>
        <v>4006.8</v>
      </c>
      <c r="AK11" s="109"/>
      <c r="AL11" s="107">
        <f t="shared" si="6"/>
        <v>4006.8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L12+IFERROR(VLOOKUP($E:$E,'（居民）工资表-8月'!$E:$S,15,0),0)</f>
        <v>83600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4959.63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33640.37</v>
      </c>
      <c r="AE12" s="96">
        <f>ROUND(MAX((AD12)*{0.03;0.1;0.2;0.25;0.3;0.35;0.45}-{0;2520;16920;31920;52920;85920;181920},0),2)</f>
        <v>1009.21</v>
      </c>
      <c r="AF12" s="97">
        <f>IFERROR(VLOOKUP(E:E,'（居民）工资表-8月'!E:AF,28,0)+VLOOKUP(E:E,'（居民）工资表-8月'!E:AG,29,0),0)</f>
        <v>845.27</v>
      </c>
      <c r="AG12" s="97">
        <f t="shared" si="3"/>
        <v>163.94</v>
      </c>
      <c r="AH12" s="107">
        <f t="shared" si="4"/>
        <v>10300.85</v>
      </c>
      <c r="AI12" s="108"/>
      <c r="AJ12" s="107">
        <f t="shared" si="5"/>
        <v>10300.85</v>
      </c>
      <c r="AK12" s="109"/>
      <c r="AL12" s="107">
        <f t="shared" si="6"/>
        <v>10464.79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8434.78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L13+IFERROR(VLOOKUP($E:$E,'（居民）工资表-8月'!$E:$S,15,0),0)</f>
        <v>67662.05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6373.08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16288.97</v>
      </c>
      <c r="AE13" s="96">
        <f>ROUND(MAX((AD13)*{0.03;0.1;0.2;0.25;0.3;0.35;0.45}-{0;2520;16920;31920;52920;85920;181920},0),2)</f>
        <v>488.67</v>
      </c>
      <c r="AF13" s="97">
        <f>IFERROR(VLOOKUP(E:E,'（居民）工资表-8月'!E:AF,28,0)+VLOOKUP(E:E,'（居民）工资表-8月'!E:AG,29,0),0)</f>
        <v>403.04</v>
      </c>
      <c r="AG13" s="97">
        <f t="shared" si="3"/>
        <v>85.63</v>
      </c>
      <c r="AH13" s="107">
        <f t="shared" si="4"/>
        <v>7768.79</v>
      </c>
      <c r="AI13" s="108"/>
      <c r="AJ13" s="107">
        <f t="shared" si="5"/>
        <v>7768.79</v>
      </c>
      <c r="AK13" s="109"/>
      <c r="AL13" s="107">
        <f t="shared" si="6"/>
        <v>7854.42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L14+IFERROR(VLOOKUP($E:$E,'（居民）工资表-8月'!$E:$S,15,0),0)</f>
        <v>72408.7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6373.08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21035.62</v>
      </c>
      <c r="AE14" s="96">
        <f>ROUND(MAX((AD14)*{0.03;0.1;0.2;0.25;0.3;0.35;0.45}-{0;2520;16920;31920;52920;85920;181920},0),2)</f>
        <v>631.07</v>
      </c>
      <c r="AF14" s="97">
        <f>IFERROR(VLOOKUP(E:E,'（居民）工资表-8月'!E:AF,28,0)+VLOOKUP(E:E,'（居民）工资表-8月'!E:AG,29,0),0)</f>
        <v>504.48</v>
      </c>
      <c r="AG14" s="97">
        <f t="shared" si="3"/>
        <v>126.59</v>
      </c>
      <c r="AH14" s="107">
        <f t="shared" si="4"/>
        <v>9093.05</v>
      </c>
      <c r="AI14" s="108"/>
      <c r="AJ14" s="107">
        <f t="shared" si="5"/>
        <v>9093.05</v>
      </c>
      <c r="AK14" s="109"/>
      <c r="AL14" s="107">
        <f t="shared" si="6"/>
        <v>9219.64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L15+IFERROR(VLOOKUP($E:$E,'（居民）工资表-8月'!$E:$S,15,0),0)</f>
        <v>66600</v>
      </c>
      <c r="T15" s="91">
        <f>5000+IFERROR(VLOOKUP($E:$E,'（居民）工资表-8月'!$E:$T,16,0),0)</f>
        <v>45000</v>
      </c>
      <c r="U15" s="91">
        <f>Q15+IFERROR(VLOOKUP($E:$E,'（居民）工资表-8月'!$E:$U,17,0),0)</f>
        <v>4959.63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16640.37</v>
      </c>
      <c r="AE15" s="96">
        <f>ROUND(MAX((AD15)*{0.03;0.1;0.2;0.25;0.3;0.35;0.45}-{0;2520;16920;31920;52920;85920;181920},0),2)</f>
        <v>499.21</v>
      </c>
      <c r="AF15" s="97">
        <f>IFERROR(VLOOKUP(E:E,'（居民）工资表-8月'!E:AF,28,0)+VLOOKUP(E:E,'（居民）工资表-8月'!E:AG,29,0),0)</f>
        <v>428.27</v>
      </c>
      <c r="AG15" s="97">
        <f t="shared" si="3"/>
        <v>70.94</v>
      </c>
      <c r="AH15" s="107">
        <f t="shared" si="4"/>
        <v>7293.85</v>
      </c>
      <c r="AI15" s="108"/>
      <c r="AJ15" s="107">
        <f t="shared" si="5"/>
        <v>7293.85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7060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L16+IFERROR(VLOOKUP($E:$E,'（居民）工资表-8月'!$E:$S,15,0),0)</f>
        <v>59401.74</v>
      </c>
      <c r="T16" s="91">
        <f>5000+IFERROR(VLOOKUP($E:$E,'（居民）工资表-8月'!$E:$T,16,0),0)</f>
        <v>45000</v>
      </c>
      <c r="U16" s="91">
        <f>Q16+IFERROR(VLOOKUP($E:$E,'（居民）工资表-8月'!$E:$U,17,0),0)</f>
        <v>4688.34</v>
      </c>
      <c r="V16" s="70"/>
      <c r="W16" s="129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R16+IFERROR(VLOOKUP($E:$E,'（居民）工资表-8月'!$E:$AC,25,0),0)</f>
        <v>0</v>
      </c>
      <c r="AD16" s="95">
        <f t="shared" si="2"/>
        <v>9713.4</v>
      </c>
      <c r="AE16" s="96">
        <f>ROUND(MAX((AD16)*{0.03;0.1;0.2;0.25;0.3;0.35;0.45}-{0;2520;16920;31920;52920;85920;181920},0),2)</f>
        <v>291.4</v>
      </c>
      <c r="AF16" s="97">
        <f>IFERROR(VLOOKUP(E:E,'（居民）工资表-8月'!E:AF,28,0)+VLOOKUP(E:E,'（居民）工资表-8月'!E:AG,29,0),0)</f>
        <v>244.82</v>
      </c>
      <c r="AG16" s="97">
        <f t="shared" si="3"/>
        <v>46.58</v>
      </c>
      <c r="AH16" s="107">
        <f t="shared" si="4"/>
        <v>6506.06</v>
      </c>
      <c r="AI16" s="108"/>
      <c r="AJ16" s="107">
        <f t="shared" si="5"/>
        <v>6506.06</v>
      </c>
      <c r="AK16" s="109"/>
      <c r="AL16" s="107">
        <f t="shared" si="6"/>
        <v>6552.64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L17+IFERROR(VLOOKUP($E:$E,'（居民）工资表-8月'!$E:$S,15,0),0)</f>
        <v>21680</v>
      </c>
      <c r="T17" s="91">
        <f>5000+IFERROR(VLOOKUP($E:$E,'（居民）工资表-8月'!$E:$T,16,0),0)</f>
        <v>15000</v>
      </c>
      <c r="U17" s="91">
        <f>Q17+IFERROR(VLOOKUP($E:$E,'（居民）工资表-8月'!$E:$U,17,0),0)</f>
        <v>1767.48</v>
      </c>
      <c r="V17" s="70"/>
      <c r="W17" s="129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R17+IFERROR(VLOOKUP($E:$E,'（居民）工资表-8月'!$E:$AC,25,0),0)</f>
        <v>0</v>
      </c>
      <c r="AD17" s="95">
        <f t="shared" si="2"/>
        <v>4912.52</v>
      </c>
      <c r="AE17" s="96">
        <f>ROUND(MAX((AD17)*{0.03;0.1;0.2;0.25;0.3;0.35;0.45}-{0;2520;16920;31920;52920;85920;181920},0),2)</f>
        <v>147.38</v>
      </c>
      <c r="AF17" s="97">
        <f>IFERROR(VLOOKUP(E:E,'（居民）工资表-8月'!E:AF,28,0)+VLOOKUP(E:E,'（居民）工资表-8月'!E:AG,29,0),0)</f>
        <v>73.25</v>
      </c>
      <c r="AG17" s="97">
        <f t="shared" si="3"/>
        <v>74.13</v>
      </c>
      <c r="AH17" s="107">
        <f t="shared" si="4"/>
        <v>7396.71</v>
      </c>
      <c r="AI17" s="108"/>
      <c r="AJ17" s="107">
        <f t="shared" si="5"/>
        <v>7396.71</v>
      </c>
      <c r="AK17" s="109"/>
      <c r="AL17" s="107">
        <f t="shared" si="6"/>
        <v>7470.84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6600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L18+IFERROR(VLOOKUP($E:$E,'（居民）工资表-8月'!$E:$S,15,0),0)</f>
        <v>55800</v>
      </c>
      <c r="T18" s="91">
        <f>5000+IFERROR(VLOOKUP($E:$E,'（居民）工资表-8月'!$E:$T,16,0),0)</f>
        <v>45000</v>
      </c>
      <c r="U18" s="91">
        <f>Q18+IFERROR(VLOOKUP($E:$E,'（居民）工资表-8月'!$E:$U,17,0),0)</f>
        <v>4666.08</v>
      </c>
      <c r="V18" s="70"/>
      <c r="W18" s="129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R18+IFERROR(VLOOKUP($E:$E,'（居民）工资表-8月'!$E:$AC,25,0),0)</f>
        <v>0</v>
      </c>
      <c r="AD18" s="95">
        <f t="shared" si="2"/>
        <v>6133.92</v>
      </c>
      <c r="AE18" s="96">
        <f>ROUND(MAX((AD18)*{0.03;0.1;0.2;0.25;0.3;0.35;0.45}-{0;2520;16920;31920;52920;85920;181920},0),2)</f>
        <v>184.02</v>
      </c>
      <c r="AF18" s="97">
        <f>IFERROR(VLOOKUP(E:E,'（居民）工资表-8月'!E:AF,28,0)+VLOOKUP(E:E,'（居民）工资表-8月'!E:AG,29,0),0)</f>
        <v>151.18</v>
      </c>
      <c r="AG18" s="97">
        <f t="shared" si="3"/>
        <v>32.84</v>
      </c>
      <c r="AH18" s="107">
        <f t="shared" si="4"/>
        <v>6061.8</v>
      </c>
      <c r="AI18" s="108"/>
      <c r="AJ18" s="107">
        <f t="shared" si="5"/>
        <v>6061.8</v>
      </c>
      <c r="AK18" s="109"/>
      <c r="AL18" s="107">
        <f t="shared" si="6"/>
        <v>6094.64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 t="shared" si="8"/>
        <v>不</v>
      </c>
      <c r="AT18" s="116" t="str">
        <f t="shared" si="9"/>
        <v>重复</v>
      </c>
    </row>
    <row r="19" s="12" customFormat="1" ht="18" customHeight="1" spans="1:46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4377.04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L19+IFERROR(VLOOKUP($E:$E,'（居民）工资表-8月'!$E:$S,15,0),0)</f>
        <v>9643.71</v>
      </c>
      <c r="T19" s="91">
        <f>5000+IFERROR(VLOOKUP($E:$E,'（居民）工资表-8月'!$E:$T,16,0),0)</f>
        <v>15000</v>
      </c>
      <c r="U19" s="91">
        <f>Q19+IFERROR(VLOOKUP($E:$E,'（居民）工资表-8月'!$E:$U,17,0),0)</f>
        <v>2102.72</v>
      </c>
      <c r="V19" s="70"/>
      <c r="W19" s="129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R19+IFERROR(VLOOKUP($E:$E,'（居民）工资表-8月'!$E:$AC,25,0),0)</f>
        <v>0</v>
      </c>
      <c r="AD19" s="95">
        <f t="shared" si="2"/>
        <v>-7459.01</v>
      </c>
      <c r="AE19" s="96">
        <f>ROUND(MAX((AD19)*{0.03;0.1;0.2;0.25;0.3;0.35;0.45}-{0;2520;16920;31920;52920;85920;181920},0),2)</f>
        <v>0</v>
      </c>
      <c r="AF19" s="97">
        <f>IFERROR(VLOOKUP(E:E,'（居民）工资表-8月'!E:AF,28,0)+VLOOKUP(E:E,'（居民）工资表-8月'!E:AG,29,0),0)</f>
        <v>0</v>
      </c>
      <c r="AG19" s="97">
        <f t="shared" si="3"/>
        <v>0</v>
      </c>
      <c r="AH19" s="107">
        <f t="shared" si="4"/>
        <v>3849.61</v>
      </c>
      <c r="AI19" s="108"/>
      <c r="AJ19" s="107">
        <f t="shared" si="5"/>
        <v>3849.61</v>
      </c>
      <c r="AK19" s="109"/>
      <c r="AL19" s="107">
        <f t="shared" si="6"/>
        <v>3849.61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 t="shared" si="8"/>
        <v>不</v>
      </c>
      <c r="AT19" s="116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9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145790.62</v>
      </c>
      <c r="M21" s="74">
        <f>SUM(M4:M20)</f>
        <v>5534.18</v>
      </c>
      <c r="N21" s="74">
        <f>SUM(N4:N20)</f>
        <v>1552.17</v>
      </c>
      <c r="O21" s="74">
        <f t="shared" ref="O21:AL21" si="10">SUM(O4:O20)</f>
        <v>292.16</v>
      </c>
      <c r="P21" s="74">
        <f t="shared" si="10"/>
        <v>2069.8</v>
      </c>
      <c r="Q21" s="74">
        <f t="shared" si="10"/>
        <v>9448.31</v>
      </c>
      <c r="R21" s="74">
        <f t="shared" si="10"/>
        <v>0</v>
      </c>
      <c r="S21" s="74">
        <f t="shared" si="10"/>
        <v>1123887.64</v>
      </c>
      <c r="T21" s="74">
        <f t="shared" si="10"/>
        <v>630000</v>
      </c>
      <c r="U21" s="74">
        <f t="shared" si="10"/>
        <v>78852.71</v>
      </c>
      <c r="V21" s="74">
        <f t="shared" si="10"/>
        <v>0</v>
      </c>
      <c r="W21" s="74">
        <f t="shared" si="10"/>
        <v>0</v>
      </c>
      <c r="X21" s="74">
        <f t="shared" si="10"/>
        <v>0</v>
      </c>
      <c r="Y21" s="74">
        <f t="shared" si="10"/>
        <v>0</v>
      </c>
      <c r="Z21" s="74">
        <f t="shared" si="10"/>
        <v>0</v>
      </c>
      <c r="AA21" s="74">
        <f t="shared" si="10"/>
        <v>0</v>
      </c>
      <c r="AB21" s="74">
        <f t="shared" si="10"/>
        <v>0</v>
      </c>
      <c r="AC21" s="74">
        <f t="shared" si="10"/>
        <v>0</v>
      </c>
      <c r="AD21" s="74">
        <f t="shared" si="10"/>
        <v>415034.93</v>
      </c>
      <c r="AE21" s="74">
        <f t="shared" si="10"/>
        <v>34153.61</v>
      </c>
      <c r="AF21" s="74">
        <f t="shared" si="10"/>
        <v>27652.93</v>
      </c>
      <c r="AG21" s="74">
        <f t="shared" si="10"/>
        <v>6500.68</v>
      </c>
      <c r="AH21" s="74">
        <f t="shared" si="10"/>
        <v>129841.63</v>
      </c>
      <c r="AI21" s="74">
        <f t="shared" si="10"/>
        <v>0</v>
      </c>
      <c r="AJ21" s="74">
        <f t="shared" si="10"/>
        <v>129841.63</v>
      </c>
      <c r="AK21" s="74">
        <f t="shared" si="10"/>
        <v>0</v>
      </c>
      <c r="AL21" s="74">
        <f t="shared" si="10"/>
        <v>136342.31</v>
      </c>
      <c r="AM21" s="110"/>
      <c r="AN21" s="110"/>
      <c r="AO21" s="110"/>
      <c r="AP21" s="110"/>
      <c r="AQ21" s="110"/>
      <c r="AR21" s="45"/>
      <c r="AS21" s="45"/>
      <c r="AT21" s="118"/>
    </row>
    <row r="22" ht="19" customHeight="1"/>
    <row r="23" ht="19" customHeight="1"/>
    <row r="24" ht="19" customHeight="1" spans="30:30">
      <c r="AD24" s="101"/>
    </row>
    <row r="25" ht="19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9" customHeight="1" spans="2:5">
      <c r="B26" s="48">
        <f>AJ21</f>
        <v>129841.63</v>
      </c>
      <c r="C26" s="48">
        <f>AG21</f>
        <v>6500.68</v>
      </c>
      <c r="D26" s="48">
        <f>AK21</f>
        <v>0</v>
      </c>
      <c r="E26" s="48">
        <f>B26+C26+D26</f>
        <v>136342.31</v>
      </c>
    </row>
    <row r="27" ht="19" customHeight="1" spans="2:5">
      <c r="B27" s="49"/>
      <c r="C27" s="49"/>
      <c r="D27" s="49"/>
      <c r="E27" s="49"/>
    </row>
    <row r="28" s="14" customFormat="1" ht="19" customHeigh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ht="19" customHeigh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1" si="0">ROUND(SUM(M4:P4),2)</f>
        <v>588.3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5981.41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18.59</v>
      </c>
      <c r="AE4" s="96">
        <f>ROUND(MAX((AD4)*{0.03;0.1;0.2;0.25;0.3;0.35;0.45}-{0;2520;16920;31920;52920;85920;181920},0),2)</f>
        <v>0.56</v>
      </c>
      <c r="AF4" s="97">
        <f>IFERROR(VLOOKUP(E:E,'（居民）工资表-9月'!E:AF,28,0)+VLOOKUP(E:E,'（居民）工资表-9月'!E:AG,29,0),0)</f>
        <v>648.21</v>
      </c>
      <c r="AG4" s="97">
        <f t="shared" ref="AG4:AG11" si="3">IF((AE4-AF4)&lt;0,0,AE4-AF4)</f>
        <v>0</v>
      </c>
      <c r="AH4" s="107">
        <f t="shared" ref="AH4:AH11" si="4">ROUND(IF((L4-Q4-AG4)&lt;0,0,(L4-Q4-AG4)),2)</f>
        <v>7411.7</v>
      </c>
      <c r="AI4" s="108"/>
      <c r="AJ4" s="107">
        <f t="shared" ref="AJ4:AJ11" si="5">AH4+AI4</f>
        <v>7411.7</v>
      </c>
      <c r="AK4" s="109"/>
      <c r="AL4" s="107">
        <f t="shared" ref="AL4:AL11" si="6">AJ4+AG4+AK4</f>
        <v>7411.7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L5+IFERROR(VLOOKUP($E:$E,'（居民）工资表-9月'!$E:$S,15,0),0)</f>
        <v>57400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6596.64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803.36</v>
      </c>
      <c r="AE5" s="96">
        <f>ROUND(MAX((AD5)*{0.03;0.1;0.2;0.25;0.3;0.35;0.45}-{0;2520;16920;31920;52920;85920;181920},0),2)</f>
        <v>24.1</v>
      </c>
      <c r="AF5" s="97">
        <f>IFERROR(VLOOKUP(E:E,'（居民）工资表-9月'!E:AF,28,0)+VLOOKUP(E:E,'（居民）工资表-9月'!E:AG,29,0),0)</f>
        <v>22.77</v>
      </c>
      <c r="AG5" s="97">
        <f t="shared" si="3"/>
        <v>1.33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L6+IFERROR(VLOOKUP($E:$E,'（居民）工资表-9月'!$E:$S,15,0),0)</f>
        <v>305600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9486.4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246113.6</v>
      </c>
      <c r="AE6" s="96">
        <f>ROUND(MAX((AD6)*{0.03;0.1;0.2;0.25;0.3;0.35;0.45}-{0;2520;16920;31920;52920;85920;181920},0),2)</f>
        <v>32302.72</v>
      </c>
      <c r="AF6" s="97">
        <f>IFERROR(VLOOKUP(E:E,'（居民）工资表-9月'!E:AF,28,0)+VLOOKUP(E:E,'（居民）工资表-9月'!E:AG,29,0),0)</f>
        <v>27180.43</v>
      </c>
      <c r="AG6" s="97">
        <f t="shared" si="3"/>
        <v>5122.29</v>
      </c>
      <c r="AH6" s="107">
        <f t="shared" si="4"/>
        <v>25489.16</v>
      </c>
      <c r="AI6" s="108"/>
      <c r="AJ6" s="107">
        <f t="shared" si="5"/>
        <v>25489.16</v>
      </c>
      <c r="AK6" s="109"/>
      <c r="AL6" s="107">
        <f t="shared" si="6"/>
        <v>30611.45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9500</v>
      </c>
      <c r="M7" s="71">
        <v>471.12</v>
      </c>
      <c r="N7" s="71">
        <v>125.78</v>
      </c>
      <c r="O7" s="71">
        <v>29.45</v>
      </c>
      <c r="P7" s="71">
        <v>97</v>
      </c>
      <c r="Q7" s="89">
        <f t="shared" si="0"/>
        <v>723.35</v>
      </c>
      <c r="R7" s="70">
        <v>0</v>
      </c>
      <c r="S7" s="90">
        <f>L7+IFERROR(VLOOKUP($E:$E,'（居民）工资表-9月'!$E:$S,15,0),0)</f>
        <v>86700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5411.69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31288.31</v>
      </c>
      <c r="AE7" s="96">
        <f>ROUND(MAX((AD7)*{0.03;0.1;0.2;0.25;0.3;0.35;0.45}-{0;2520;16920;31920;52920;85920;181920},0),2)</f>
        <v>938.65</v>
      </c>
      <c r="AF7" s="97">
        <f>IFERROR(VLOOKUP(E:E,'（居民）工资表-9月'!E:AF,28,0)+VLOOKUP(E:E,'（居民）工资表-9月'!E:AG,29,0),0)</f>
        <v>825.35</v>
      </c>
      <c r="AG7" s="97">
        <f t="shared" si="3"/>
        <v>113.3</v>
      </c>
      <c r="AH7" s="107">
        <f t="shared" si="4"/>
        <v>8663.35</v>
      </c>
      <c r="AI7" s="108"/>
      <c r="AJ7" s="107">
        <f t="shared" si="5"/>
        <v>8663.35</v>
      </c>
      <c r="AK7" s="109"/>
      <c r="AL7" s="107">
        <f t="shared" si="6"/>
        <v>8776.65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471.12</v>
      </c>
      <c r="N8" s="71">
        <v>123.78</v>
      </c>
      <c r="O8" s="71">
        <v>29.45</v>
      </c>
      <c r="P8" s="71">
        <v>172</v>
      </c>
      <c r="Q8" s="89">
        <f t="shared" si="0"/>
        <v>796.35</v>
      </c>
      <c r="R8" s="70">
        <v>0</v>
      </c>
      <c r="S8" s="90">
        <f>L8+IFERROR(VLOOKUP($E:$E,'（居民）工资表-9月'!$E:$S,15,0),0)</f>
        <v>107300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7169.43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50130.57</v>
      </c>
      <c r="AE8" s="96">
        <f>ROUND(MAX((AD8)*{0.03;0.1;0.2;0.25;0.3;0.35;0.45}-{0;2520;16920;31920;52920;85920;181920},0),2)</f>
        <v>2493.06</v>
      </c>
      <c r="AF8" s="97">
        <f>IFERROR(VLOOKUP(E:E,'（居民）工资表-9月'!E:AF,28,0)+VLOOKUP(E:E,'（居民）工资表-9月'!E:AG,29,0),0)</f>
        <v>1962.69</v>
      </c>
      <c r="AG8" s="97">
        <f t="shared" si="3"/>
        <v>530.37</v>
      </c>
      <c r="AH8" s="107">
        <f t="shared" si="4"/>
        <v>9773.28</v>
      </c>
      <c r="AI8" s="108"/>
      <c r="AJ8" s="107">
        <f t="shared" si="5"/>
        <v>9773.28</v>
      </c>
      <c r="AK8" s="109"/>
      <c r="AL8" s="107">
        <f t="shared" si="6"/>
        <v>10303.65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97.76</v>
      </c>
      <c r="O9" s="71">
        <v>11.84</v>
      </c>
      <c r="P9" s="71">
        <v>100</v>
      </c>
      <c r="Q9" s="89">
        <f t="shared" si="0"/>
        <v>525.2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5251.97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9748.03</v>
      </c>
      <c r="AE9" s="96">
        <f>ROUND(MAX((AD9)*{0.03;0.1;0.2;0.25;0.3;0.35;0.45}-{0;2520;16920;31920;52920;85920;181920},0),2)</f>
        <v>292.44</v>
      </c>
      <c r="AF9" s="97">
        <f>IFERROR(VLOOKUP(E:E,'（居民）工资表-9月'!E:AF,28,0)+VLOOKUP(E:E,'（居民）工资表-9月'!E:AG,29,0),0)</f>
        <v>263.2</v>
      </c>
      <c r="AG9" s="97">
        <f t="shared" si="3"/>
        <v>29.24</v>
      </c>
      <c r="AH9" s="107">
        <f t="shared" si="4"/>
        <v>5945.56</v>
      </c>
      <c r="AI9" s="108"/>
      <c r="AJ9" s="107">
        <f t="shared" si="5"/>
        <v>5945.56</v>
      </c>
      <c r="AK9" s="109"/>
      <c r="AL9" s="107">
        <f t="shared" si="6"/>
        <v>5974.8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L10+IFERROR(VLOOKUP($E:$E,'（居民）工资表-9月'!$E:$S,15,0),0)</f>
        <v>22000</v>
      </c>
      <c r="T10" s="91">
        <f>5000+IFERROR(VLOOKUP($E:$E,'（居民）工资表-9月'!$E:$T,16,0),0)</f>
        <v>20000</v>
      </c>
      <c r="U10" s="91">
        <f>Q10+IFERROR(VLOOKUP($E:$E,'（居民）工资表-9月'!$E:$U,17,0),0)</f>
        <v>2287.91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-287.91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216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ref="Q11:Q19" si="10">ROUND(SUM(M11:P11),2)</f>
        <v>593</v>
      </c>
      <c r="R11" s="70">
        <v>0</v>
      </c>
      <c r="S11" s="90">
        <f>L11+IFERROR(VLOOKUP($E:$E,'（居民）工资表-9月'!$E:$S,15,0),0)</f>
        <v>45550.24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6150.16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-10599.92</v>
      </c>
      <c r="AE11" s="96">
        <f>ROUND(MAX((AD11)*{0.03;0.1;0.2;0.25;0.3;0.35;0.45}-{0;2520;16920;31920;52920;85920;181920},0),2)</f>
        <v>0</v>
      </c>
      <c r="AF11" s="97">
        <f>IFERROR(VLOOKUP(E:E,'（居民）工资表-9月'!E:AF,28,0)+VLOOKUP(E:E,'（居民）工资表-9月'!E:AG,29,0),0)</f>
        <v>0</v>
      </c>
      <c r="AG11" s="97">
        <f t="shared" ref="AG11:AG19" si="13">IF((AE11-AF11)&lt;0,0,AE11-AF11)</f>
        <v>0</v>
      </c>
      <c r="AH11" s="107">
        <f t="shared" ref="AH11:AH19" si="14">ROUND(IF((L11-Q11-AG11)&lt;0,0,(L11-Q11-AG11)),2)</f>
        <v>4005.8</v>
      </c>
      <c r="AI11" s="108"/>
      <c r="AJ11" s="107">
        <f t="shared" ref="AJ11:AJ19" si="15">AH11+AI11</f>
        <v>4005.8</v>
      </c>
      <c r="AK11" s="109"/>
      <c r="AL11" s="107">
        <f t="shared" ref="AL11:AL19" si="16">AJ11+AG11+AK11</f>
        <v>4005.8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171</v>
      </c>
      <c r="AW11" s="12" t="s">
        <v>172</v>
      </c>
    </row>
    <row r="12" s="12" customFormat="1" ht="18" customHeight="1" spans="1:49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471.12</v>
      </c>
      <c r="N12" s="71">
        <v>153.63</v>
      </c>
      <c r="O12" s="71">
        <v>29.45</v>
      </c>
      <c r="P12" s="71">
        <v>97</v>
      </c>
      <c r="Q12" s="89">
        <f t="shared" si="10"/>
        <v>751.2</v>
      </c>
      <c r="R12" s="70">
        <v>0</v>
      </c>
      <c r="S12" s="90">
        <f>L12+IFERROR(VLOOKUP($E:$E,'（居民）工资表-9月'!$E:$S,15,0),0)</f>
        <v>94600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5710.83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38889.17</v>
      </c>
      <c r="AE12" s="96">
        <f>ROUND(MAX((AD12)*{0.03;0.1;0.2;0.25;0.3;0.35;0.45}-{0;2520;16920;31920;52920;85920;181920},0),2)</f>
        <v>1368.92</v>
      </c>
      <c r="AF12" s="97">
        <f>IFERROR(VLOOKUP(E:E,'（居民）工资表-9月'!E:AF,28,0)+VLOOKUP(E:E,'（居民）工资表-9月'!E:AG,29,0),0)</f>
        <v>1009.21</v>
      </c>
      <c r="AG12" s="97">
        <f t="shared" si="13"/>
        <v>359.71</v>
      </c>
      <c r="AH12" s="107">
        <f t="shared" si="14"/>
        <v>9889.09</v>
      </c>
      <c r="AI12" s="108"/>
      <c r="AJ12" s="107">
        <f t="shared" si="15"/>
        <v>9889.09</v>
      </c>
      <c r="AK12" s="109"/>
      <c r="AL12" s="107">
        <f t="shared" si="16"/>
        <v>10248.8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9200</v>
      </c>
      <c r="M13" s="71">
        <v>471.12</v>
      </c>
      <c r="N13" s="71">
        <v>123.78</v>
      </c>
      <c r="O13" s="71">
        <v>29.45</v>
      </c>
      <c r="P13" s="71">
        <v>172</v>
      </c>
      <c r="Q13" s="89">
        <f t="shared" si="10"/>
        <v>796.35</v>
      </c>
      <c r="R13" s="70">
        <v>0</v>
      </c>
      <c r="S13" s="90">
        <f>L13+IFERROR(VLOOKUP($E:$E,'（居民）工资表-9月'!$E:$S,15,0),0)</f>
        <v>76862.05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7169.43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19692.62</v>
      </c>
      <c r="AE13" s="96">
        <f>ROUND(MAX((AD13)*{0.03;0.1;0.2;0.25;0.3;0.35;0.45}-{0;2520;16920;31920;52920;85920;181920},0),2)</f>
        <v>590.78</v>
      </c>
      <c r="AF13" s="97">
        <f>IFERROR(VLOOKUP(E:E,'（居民）工资表-9月'!E:AF,28,0)+VLOOKUP(E:E,'（居民）工资表-9月'!E:AG,29,0),0)</f>
        <v>488.67</v>
      </c>
      <c r="AG13" s="97">
        <f t="shared" si="13"/>
        <v>102.11</v>
      </c>
      <c r="AH13" s="107">
        <f t="shared" si="14"/>
        <v>8301.54</v>
      </c>
      <c r="AI13" s="108"/>
      <c r="AJ13" s="107">
        <f t="shared" si="15"/>
        <v>8301.54</v>
      </c>
      <c r="AK13" s="109"/>
      <c r="AL13" s="107">
        <f t="shared" si="16"/>
        <v>8403.65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471.12</v>
      </c>
      <c r="N14" s="71">
        <v>123.78</v>
      </c>
      <c r="O14" s="71">
        <v>29.45</v>
      </c>
      <c r="P14" s="71">
        <v>172</v>
      </c>
      <c r="Q14" s="89">
        <f t="shared" si="10"/>
        <v>796.35</v>
      </c>
      <c r="R14" s="70">
        <v>0</v>
      </c>
      <c r="S14" s="90">
        <f>L14+IFERROR(VLOOKUP($E:$E,'（居民）工资表-9月'!$E:$S,15,0),0)</f>
        <v>82208.7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7169.43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25039.27</v>
      </c>
      <c r="AE14" s="96">
        <f>ROUND(MAX((AD14)*{0.03;0.1;0.2;0.25;0.3;0.35;0.45}-{0;2520;16920;31920;52920;85920;181920},0),2)</f>
        <v>751.18</v>
      </c>
      <c r="AF14" s="97">
        <f>IFERROR(VLOOKUP(E:E,'（居民）工资表-9月'!E:AF,28,0)+VLOOKUP(E:E,'（居民）工资表-9月'!E:AG,29,0),0)</f>
        <v>631.07</v>
      </c>
      <c r="AG14" s="97">
        <f t="shared" si="13"/>
        <v>120.11</v>
      </c>
      <c r="AH14" s="107">
        <f t="shared" si="14"/>
        <v>8883.54</v>
      </c>
      <c r="AI14" s="108"/>
      <c r="AJ14" s="107">
        <f t="shared" si="15"/>
        <v>8883.54</v>
      </c>
      <c r="AK14" s="109"/>
      <c r="AL14" s="107">
        <f t="shared" si="16"/>
        <v>9003.65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471.12</v>
      </c>
      <c r="N15" s="71">
        <v>153.63</v>
      </c>
      <c r="O15" s="71">
        <v>29.45</v>
      </c>
      <c r="P15" s="71">
        <v>97</v>
      </c>
      <c r="Q15" s="89">
        <f t="shared" si="10"/>
        <v>751.2</v>
      </c>
      <c r="R15" s="70">
        <v>0</v>
      </c>
      <c r="S15" s="90">
        <f>L15+IFERROR(VLOOKUP($E:$E,'（居民）工资表-9月'!$E:$S,15,0),0)</f>
        <v>74500</v>
      </c>
      <c r="T15" s="91">
        <f>5000+IFERROR(VLOOKUP($E:$E,'（居民）工资表-9月'!$E:$T,16,0),0)</f>
        <v>50000</v>
      </c>
      <c r="U15" s="91">
        <f>Q15+IFERROR(VLOOKUP($E:$E,'（居民）工资表-9月'!$E:$U,17,0),0)</f>
        <v>5710.83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18789.17</v>
      </c>
      <c r="AE15" s="96">
        <f>ROUND(MAX((AD15)*{0.03;0.1;0.2;0.25;0.3;0.35;0.45}-{0;2520;16920;31920;52920;85920;181920},0),2)</f>
        <v>563.68</v>
      </c>
      <c r="AF15" s="97">
        <f>IFERROR(VLOOKUP(E:E,'（居民）工资表-9月'!E:AF,28,0)+VLOOKUP(E:E,'（居民）工资表-9月'!E:AG,29,0),0)</f>
        <v>499.21</v>
      </c>
      <c r="AG15" s="97">
        <f t="shared" si="13"/>
        <v>64.47</v>
      </c>
      <c r="AH15" s="107">
        <f t="shared" si="14"/>
        <v>7084.33</v>
      </c>
      <c r="AI15" s="108"/>
      <c r="AJ15" s="107">
        <f t="shared" si="15"/>
        <v>7084.33</v>
      </c>
      <c r="AK15" s="109"/>
      <c r="AL15" s="107">
        <f t="shared" si="16"/>
        <v>7148.8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6860</v>
      </c>
      <c r="M16" s="71">
        <v>471.12</v>
      </c>
      <c r="N16" s="71">
        <v>125.78</v>
      </c>
      <c r="O16" s="71">
        <v>29.45</v>
      </c>
      <c r="P16" s="71">
        <v>97</v>
      </c>
      <c r="Q16" s="89">
        <f t="shared" si="10"/>
        <v>723.35</v>
      </c>
      <c r="R16" s="70">
        <v>0</v>
      </c>
      <c r="S16" s="90">
        <f>L16+IFERROR(VLOOKUP($E:$E,'（居民）工资表-9月'!$E:$S,15,0),0)</f>
        <v>66261.74</v>
      </c>
      <c r="T16" s="91">
        <f>5000+IFERROR(VLOOKUP($E:$E,'（居民）工资表-9月'!$E:$T,16,0),0)</f>
        <v>50000</v>
      </c>
      <c r="U16" s="91">
        <f>Q16+IFERROR(VLOOKUP($E:$E,'（居民）工资表-9月'!$E:$U,17,0),0)</f>
        <v>5411.69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10850.05</v>
      </c>
      <c r="AE16" s="96">
        <f>ROUND(MAX((AD16)*{0.03;0.1;0.2;0.25;0.3;0.35;0.45}-{0;2520;16920;31920;52920;85920;181920},0),2)</f>
        <v>325.5</v>
      </c>
      <c r="AF16" s="97">
        <f>IFERROR(VLOOKUP(E:E,'（居民）工资表-9月'!E:AF,28,0)+VLOOKUP(E:E,'（居民）工资表-9月'!E:AG,29,0),0)</f>
        <v>291.4</v>
      </c>
      <c r="AG16" s="97">
        <f t="shared" si="13"/>
        <v>34.1</v>
      </c>
      <c r="AH16" s="107">
        <f t="shared" si="14"/>
        <v>6102.55</v>
      </c>
      <c r="AI16" s="108"/>
      <c r="AJ16" s="107">
        <f t="shared" si="15"/>
        <v>6102.55</v>
      </c>
      <c r="AK16" s="109"/>
      <c r="AL16" s="107">
        <f t="shared" si="16"/>
        <v>6136.65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97.76</v>
      </c>
      <c r="O17" s="71">
        <v>11.84</v>
      </c>
      <c r="P17" s="71">
        <v>175</v>
      </c>
      <c r="Q17" s="89">
        <f t="shared" si="10"/>
        <v>600.2</v>
      </c>
      <c r="R17" s="70">
        <v>0</v>
      </c>
      <c r="S17" s="90">
        <f>L17+IFERROR(VLOOKUP($E:$E,'（居民）工资表-9月'!$E:$S,15,0),0)</f>
        <v>29740</v>
      </c>
      <c r="T17" s="91">
        <f>5000+IFERROR(VLOOKUP($E:$E,'（居民）工资表-9月'!$E:$T,16,0),0)</f>
        <v>20000</v>
      </c>
      <c r="U17" s="91">
        <f>Q17+IFERROR(VLOOKUP($E:$E,'（居民）工资表-9月'!$E:$U,17,0),0)</f>
        <v>2367.68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R17+IFERROR(VLOOKUP($E:$E,'（居民）工资表-9月'!$E:$AC,25,0),0)</f>
        <v>0</v>
      </c>
      <c r="AD17" s="95">
        <f t="shared" si="12"/>
        <v>7372.32</v>
      </c>
      <c r="AE17" s="96">
        <f>ROUND(MAX((AD17)*{0.03;0.1;0.2;0.25;0.3;0.35;0.45}-{0;2520;16920;31920;52920;85920;181920},0),2)</f>
        <v>221.17</v>
      </c>
      <c r="AF17" s="97">
        <f>IFERROR(VLOOKUP(E:E,'（居民）工资表-9月'!E:AF,28,0)+VLOOKUP(E:E,'（居民）工资表-9月'!E:AG,29,0),0)</f>
        <v>147.38</v>
      </c>
      <c r="AG17" s="97">
        <f t="shared" si="13"/>
        <v>73.79</v>
      </c>
      <c r="AH17" s="107">
        <f t="shared" si="14"/>
        <v>7386.01</v>
      </c>
      <c r="AI17" s="108"/>
      <c r="AJ17" s="107">
        <f t="shared" si="15"/>
        <v>7386.01</v>
      </c>
      <c r="AK17" s="109"/>
      <c r="AL17" s="107">
        <f t="shared" si="16"/>
        <v>7459.8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6800</v>
      </c>
      <c r="M18" s="71">
        <v>411.28</v>
      </c>
      <c r="N18" s="71">
        <v>102.82</v>
      </c>
      <c r="O18" s="71">
        <v>25.71</v>
      </c>
      <c r="P18" s="71">
        <v>103</v>
      </c>
      <c r="Q18" s="89">
        <f t="shared" si="10"/>
        <v>642.81</v>
      </c>
      <c r="R18" s="70">
        <v>0</v>
      </c>
      <c r="S18" s="90">
        <f>L18+IFERROR(VLOOKUP($E:$E,'（居民）工资表-9月'!$E:$S,15,0),0)</f>
        <v>62600</v>
      </c>
      <c r="T18" s="91">
        <f>5000+IFERROR(VLOOKUP($E:$E,'（居民）工资表-9月'!$E:$T,16,0),0)</f>
        <v>50000</v>
      </c>
      <c r="U18" s="91">
        <f>Q18+IFERROR(VLOOKUP($E:$E,'（居民）工资表-9月'!$E:$U,17,0),0)</f>
        <v>5308.89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R18+IFERROR(VLOOKUP($E:$E,'（居民）工资表-9月'!$E:$AC,25,0),0)</f>
        <v>0</v>
      </c>
      <c r="AD18" s="95">
        <f t="shared" si="12"/>
        <v>7291.11</v>
      </c>
      <c r="AE18" s="96">
        <f>ROUND(MAX((AD18)*{0.03;0.1;0.2;0.25;0.3;0.35;0.45}-{0;2520;16920;31920;52920;85920;181920},0),2)</f>
        <v>218.73</v>
      </c>
      <c r="AF18" s="97">
        <f>IFERROR(VLOOKUP(E:E,'（居民）工资表-9月'!E:AF,28,0)+VLOOKUP(E:E,'（居民）工资表-9月'!E:AG,29,0),0)</f>
        <v>184.02</v>
      </c>
      <c r="AG18" s="97">
        <f t="shared" si="13"/>
        <v>34.71</v>
      </c>
      <c r="AH18" s="107">
        <f t="shared" si="14"/>
        <v>6122.48</v>
      </c>
      <c r="AI18" s="108"/>
      <c r="AJ18" s="107">
        <f t="shared" si="15"/>
        <v>6122.48</v>
      </c>
      <c r="AK18" s="109"/>
      <c r="AL18" s="107">
        <f t="shared" si="16"/>
        <v>6157.19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4739.43</v>
      </c>
      <c r="M19" s="71">
        <v>373.2</v>
      </c>
      <c r="N19" s="71">
        <v>94.42</v>
      </c>
      <c r="O19" s="71">
        <v>13.99</v>
      </c>
      <c r="P19" s="71">
        <v>100.5</v>
      </c>
      <c r="Q19" s="89">
        <f t="shared" si="10"/>
        <v>582.11</v>
      </c>
      <c r="R19" s="70">
        <v>0</v>
      </c>
      <c r="S19" s="90">
        <f>L19+IFERROR(VLOOKUP($E:$E,'（居民）工资表-9月'!$E:$S,15,0),0)</f>
        <v>14383.14</v>
      </c>
      <c r="T19" s="91">
        <f>5000+IFERROR(VLOOKUP($E:$E,'（居民）工资表-9月'!$E:$T,16,0),0)</f>
        <v>20000</v>
      </c>
      <c r="U19" s="91">
        <f>Q19+IFERROR(VLOOKUP($E:$E,'（居民）工资表-9月'!$E:$U,17,0),0)</f>
        <v>2684.83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R19+IFERROR(VLOOKUP($E:$E,'（居民）工资表-9月'!$E:$AC,25,0),0)</f>
        <v>0</v>
      </c>
      <c r="AD19" s="95">
        <f t="shared" si="12"/>
        <v>-8301.69</v>
      </c>
      <c r="AE19" s="96">
        <f>ROUND(MAX((AD19)*{0.03;0.1;0.2;0.25;0.3;0.35;0.45}-{0;2520;16920;31920;52920;85920;181920},0),2)</f>
        <v>0</v>
      </c>
      <c r="AF19" s="97">
        <f>IFERROR(VLOOKUP(E:E,'（居民）工资表-9月'!E:AF,28,0)+VLOOKUP(E:E,'（居民）工资表-9月'!E:AG,29,0),0)</f>
        <v>0</v>
      </c>
      <c r="AG19" s="97">
        <f t="shared" si="13"/>
        <v>0</v>
      </c>
      <c r="AH19" s="107">
        <f t="shared" si="14"/>
        <v>4157.32</v>
      </c>
      <c r="AI19" s="108"/>
      <c r="AJ19" s="107">
        <f t="shared" si="15"/>
        <v>4157.32</v>
      </c>
      <c r="AK19" s="109"/>
      <c r="AL19" s="107">
        <f t="shared" si="16"/>
        <v>4157.32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V19" s="12" t="s">
        <v>190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146818.23</v>
      </c>
      <c r="M21" s="74">
        <f>SUM(M4:M20)</f>
        <v>6721.94</v>
      </c>
      <c r="N21" s="74">
        <f>SUM(N4:N20)</f>
        <v>1859.82</v>
      </c>
      <c r="O21" s="74">
        <f>SUM(O4:O20)</f>
        <v>365.25</v>
      </c>
      <c r="P21" s="74">
        <f>SUM(P4:P20)</f>
        <v>2069.5</v>
      </c>
      <c r="Q21" s="74">
        <f t="shared" ref="Q21:AL21" si="20">SUM(Q4:Q20)</f>
        <v>11016.51</v>
      </c>
      <c r="R21" s="74">
        <f t="shared" si="20"/>
        <v>0</v>
      </c>
      <c r="S21" s="74">
        <f t="shared" si="20"/>
        <v>1270705.87</v>
      </c>
      <c r="T21" s="74">
        <f t="shared" si="20"/>
        <v>710000</v>
      </c>
      <c r="U21" s="74">
        <f t="shared" si="20"/>
        <v>89869.22</v>
      </c>
      <c r="V21" s="74">
        <f t="shared" si="20"/>
        <v>10000</v>
      </c>
      <c r="W21" s="74">
        <f t="shared" si="20"/>
        <v>0</v>
      </c>
      <c r="X21" s="74">
        <f t="shared" si="20"/>
        <v>10000</v>
      </c>
      <c r="Y21" s="74">
        <f t="shared" si="20"/>
        <v>0</v>
      </c>
      <c r="Z21" s="74">
        <f t="shared" si="20"/>
        <v>4000</v>
      </c>
      <c r="AA21" s="74">
        <f t="shared" si="20"/>
        <v>0</v>
      </c>
      <c r="AB21" s="74">
        <f t="shared" si="20"/>
        <v>24000</v>
      </c>
      <c r="AC21" s="74">
        <f t="shared" si="20"/>
        <v>0</v>
      </c>
      <c r="AD21" s="74">
        <f t="shared" si="20"/>
        <v>446836.65</v>
      </c>
      <c r="AE21" s="74">
        <f t="shared" si="20"/>
        <v>40091.49</v>
      </c>
      <c r="AF21" s="74">
        <f t="shared" si="20"/>
        <v>34153.61</v>
      </c>
      <c r="AG21" s="74">
        <f t="shared" si="20"/>
        <v>6585.53</v>
      </c>
      <c r="AH21" s="74">
        <f t="shared" si="20"/>
        <v>129216.19</v>
      </c>
      <c r="AI21" s="74">
        <f t="shared" si="20"/>
        <v>0</v>
      </c>
      <c r="AJ21" s="74">
        <f t="shared" si="20"/>
        <v>129216.19</v>
      </c>
      <c r="AK21" s="74">
        <f t="shared" si="20"/>
        <v>0</v>
      </c>
      <c r="AL21" s="74">
        <f t="shared" si="20"/>
        <v>135801.72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129216.19</v>
      </c>
      <c r="C26" s="48">
        <f>AG21</f>
        <v>6585.53</v>
      </c>
      <c r="D26" s="48">
        <f>AK21</f>
        <v>0</v>
      </c>
      <c r="E26" s="48">
        <f>B26+C26+D26</f>
        <v>135801.72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6569.71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26430.29</v>
      </c>
      <c r="AE4" s="96">
        <f>ROUND(MAX((AD4)*{0.03;0.1;0.2;0.25;0.3;0.35;0.45}-{0;2520;16920;31920;52920;85920;181920},0),2)</f>
        <v>792.91</v>
      </c>
      <c r="AF4" s="97">
        <f>IFERROR(VLOOKUP(E:E,'（居民）工资表-10月'!E:AF,28,0)+VLOOKUP(E:E,'（居民）工资表-10月'!E:AG,29,0),0)</f>
        <v>648.21</v>
      </c>
      <c r="AG4" s="97">
        <f>IF((AE4-AF4)&lt;0,0,AE4-AF4)</f>
        <v>144.7</v>
      </c>
      <c r="AH4" s="107">
        <f t="shared" ref="AH4:AH12" si="3">ROUND(IF((L4-Q4-AG4)&lt;0,0,(L4-Q4-AG4)),2)</f>
        <v>7267</v>
      </c>
      <c r="AI4" s="108"/>
      <c r="AJ4" s="107">
        <f t="shared" ref="AJ4:AJ12" si="4">AH4+AI4</f>
        <v>7267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63100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7252.44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847.56</v>
      </c>
      <c r="AE5" s="96">
        <f>ROUND(MAX((AD5)*{0.03;0.1;0.2;0.25;0.3;0.35;0.45}-{0;2520;16920;31920;52920;85920;181920},0),2)</f>
        <v>25.43</v>
      </c>
      <c r="AF5" s="97">
        <f>IFERROR(VLOOKUP(E:E,'（居民）工资表-10月'!E:AF,28,0)+VLOOKUP(E:E,'（居民）工资表-10月'!E:AG,29,0),0)</f>
        <v>24.1</v>
      </c>
      <c r="AG5" s="97">
        <f t="shared" ref="AG5:AG12" si="9">IF((AE5-AF5)&lt;0,0,AE5-AF5)</f>
        <v>1.33</v>
      </c>
      <c r="AH5" s="107">
        <f t="shared" si="3"/>
        <v>5042.87</v>
      </c>
      <c r="AI5" s="108"/>
      <c r="AJ5" s="107">
        <f t="shared" si="4"/>
        <v>5042.87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336160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10434.95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270725.05</v>
      </c>
      <c r="AE6" s="96">
        <f>ROUND(MAX((AD6)*{0.03;0.1;0.2;0.25;0.3;0.35;0.45}-{0;2520;16920;31920;52920;85920;181920},0),2)</f>
        <v>37225.01</v>
      </c>
      <c r="AF6" s="97">
        <f>IFERROR(VLOOKUP(E:E,'（居民）工资表-10月'!E:AF,28,0)+VLOOKUP(E:E,'（居民）工资表-10月'!E:AG,29,0),0)</f>
        <v>32302.72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94700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5940.82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33759.18</v>
      </c>
      <c r="AE7" s="96">
        <f>ROUND(MAX((AD7)*{0.03;0.1;0.2;0.25;0.3;0.35;0.45}-{0;2520;16920;31920;52920;85920;181920},0),2)</f>
        <v>1012.78</v>
      </c>
      <c r="AF7" s="97">
        <f>IFERROR(VLOOKUP(E:E,'（居民）工资表-10月'!E:AF,28,0)+VLOOKUP(E:E,'（居民）工资表-10月'!E:AG,29,0),0)</f>
        <v>938.65</v>
      </c>
      <c r="AG7" s="97">
        <f t="shared" si="9"/>
        <v>74.13</v>
      </c>
      <c r="AH7" s="107">
        <f t="shared" si="3"/>
        <v>7396.74</v>
      </c>
      <c r="AI7" s="108"/>
      <c r="AJ7" s="107">
        <f t="shared" si="4"/>
        <v>7396.74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117800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8285.43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54514.57</v>
      </c>
      <c r="AE8" s="96">
        <f>ROUND(MAX((AD8)*{0.03;0.1;0.2;0.25;0.3;0.35;0.45}-{0;2520;16920;31920;52920;85920;181920},0),2)</f>
        <v>2931.46</v>
      </c>
      <c r="AF8" s="97">
        <f>IFERROR(VLOOKUP(E:E,'（居民）工资表-10月'!E:AF,28,0)+VLOOKUP(E:E,'（居民）工资表-10月'!E:AG,29,0),0)</f>
        <v>2493.06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5595.5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10904.5</v>
      </c>
      <c r="AE9" s="96">
        <f>ROUND(MAX((AD9)*{0.03;0.1;0.2;0.25;0.3;0.35;0.45}-{0;2520;16920;31920;52920;85920;181920},0),2)</f>
        <v>327.14</v>
      </c>
      <c r="AF9" s="97">
        <f>IFERROR(VLOOKUP(E:E,'（居民）工资表-10月'!E:AF,28,0)+VLOOKUP(E:E,'（居民）工资表-10月'!E:AG,29,0),0)</f>
        <v>292.44</v>
      </c>
      <c r="AG9" s="97">
        <f t="shared" si="9"/>
        <v>34.7</v>
      </c>
      <c r="AH9" s="107">
        <f t="shared" si="3"/>
        <v>6121.77</v>
      </c>
      <c r="AI9" s="108"/>
      <c r="AJ9" s="107">
        <f t="shared" si="4"/>
        <v>6121.77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27500</v>
      </c>
      <c r="T10" s="91">
        <f>5000+IFERROR(VLOOKUP($E:$E,'（居民）工资表-10月'!$E:$T,16,0),0)</f>
        <v>25000</v>
      </c>
      <c r="U10" s="91">
        <f>Q10+IFERROR(VLOOKUP($E:$E,'（居民）工资表-10月'!$E:$U,17,0),0)</f>
        <v>2830.3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-330.3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50149.04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6743.16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-11594.12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103100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6278.13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41821.87</v>
      </c>
      <c r="AE12" s="96">
        <f>ROUND(MAX((AD12)*{0.03;0.1;0.2;0.25;0.3;0.35;0.45}-{0;2520;16920;31920;52920;85920;181920},0),2)</f>
        <v>1662.19</v>
      </c>
      <c r="AF12" s="97">
        <f>IFERROR(VLOOKUP(E:E,'（居民）工资表-10月'!E:AF,28,0)+VLOOKUP(E:E,'（居民）工资表-10月'!E:AG,29,0),0)</f>
        <v>1368.92</v>
      </c>
      <c r="AG12" s="97">
        <f t="shared" ref="AG12:AG20" si="13">IF((AE12-AF12)&lt;0,0,AE12-AF12)</f>
        <v>293.27</v>
      </c>
      <c r="AH12" s="107">
        <f t="shared" ref="AH12:AH20" si="14">ROUND(IF((L12-Q12-AG12)&lt;0,0,(L12-Q12-AG12)),2)</f>
        <v>7639.43</v>
      </c>
      <c r="AI12" s="108"/>
      <c r="AJ12" s="107">
        <f t="shared" ref="AJ12:AJ20" si="15">AH12+AI12</f>
        <v>7639.43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83862.05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8285.43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20576.62</v>
      </c>
      <c r="AE13" s="96">
        <f>ROUND(MAX((AD13)*{0.03;0.1;0.2;0.25;0.3;0.35;0.45}-{0;2520;16920;31920;52920;85920;181920},0),2)</f>
        <v>617.3</v>
      </c>
      <c r="AF13" s="97">
        <f>IFERROR(VLOOKUP(E:E,'（居民）工资表-10月'!E:AF,28,0)+VLOOKUP(E:E,'（居民）工资表-10月'!E:AG,29,0),0)</f>
        <v>590.78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89208.7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8285.43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25923.27</v>
      </c>
      <c r="AE14" s="96">
        <f>ROUND(MAX((AD14)*{0.03;0.1;0.2;0.25;0.3;0.35;0.45}-{0;2520;16920;31920;52920;85920;181920},0),2)</f>
        <v>777.7</v>
      </c>
      <c r="AF14" s="97">
        <f>IFERROR(VLOOKUP(E:E,'（居民）工资表-10月'!E:AF,28,0)+VLOOKUP(E:E,'（居民）工资表-10月'!E:AG,29,0),0)</f>
        <v>751.18</v>
      </c>
      <c r="AG14" s="97">
        <f t="shared" si="13"/>
        <v>26.5200000000001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81500</v>
      </c>
      <c r="T15" s="91">
        <f>5000+IFERROR(VLOOKUP($E:$E,'（居民）工资表-10月'!$E:$T,16,0),0)</f>
        <v>55000</v>
      </c>
      <c r="U15" s="91">
        <f>Q15+IFERROR(VLOOKUP($E:$E,'（居民）工资表-10月'!$E:$U,17,0),0)</f>
        <v>6278.13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20221.87</v>
      </c>
      <c r="AE15" s="96">
        <f>ROUND(MAX((AD15)*{0.03;0.1;0.2;0.25;0.3;0.35;0.45}-{0;2520;16920;31920;52920;85920;181920},0),2)</f>
        <v>606.66</v>
      </c>
      <c r="AF15" s="97">
        <f>IFERROR(VLOOKUP(E:E,'（居民）工资表-10月'!E:AF,28,0)+VLOOKUP(E:E,'（居民）工资表-10月'!E:AG,29,0),0)</f>
        <v>563.68</v>
      </c>
      <c r="AG15" s="97">
        <f t="shared" si="13"/>
        <v>42.98</v>
      </c>
      <c r="AH15" s="107">
        <f t="shared" si="14"/>
        <v>6389.72</v>
      </c>
      <c r="AI15" s="108"/>
      <c r="AJ15" s="107">
        <f t="shared" si="15"/>
        <v>6389.72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72321.74</v>
      </c>
      <c r="T16" s="91">
        <f>5000+IFERROR(VLOOKUP($E:$E,'（居民）工资表-10月'!$E:$T,16,0),0)</f>
        <v>55000</v>
      </c>
      <c r="U16" s="91">
        <f>Q16+IFERROR(VLOOKUP($E:$E,'（居民）工资表-10月'!$E:$U,17,0),0)</f>
        <v>5940.82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11380.92</v>
      </c>
      <c r="AE16" s="96">
        <f>ROUND(MAX((AD16)*{0.03;0.1;0.2;0.25;0.3;0.35;0.45}-{0;2520;16920;31920;52920;85920;181920},0),2)</f>
        <v>341.43</v>
      </c>
      <c r="AF16" s="97">
        <f>IFERROR(VLOOKUP(E:E,'（居民）工资表-10月'!E:AF,28,0)+VLOOKUP(E:E,'（居民）工资表-10月'!E:AG,29,0),0)</f>
        <v>325.5</v>
      </c>
      <c r="AG16" s="97">
        <f t="shared" si="13"/>
        <v>15.93</v>
      </c>
      <c r="AH16" s="107">
        <f t="shared" si="14"/>
        <v>5514.94</v>
      </c>
      <c r="AI16" s="108"/>
      <c r="AJ16" s="107">
        <f t="shared" si="15"/>
        <v>5514.94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36300</v>
      </c>
      <c r="T17" s="91">
        <f>5000+IFERROR(VLOOKUP($E:$E,'（居民）工资表-10月'!$E:$T,16,0),0)</f>
        <v>25000</v>
      </c>
      <c r="U17" s="91">
        <f>Q17+IFERROR(VLOOKUP($E:$E,'（居民）工资表-10月'!$E:$U,17,0),0)</f>
        <v>2786.21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8513.79</v>
      </c>
      <c r="AE17" s="96">
        <f>ROUND(MAX((AD17)*{0.03;0.1;0.2;0.25;0.3;0.35;0.45}-{0;2520;16920;31920;52920;85920;181920},0),2)</f>
        <v>255.41</v>
      </c>
      <c r="AF17" s="97">
        <f>IFERROR(VLOOKUP(E:E,'（居民）工资表-10月'!E:AF,28,0)+VLOOKUP(E:E,'（居民）工资表-10月'!E:AG,29,0),0)</f>
        <v>221.17</v>
      </c>
      <c r="AG17" s="97">
        <f t="shared" si="13"/>
        <v>34.24</v>
      </c>
      <c r="AH17" s="107">
        <f t="shared" si="14"/>
        <v>6107.23</v>
      </c>
      <c r="AI17" s="108"/>
      <c r="AJ17" s="107">
        <f t="shared" si="15"/>
        <v>6107.23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68600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5833.89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7766.11</v>
      </c>
      <c r="AE18" s="96">
        <f>ROUND(MAX((AD18)*{0.03;0.1;0.2;0.25;0.3;0.35;0.45}-{0;2520;16920;31920;52920;85920;181920},0),2)</f>
        <v>232.98</v>
      </c>
      <c r="AF18" s="97">
        <f>IFERROR(VLOOKUP(E:E,'（居民）工资表-10月'!E:AF,28,0)+VLOOKUP(E:E,'（居民）工资表-10月'!E:AG,29,0),0)</f>
        <v>218.73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19808.14</v>
      </c>
      <c r="T19" s="91">
        <f>5000+IFERROR(VLOOKUP($E:$E,'（居民）工资表-10月'!$E:$T,16,0),0)</f>
        <v>25000</v>
      </c>
      <c r="U19" s="91">
        <f>Q19+IFERROR(VLOOKUP($E:$E,'（居民）工资表-10月'!$E:$U,17,0),0)</f>
        <v>3227.4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-8419.26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1403609.67</v>
      </c>
      <c r="T21" s="74">
        <f t="shared" si="20"/>
        <v>790000</v>
      </c>
      <c r="U21" s="74">
        <f t="shared" si="20"/>
        <v>100567.75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513041.92</v>
      </c>
      <c r="AE21" s="74">
        <f t="shared" si="20"/>
        <v>46808.4</v>
      </c>
      <c r="AF21" s="74">
        <f t="shared" si="20"/>
        <v>40739.14</v>
      </c>
      <c r="AG21" s="74">
        <f t="shared" si="20"/>
        <v>6069.26</v>
      </c>
      <c r="AH21" s="74">
        <f t="shared" si="20"/>
        <v>116136.01</v>
      </c>
      <c r="AI21" s="74">
        <f t="shared" si="20"/>
        <v>0</v>
      </c>
      <c r="AJ21" s="74">
        <f t="shared" si="20"/>
        <v>116136.01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116136.01</v>
      </c>
      <c r="C26" s="48">
        <f>AG21</f>
        <v>6069.26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127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127" t="s">
        <v>148</v>
      </c>
      <c r="G11" s="39" t="s">
        <v>170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127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7158.01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41.99</v>
      </c>
      <c r="AE4" s="96">
        <f>ROUND(MAX((AD4)*{0.03;0.1;0.2;0.25;0.3;0.35;0.45}-{0;2520;16920;31920;52920;85920;181920},0),2)</f>
        <v>1.26</v>
      </c>
      <c r="AF4" s="97">
        <f>IFERROR(VLOOKUP(E:E,'（居民）工资表-11月'!E:AF,28,0)+VLOOKUP(E:E,'（居民）工资表-11月'!E:AG,29,0),0)</f>
        <v>792.91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68800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7908.24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891.76</v>
      </c>
      <c r="AE5" s="96">
        <f>ROUND(MAX((AD5)*{0.03;0.1;0.2;0.25;0.3;0.35;0.45}-{0;2520;16920;31920;52920;85920;181920},0),2)</f>
        <v>26.75</v>
      </c>
      <c r="AF5" s="97">
        <f>IFERROR(VLOOKUP(E:E,'（居民）工资表-11月'!E:AF,28,0)+VLOOKUP(E:E,'（居民）工资表-11月'!E:AG,29,0),0)</f>
        <v>25.43</v>
      </c>
      <c r="AG5" s="97">
        <f t="shared" si="3"/>
        <v>1.32</v>
      </c>
      <c r="AH5" s="107">
        <f t="shared" si="4"/>
        <v>5042.88</v>
      </c>
      <c r="AI5" s="108"/>
      <c r="AJ5" s="107">
        <f t="shared" si="5"/>
        <v>5042.88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366220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11383.5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294836.5</v>
      </c>
      <c r="AE6" s="96">
        <f>ROUND(MAX((AD6)*{0.03;0.1;0.2;0.25;0.3;0.35;0.45}-{0;2520;16920;31920;52920;85920;181920},0),2)</f>
        <v>42047.3</v>
      </c>
      <c r="AF6" s="97">
        <f>IFERROR(VLOOKUP(E:E,'（居民）工资表-11月'!E:AF,28,0)+VLOOKUP(E:E,'（居民）工资表-11月'!E:AG,29,0),0)</f>
        <v>37225.01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104220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6468.53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37751.47</v>
      </c>
      <c r="AE7" s="96">
        <f>ROUND(MAX((AD7)*{0.03;0.1;0.2;0.25;0.3;0.35;0.45}-{0;2520;16920;31920;52920;85920;181920},0),2)</f>
        <v>1255.15</v>
      </c>
      <c r="AF7" s="97">
        <f>IFERROR(VLOOKUP(E:E,'（居民）工资表-11月'!E:AF,28,0)+VLOOKUP(E:E,'（居民）工资表-11月'!E:AG,29,0),0)</f>
        <v>1012.78</v>
      </c>
      <c r="AG7" s="97">
        <f t="shared" si="3"/>
        <v>242.37</v>
      </c>
      <c r="AH7" s="107">
        <f t="shared" si="4"/>
        <v>8749.92</v>
      </c>
      <c r="AI7" s="108"/>
      <c r="AJ7" s="107">
        <f t="shared" si="5"/>
        <v>8749.92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128300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9057.43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59242.57</v>
      </c>
      <c r="AE8" s="96">
        <f>ROUND(MAX((AD8)*{0.03;0.1;0.2;0.25;0.3;0.35;0.45}-{0;2520;16920;31920;52920;85920;181920},0),2)</f>
        <v>3404.26</v>
      </c>
      <c r="AF8" s="97">
        <f>IFERROR(VLOOKUP(E:E,'（居民）工资表-11月'!E:AF,28,0)+VLOOKUP(E:E,'（居民）工资表-11月'!E:AG,29,0),0)</f>
        <v>2931.46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6098.81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11901.19</v>
      </c>
      <c r="AE9" s="96">
        <f>ROUND(MAX((AD9)*{0.03;0.1;0.2;0.25;0.3;0.35;0.45}-{0;2520;16920;31920;52920;85920;181920},0),2)</f>
        <v>357.04</v>
      </c>
      <c r="AF9" s="97">
        <f>IFERROR(VLOOKUP(E:E,'（居民）工资表-11月'!E:AF,28,0)+VLOOKUP(E:E,'（居民）工资表-11月'!E:AG,29,0),0)</f>
        <v>327.14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33000</v>
      </c>
      <c r="T10" s="91">
        <f>5000+IFERROR(VLOOKUP($E:$E,'（居民）工资表-11月'!$E:$T,16,0),0)</f>
        <v>30000</v>
      </c>
      <c r="U10" s="91">
        <f>Q10+IFERROR(VLOOKUP($E:$E,'（居民）工资表-11月'!$E:$U,17,0),0)</f>
        <v>3372.69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-372.69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54311.84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7519.44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-13207.6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111600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6837.13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44762.87</v>
      </c>
      <c r="AE12" s="96">
        <f>ROUND(MAX((AD12)*{0.03;0.1;0.2;0.25;0.3;0.35;0.45}-{0;2520;16920;31920;52920;85920;181920},0),2)</f>
        <v>1956.29</v>
      </c>
      <c r="AF12" s="97">
        <f>IFERROR(VLOOKUP(E:E,'（居民）工资表-11月'!E:AF,28,0)+VLOOKUP(E:E,'（居民）工资表-11月'!E:AG,29,0),0)</f>
        <v>1662.19</v>
      </c>
      <c r="AG12" s="97">
        <f t="shared" si="3"/>
        <v>294.1</v>
      </c>
      <c r="AH12" s="107">
        <f t="shared" si="4"/>
        <v>7646.9</v>
      </c>
      <c r="AI12" s="108"/>
      <c r="AJ12" s="107">
        <f t="shared" si="5"/>
        <v>7646.9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171</v>
      </c>
      <c r="AV12" s="12" t="s">
        <v>172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90862.05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9057.43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21804.62</v>
      </c>
      <c r="AE13" s="96">
        <f>ROUND(MAX((AD13)*{0.03;0.1;0.2;0.25;0.3;0.35;0.45}-{0;2520;16920;31920;52920;85920;181920},0),2)</f>
        <v>654.14</v>
      </c>
      <c r="AF13" s="97">
        <f>IFERROR(VLOOKUP(E:E,'（居民）工资表-11月'!E:AF,28,0)+VLOOKUP(E:E,'（居民）工资表-11月'!E:AG,29,0),0)</f>
        <v>617.3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96208.7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9057.43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27151.27</v>
      </c>
      <c r="AE14" s="96">
        <f>ROUND(MAX((AD14)*{0.03;0.1;0.2;0.25;0.3;0.35;0.45}-{0;2520;16920;31920;52920;85920;181920},0),2)</f>
        <v>814.54</v>
      </c>
      <c r="AF14" s="97">
        <f>IFERROR(VLOOKUP(E:E,'（居民）工资表-11月'!E:AF,28,0)+VLOOKUP(E:E,'（居民）工资表-11月'!E:AG,29,0),0)</f>
        <v>777.7</v>
      </c>
      <c r="AG14" s="97">
        <f t="shared" si="3"/>
        <v>36.8399999999999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88500</v>
      </c>
      <c r="T15" s="91">
        <f>5000+IFERROR(VLOOKUP($E:$E,'（居民）工资表-11月'!$E:$T,16,0),0)</f>
        <v>60000</v>
      </c>
      <c r="U15" s="91">
        <f>Q15+IFERROR(VLOOKUP($E:$E,'（居民）工资表-11月'!$E:$U,17,0),0)</f>
        <v>6837.13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21662.87</v>
      </c>
      <c r="AE15" s="96">
        <f>ROUND(MAX((AD15)*{0.03;0.1;0.2;0.25;0.3;0.35;0.45}-{0;2520;16920;31920;52920;85920;181920},0),2)</f>
        <v>649.89</v>
      </c>
      <c r="AF15" s="97">
        <f>IFERROR(VLOOKUP(E:E,'（居民）工资表-11月'!E:AF,28,0)+VLOOKUP(E:E,'（居民）工资表-11月'!E:AG,29,0),0)</f>
        <v>606.66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78701.74</v>
      </c>
      <c r="T16" s="91">
        <f>5000+IFERROR(VLOOKUP($E:$E,'（居民）工资表-11月'!$E:$T,16,0),0)</f>
        <v>60000</v>
      </c>
      <c r="U16" s="91">
        <f>Q16+IFERROR(VLOOKUP($E:$E,'（居民）工资表-11月'!$E:$U,17,0),0)</f>
        <v>6468.53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12233.21</v>
      </c>
      <c r="AE16" s="96">
        <f>ROUND(MAX((AD16)*{0.03;0.1;0.2;0.25;0.3;0.35;0.45}-{0;2520;16920;31920;52920;85920;181920},0),2)</f>
        <v>367</v>
      </c>
      <c r="AF16" s="97">
        <f>IFERROR(VLOOKUP(E:E,'（居民）工资表-11月'!E:AF,28,0)+VLOOKUP(E:E,'（居民）工资表-11月'!E:AG,29,0),0)</f>
        <v>341.43</v>
      </c>
      <c r="AG16" s="97">
        <f t="shared" si="3"/>
        <v>25.57</v>
      </c>
      <c r="AH16" s="107">
        <f t="shared" si="4"/>
        <v>5826.72</v>
      </c>
      <c r="AI16" s="108"/>
      <c r="AJ16" s="107">
        <f t="shared" si="5"/>
        <v>5826.72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42860</v>
      </c>
      <c r="T17" s="91">
        <f>5000+IFERROR(VLOOKUP($E:$E,'（居民）工资表-11月'!$E:$T,16,0),0)</f>
        <v>30000</v>
      </c>
      <c r="U17" s="91">
        <f>Q17+IFERROR(VLOOKUP($E:$E,'（居民）工资表-11月'!$E:$U,17,0),0)</f>
        <v>3364.52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9495.48</v>
      </c>
      <c r="AE17" s="96">
        <f>ROUND(MAX((AD17)*{0.03;0.1;0.2;0.25;0.3;0.35;0.45}-{0;2520;16920;31920;52920;85920;181920},0),2)</f>
        <v>284.86</v>
      </c>
      <c r="AF17" s="97">
        <f>IFERROR(VLOOKUP(E:E,'（居民）工资表-11月'!E:AF,28,0)+VLOOKUP(E:E,'（居民）工资表-11月'!E:AG,29,0),0)</f>
        <v>255.41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74600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6358.89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8241.11</v>
      </c>
      <c r="AE18" s="96">
        <f>ROUND(MAX((AD18)*{0.03;0.1;0.2;0.25;0.3;0.35;0.45}-{0;2520;16920;31920;52920;85920;181920},0),2)</f>
        <v>247.23</v>
      </c>
      <c r="AF18" s="97">
        <f>IFERROR(VLOOKUP(E:E,'（居民）工资表-11月'!E:AF,28,0)+VLOOKUP(E:E,'（居民）工资表-11月'!E:AG,29,0),0)</f>
        <v>232.98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27058.14</v>
      </c>
      <c r="T19" s="91">
        <f>5000+IFERROR(VLOOKUP($E:$E,'（居民）工资表-11月'!$E:$T,16,0),0)</f>
        <v>30000</v>
      </c>
      <c r="U19" s="91">
        <f>Q19+IFERROR(VLOOKUP($E:$E,'（居民）工资表-11月'!$E:$U,17,0),0)</f>
        <v>3227.4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-6169.26</v>
      </c>
      <c r="AE19" s="96">
        <f>ROUND(MAX((AD19)*{0.03;0.1;0.2;0.25;0.3;0.35;0.45}-{0;2520;16920;31920;52920;85920;181920},0),2)</f>
        <v>0</v>
      </c>
      <c r="AF19" s="97">
        <f>IFERROR(VLOOKUP(E:E,'（居民）工资表-11月'!E:AF,28,0)+VLOOKUP(E:E,'（居民）工资表-11月'!E:AG,29,0),0)</f>
        <v>0</v>
      </c>
      <c r="AG19" s="97">
        <f t="shared" si="3"/>
        <v>0</v>
      </c>
      <c r="AH19" s="107">
        <f t="shared" si="4"/>
        <v>7250</v>
      </c>
      <c r="AI19" s="108"/>
      <c r="AJ19" s="107">
        <f t="shared" si="5"/>
        <v>7250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1539242.47</v>
      </c>
      <c r="T21" s="74">
        <f t="shared" si="8"/>
        <v>870000</v>
      </c>
      <c r="U21" s="74">
        <f t="shared" si="8"/>
        <v>110175.11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530267.36</v>
      </c>
      <c r="AE21" s="74">
        <f t="shared" si="8"/>
        <v>52065.71</v>
      </c>
      <c r="AF21" s="74">
        <f t="shared" si="8"/>
        <v>46808.4</v>
      </c>
      <c r="AG21" s="74">
        <f t="shared" si="8"/>
        <v>6048.96</v>
      </c>
      <c r="AH21" s="74">
        <f t="shared" si="8"/>
        <v>119976.48</v>
      </c>
      <c r="AI21" s="126">
        <f t="shared" si="8"/>
        <v>0</v>
      </c>
      <c r="AJ21" s="74">
        <f t="shared" si="8"/>
        <v>119976.48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119976.48</v>
      </c>
      <c r="C26" s="48">
        <f>AG21</f>
        <v>6048.96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217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218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219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220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221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222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223</v>
      </c>
    </row>
    <row r="10" s="12" customFormat="1" ht="18" customHeight="1" spans="1:47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224</v>
      </c>
    </row>
    <row r="11" s="12" customFormat="1" ht="18" customHeight="1" spans="1:47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225</v>
      </c>
    </row>
    <row r="12" s="12" customFormat="1" ht="18" customHeight="1" spans="1:47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222</v>
      </c>
    </row>
    <row r="13" s="12" customFormat="1" ht="18" customHeight="1" spans="1:47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222</v>
      </c>
    </row>
    <row r="14" s="12" customFormat="1" ht="18" customHeight="1" spans="1:47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225</v>
      </c>
    </row>
    <row r="15" s="12" customFormat="1" ht="18" customHeight="1" spans="1:47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221</v>
      </c>
    </row>
    <row r="16" s="12" customFormat="1" ht="18" customHeight="1" spans="1:47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226</v>
      </c>
    </row>
    <row r="17" s="12" customFormat="1" ht="18" customHeight="1" spans="1:47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221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217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214</v>
      </c>
      <c r="D18" s="37" t="s">
        <v>143</v>
      </c>
      <c r="E18" s="37" t="s">
        <v>215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227</v>
      </c>
      <c r="C1" s="1"/>
      <c r="D1" s="1"/>
      <c r="E1" s="1"/>
    </row>
    <row r="2" ht="21" spans="2:2">
      <c r="B2" s="2"/>
    </row>
    <row r="3" ht="27.75" customHeight="1" spans="2:5">
      <c r="B3" s="3" t="s">
        <v>228</v>
      </c>
      <c r="C3" s="4" t="s">
        <v>229</v>
      </c>
      <c r="D3" s="4" t="s">
        <v>230</v>
      </c>
      <c r="E3" s="4" t="s">
        <v>231</v>
      </c>
    </row>
    <row r="4" ht="29.25" customHeight="1" spans="2:5">
      <c r="B4" s="5">
        <v>1</v>
      </c>
      <c r="C4" s="6" t="s">
        <v>232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238</v>
      </c>
      <c r="D10" s="7">
        <v>0.45</v>
      </c>
      <c r="E10" s="8">
        <v>181920</v>
      </c>
    </row>
    <row r="13" ht="57" customHeight="1" spans="2:5">
      <c r="B13" s="1" t="s">
        <v>239</v>
      </c>
      <c r="C13" s="1"/>
      <c r="D13" s="1"/>
      <c r="E13" s="1"/>
    </row>
    <row r="14" ht="21" spans="2:2">
      <c r="B14" s="2"/>
    </row>
    <row r="15" ht="27.75" customHeight="1" spans="2:5">
      <c r="B15" s="3" t="s">
        <v>228</v>
      </c>
      <c r="C15" s="4" t="s">
        <v>240</v>
      </c>
      <c r="D15" s="4" t="s">
        <v>230</v>
      </c>
      <c r="E15" s="4" t="s">
        <v>231</v>
      </c>
    </row>
    <row r="16" ht="29.25" customHeight="1" spans="2:5">
      <c r="B16" s="5">
        <v>1</v>
      </c>
      <c r="C16" s="6" t="s">
        <v>241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243</v>
      </c>
      <c r="D18" s="7">
        <v>0.4</v>
      </c>
      <c r="E18" s="8">
        <v>7000</v>
      </c>
    </row>
    <row r="21" ht="47.25" customHeight="1" spans="2:5">
      <c r="B21" s="1" t="s">
        <v>244</v>
      </c>
      <c r="C21" s="1"/>
      <c r="D21" s="1"/>
      <c r="E21" s="1"/>
    </row>
    <row r="22" ht="21" spans="2:2">
      <c r="B22" s="2"/>
    </row>
    <row r="23" ht="27.75" customHeight="1" spans="2:5">
      <c r="B23" s="3" t="s">
        <v>228</v>
      </c>
      <c r="C23" s="4" t="s">
        <v>245</v>
      </c>
      <c r="D23" s="4" t="s">
        <v>230</v>
      </c>
      <c r="E23" s="4" t="s">
        <v>231</v>
      </c>
    </row>
    <row r="24" ht="29.25" customHeight="1" spans="2:5">
      <c r="B24" s="5">
        <v>1</v>
      </c>
      <c r="C24" s="6" t="s">
        <v>246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252</v>
      </c>
      <c r="D30" s="7">
        <v>0.45</v>
      </c>
      <c r="E30" s="8">
        <v>15160</v>
      </c>
    </row>
    <row r="35" ht="57" customHeight="1" spans="2:5">
      <c r="B35" s="9" t="s">
        <v>253</v>
      </c>
      <c r="C35" s="9"/>
      <c r="D35" s="9"/>
      <c r="E35" s="9"/>
    </row>
    <row r="36" ht="14.25"/>
    <row r="37" ht="21.75" customHeight="1" spans="2:5">
      <c r="B37" s="3" t="s">
        <v>228</v>
      </c>
      <c r="C37" s="4" t="s">
        <v>254</v>
      </c>
      <c r="D37" s="4" t="s">
        <v>255</v>
      </c>
      <c r="E37" s="4" t="s">
        <v>231</v>
      </c>
    </row>
    <row r="38" ht="21.75" customHeight="1" spans="2:5">
      <c r="B38" s="5">
        <v>1</v>
      </c>
      <c r="C38" s="6" t="s">
        <v>246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2024-06-03T08:38:33Z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2052-12.1.0.16929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