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609" firstSheet="1" activeTab="3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'（居民）工资表-9月'!$A$3:$AT$21</definedName>
    <definedName name="_xlnm._FilterDatabase" localSheetId="7" hidden="1">'（居民）工资表-10月'!$A$3:$AT$21</definedName>
    <definedName name="_xlnm._FilterDatabase" localSheetId="8" hidden="1">'（居民）工资表-11月'!$A$3:$AT$21</definedName>
    <definedName name="_xlnm._FilterDatabase" localSheetId="10" hidden="1">'（居民）工资表-12月'!$A$3:$AT$21</definedName>
    <definedName name="_xlnm._FilterDatabase" localSheetId="11" hidden="1">'（居民）工资表-2月'!$A$3:$AT$20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'（居民）工资表-8月'!$A$3:$AV$20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'（居民）工资表-10月'!$A$1:$AT$27</definedName>
    <definedName name="_xlnm.Print_Area" localSheetId="8">'（居民）工资表-11月'!$A$1:$AT$27</definedName>
    <definedName name="_xlnm.Print_Area" localSheetId="10">'（居民）工资表-12月'!$A$1:$AT$27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<sst xmlns="http://schemas.openxmlformats.org/spreadsheetml/2006/main" count="2269" uniqueCount="256">
  <si>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</si>
  <si>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</si>
  <si>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</si>
  <si>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</si>
  <si>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</si>
  <si>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</si>
  <si>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</si>
  <si>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</si>
  <si>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</si>
  <si>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</si>
  <si>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</si>
  <si>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</si>
  <si>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</si>
  <si>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</si>
  <si>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</si>
  <si>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</si>
  <si>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</si>
  <si>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</si>
  <si>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</si>
  <si>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</si>
  <si>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</si>
  <si>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</si>
  <si>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</si>
  <si>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</si>
  <si>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</si>
  <si>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</si>
  <si>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</si>
  <si>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</si>
  <si>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</si>
  <si>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</si>
  <si>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</si>
  <si>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</si>
  <si>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</si>
  <si>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</si>
  <si>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</si>
  <si>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</si>
  <si>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</si>
  <si>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</si>
  <si>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</si>
  <si>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</si>
  <si>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</si>
  <si>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</si>
  <si>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</si>
  <si>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</si>
  <si>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</si>
  <si>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</si>
  <si>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</si>
  <si>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</si>
  <si>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</si>
  <si>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</si>
  <si>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</si>
  <si>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</si>
  <si>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</si>
  <si>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</si>
  <si>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</si>
  <si>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</si>
  <si>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</si>
  <si>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</si>
  <si>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</si>
  <si>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</si>
  <si>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</si>
  <si>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</si>
  <si>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</si>
  <si>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</si>
  <si>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</si>
  <si>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</si>
  <si>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</si>
  <si>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</si>
  <si>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</si>
  <si>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根据贵公司与我公司所签订的服务协议，请贵公司在2024年4月8日之前按照下列表格内容支付相关款项.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</si>
  <si>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</si>
  <si>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</si>
  <si>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</si>
  <si>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</si>
  <si>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</si>
  <si>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</si>
  <si>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</si>
  <si>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</si>
  <si>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</si>
  <si>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</si>
  <si>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</si>
  <si>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</si>
  <si>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</si>
  <si>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</si>
  <si>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</si>
  <si>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</si>
  <si>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</si>
  <si>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</si>
  <si>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</si>
  <si>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</si>
  <si>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</si>
  <si>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</si>
  <si>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</si>
  <si>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</si>
  <si>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</si>
  <si>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</si>
  <si>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</si>
  <si>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</si>
  <si>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</si>
  <si>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</si>
  <si>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</si>
  <si>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</si>
  <si>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</si>
  <si>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</si>
  <si>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</si>
  <si>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</si>
  <si>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</si>
  <si>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</si>
  <si>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</si>
  <si>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</si>
  <si>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</si>
  <si>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</si>
  <si>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</si>
  <si>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</si>
  <si>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</si>
  <si>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</si>
  <si>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</si>
  <si>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</si>
  <si>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</si>
  <si>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</si>
  <si>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</si>
  <si>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</si>
  <si>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</si>
  <si>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</si>
  <si>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</si>
  <si>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</si>
  <si>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</si>
  <si>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</si>
  <si>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</si>
  <si>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</si>
  <si>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</si>
  <si>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</si>
  <si>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</si>
  <si>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</si>
  <si>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</si>
  <si>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</si>
  <si>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</si>
  <si>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</si>
  <si>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</si>
  <si>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</si>
  <si>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</si>
  <si>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</si>
  <si>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</si>
  <si>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</si>
  <si>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</si>
  <si>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</si>
  <si>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</si>
  <si>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</si>
  <si>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</si>
  <si>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</si>
  <si>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</si>
  <si>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</si>
  <si>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</si>
  <si>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</si>
  <si>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</si>
  <si>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</si>
  <si>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</si>
  <si>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</si>
  <si>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</si>
  <si>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</si>
  <si>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</si>
  <si>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</si>
  <si>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</si>
  <si>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谭江月</t>
  </si>
  <si>
    <t>500228199607193387</t>
  </si>
  <si>
    <t>18297976577</t>
  </si>
  <si>
    <t>重庆</t>
  </si>
  <si>
    <t>重庆外商</t>
  </si>
  <si>
    <t>孙海娟</t>
  </si>
  <si>
    <t>150428198211155123</t>
  </si>
  <si>
    <t>13875812115</t>
  </si>
  <si>
    <t>天津</t>
  </si>
  <si>
    <t>天津易铭天</t>
  </si>
  <si>
    <t>汤祥文</t>
  </si>
  <si>
    <t>340222198505126017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</si>
  <si>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</si>
  <si>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</si>
  <si>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</si>
  <si>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</si>
  <si>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</si>
  <si>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</si>
  <si>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</si>
  <si>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</si>
  <si>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</si>
  <si>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杨文</t>
  </si>
  <si>
    <t>430902198512287016</t>
  </si>
  <si>
    <t>张莉</t>
  </si>
  <si>
    <t>340122198910212909</t>
  </si>
  <si>
    <t>周兆平</t>
  </si>
  <si>
    <t>420625199902250033</t>
  </si>
  <si>
    <t>武汉</t>
  </si>
  <si>
    <t>武汉乾通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</si>
  <si>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</si>
  <si>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</si>
  <si>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</si>
  <si>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</si>
  <si>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</si>
  <si>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</si>
  <si>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</si>
  <si>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</si>
  <si>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</si>
  <si>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</si>
  <si>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</si>
  <si>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</si>
  <si>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</si>
  <si>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</si>
  <si>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</si>
  <si>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</si>
  <si>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</si>
  <si>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</si>
  <si>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</si>
  <si>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</si>
  <si>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倪绍帅</t>
  </si>
  <si>
    <t>341225199804264377</t>
  </si>
  <si>
    <t>吕阳</t>
  </si>
  <si>
    <t>420704199405100011</t>
  </si>
  <si>
    <t>重庆易铭天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</si>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</sst>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6" activePane="bottomRight" state="frozen"/>
      <selection/>
      <selection pane="topRight"/>
      <selection pane="bottomLeft"/>
      <selection pane="bottomRight" activeCell="AL19" sqref="AL19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127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175.86</v>
      </c>
      <c r="O4" s="71">
        <v>11.98</v>
      </c>
      <c r="P4" s="71">
        <v>177.4</v>
      </c>
      <c r="Q4" s="70">
        <f>ROUND(SUM(M4:P4),2)</f>
        <v>684.7</v>
      </c>
      <c r="R4" s="70">
        <v>0</v>
      </c>
      <c r="S4" s="92">
        <f>L4</f>
        <v>8000</v>
      </c>
      <c r="T4" s="93">
        <v>5000</v>
      </c>
      <c r="U4" s="93">
        <f>Q4</f>
        <v>684.7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2315.3</v>
      </c>
      <c r="AE4" s="99">
        <f>ROUND(MAX((AD4)*{0.03;0.1;0.2;0.25;0.3;0.35;0.45}-{0;2520;16920;31920;52920;85920;181920},0),2)</f>
        <v>69.46</v>
      </c>
      <c r="AF4" s="100">
        <v>0</v>
      </c>
      <c r="AG4" s="100">
        <f>IF((AE4-AF4)&lt;0,0,AE4-AF4)</f>
        <v>69.46</v>
      </c>
      <c r="AH4" s="109">
        <f>ROUND(IF((L4-Q4-AG4)&lt;0,0,(L4-Q4-AG4)),2)</f>
        <v>7245.84</v>
      </c>
      <c r="AI4" s="108"/>
      <c r="AJ4" s="109">
        <f>AH4+AI4</f>
        <v>7245.84</v>
      </c>
      <c r="AK4" s="109"/>
      <c r="AL4" s="109">
        <f>AJ4+AG4+AK4</f>
        <v>7315.3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127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70">
        <f t="shared" ref="Q5:Q19" si="0">ROUND(SUM(M5:P5),2)</f>
        <v>655.8</v>
      </c>
      <c r="R5" s="70">
        <v>0</v>
      </c>
      <c r="S5" s="92">
        <f t="shared" ref="S5:S21" si="1">L5</f>
        <v>5700</v>
      </c>
      <c r="T5" s="93">
        <v>5000</v>
      </c>
      <c r="U5" s="93">
        <f t="shared" ref="U5:U21" si="2">Q5</f>
        <v>655.8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44.2</v>
      </c>
      <c r="AE5" s="99">
        <f>ROUND(MAX((AD5)*{0.03;0.1;0.2;0.25;0.3;0.35;0.45}-{0;2520;16920;31920;52920;85920;181920},0),2)</f>
        <v>1.33</v>
      </c>
      <c r="AF5" s="100">
        <v>0</v>
      </c>
      <c r="AG5" s="100">
        <f t="shared" ref="AG5:AG21" si="6">IF((AE5-AF5)&lt;0,0,AE5-AF5)</f>
        <v>1.33</v>
      </c>
      <c r="AH5" s="109">
        <f t="shared" ref="AH5:AH21" si="7">ROUND(IF((L5-Q5-AG5)&lt;0,0,(L5-Q5-AG5)),2)</f>
        <v>5042.87</v>
      </c>
      <c r="AI5" s="108"/>
      <c r="AJ5" s="109">
        <f t="shared" ref="AJ5:AJ21" si="8">AH5+AI5</f>
        <v>5042.87</v>
      </c>
      <c r="AK5" s="109"/>
      <c r="AL5" s="109">
        <f t="shared" ref="AL5:AL21" si="9">AJ5+AG5+AK5</f>
        <v>5044.2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127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70">
        <f t="shared" si="0"/>
        <v>948.55</v>
      </c>
      <c r="R6" s="70">
        <v>0</v>
      </c>
      <c r="S6" s="92">
        <f t="shared" si="1"/>
        <v>30060</v>
      </c>
      <c r="T6" s="93">
        <v>5000</v>
      </c>
      <c r="U6" s="93">
        <f t="shared" si="2"/>
        <v>948.55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24111.45</v>
      </c>
      <c r="AE6" s="99">
        <f>ROUND(MAX((AD6)*{0.03;0.1;0.2;0.25;0.3;0.35;0.45}-{0;2520;16920;31920;52920;85920;181920},0),2)</f>
        <v>723.34</v>
      </c>
      <c r="AF6" s="100">
        <v>0</v>
      </c>
      <c r="AG6" s="100">
        <f t="shared" si="6"/>
        <v>723.34</v>
      </c>
      <c r="AH6" s="109">
        <f t="shared" si="7"/>
        <v>28388.11</v>
      </c>
      <c r="AI6" s="108"/>
      <c r="AJ6" s="109">
        <f t="shared" si="8"/>
        <v>28388.11</v>
      </c>
      <c r="AK6" s="109"/>
      <c r="AL6" s="109">
        <f t="shared" si="9"/>
        <v>29111.45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127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70">
        <f t="shared" si="0"/>
        <v>527.71</v>
      </c>
      <c r="R7" s="70">
        <v>0</v>
      </c>
      <c r="S7" s="92">
        <f t="shared" si="1"/>
        <v>8000</v>
      </c>
      <c r="T7" s="93">
        <v>5000</v>
      </c>
      <c r="U7" s="93">
        <f t="shared" si="2"/>
        <v>527.71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2472.29</v>
      </c>
      <c r="AE7" s="99">
        <f>ROUND(MAX((AD7)*{0.03;0.1;0.2;0.25;0.3;0.35;0.45}-{0;2520;16920;31920;52920;85920;181920},0),2)</f>
        <v>74.17</v>
      </c>
      <c r="AF7" s="100">
        <v>0</v>
      </c>
      <c r="AG7" s="100">
        <f t="shared" si="6"/>
        <v>74.17</v>
      </c>
      <c r="AH7" s="109">
        <f t="shared" si="7"/>
        <v>7398.12</v>
      </c>
      <c r="AI7" s="108"/>
      <c r="AJ7" s="109">
        <f t="shared" si="8"/>
        <v>7398.12</v>
      </c>
      <c r="AK7" s="109"/>
      <c r="AL7" s="109">
        <f t="shared" si="9"/>
        <v>7472.29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127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 t="shared" si="1"/>
        <v>10500</v>
      </c>
      <c r="T8" s="93">
        <v>5000</v>
      </c>
      <c r="U8" s="93">
        <f t="shared" si="2"/>
        <v>772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4728</v>
      </c>
      <c r="AE8" s="99">
        <f>ROUND(MAX((AD8)*{0.03;0.1;0.2;0.25;0.3;0.35;0.45}-{0;2520;16920;31920;52920;85920;181920},0),2)</f>
        <v>141.84</v>
      </c>
      <c r="AF8" s="100">
        <v>0</v>
      </c>
      <c r="AG8" s="100">
        <f t="shared" si="6"/>
        <v>141.84</v>
      </c>
      <c r="AH8" s="109">
        <f t="shared" si="7"/>
        <v>9586.16</v>
      </c>
      <c r="AI8" s="108"/>
      <c r="AJ8" s="109">
        <f t="shared" si="8"/>
        <v>9586.16</v>
      </c>
      <c r="AK8" s="109"/>
      <c r="AL8" s="109">
        <f t="shared" si="9"/>
        <v>9728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127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70">
        <f t="shared" si="0"/>
        <v>503.31</v>
      </c>
      <c r="R9" s="70">
        <v>0</v>
      </c>
      <c r="S9" s="92">
        <f t="shared" si="1"/>
        <v>6500</v>
      </c>
      <c r="T9" s="93">
        <v>5000</v>
      </c>
      <c r="U9" s="93">
        <f t="shared" si="2"/>
        <v>503.31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996.69</v>
      </c>
      <c r="AE9" s="99">
        <f>ROUND(MAX((AD9)*{0.03;0.1;0.2;0.25;0.3;0.35;0.45}-{0;2520;16920;31920;52920;85920;181920},0),2)</f>
        <v>29.9</v>
      </c>
      <c r="AF9" s="100">
        <v>0</v>
      </c>
      <c r="AG9" s="100">
        <f t="shared" si="6"/>
        <v>29.9</v>
      </c>
      <c r="AH9" s="109">
        <f t="shared" si="7"/>
        <v>5966.79</v>
      </c>
      <c r="AI9" s="108"/>
      <c r="AJ9" s="109">
        <f t="shared" si="8"/>
        <v>5966.79</v>
      </c>
      <c r="AK9" s="109"/>
      <c r="AL9" s="109">
        <f t="shared" si="9"/>
        <v>5996.69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127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70">
        <f t="shared" si="0"/>
        <v>542.39</v>
      </c>
      <c r="R10" s="70">
        <v>0</v>
      </c>
      <c r="S10" s="92">
        <f t="shared" si="1"/>
        <v>5500</v>
      </c>
      <c r="T10" s="93">
        <v>5000</v>
      </c>
      <c r="U10" s="93">
        <f t="shared" si="2"/>
        <v>542.39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-42.39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4957.61</v>
      </c>
      <c r="AI10" s="108"/>
      <c r="AJ10" s="109">
        <f t="shared" si="8"/>
        <v>4957.61</v>
      </c>
      <c r="AK10" s="109"/>
      <c r="AL10" s="109">
        <f t="shared" si="9"/>
        <v>4957.61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127" t="s">
        <v>148</v>
      </c>
      <c r="G11" s="39" t="s">
        <v>170</v>
      </c>
      <c r="H11" s="40"/>
      <c r="I11" s="40"/>
      <c r="J11" s="69"/>
      <c r="K11" s="40"/>
      <c r="L11" s="70">
        <v>4525.84</v>
      </c>
      <c r="M11" s="71">
        <v>380.08</v>
      </c>
      <c r="N11" s="71">
        <v>117.02</v>
      </c>
      <c r="O11" s="71">
        <v>23.76</v>
      </c>
      <c r="P11" s="71">
        <v>109</v>
      </c>
      <c r="Q11" s="70">
        <f t="shared" si="0"/>
        <v>629.86</v>
      </c>
      <c r="R11" s="70">
        <v>0</v>
      </c>
      <c r="S11" s="92">
        <f t="shared" si="1"/>
        <v>4525.84</v>
      </c>
      <c r="T11" s="93">
        <v>5000</v>
      </c>
      <c r="U11" s="93">
        <f t="shared" si="2"/>
        <v>629.86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-1104.02</v>
      </c>
      <c r="AE11" s="99">
        <f>ROUND(MAX((AD11)*{0.03;0.1;0.2;0.25;0.3;0.35;0.45}-{0;2520;16920;31920;52920;85920;181920},0),2)</f>
        <v>0</v>
      </c>
      <c r="AF11" s="100">
        <v>0</v>
      </c>
      <c r="AG11" s="100">
        <f t="shared" si="6"/>
        <v>0</v>
      </c>
      <c r="AH11" s="109">
        <f t="shared" si="7"/>
        <v>3895.98</v>
      </c>
      <c r="AI11" s="108"/>
      <c r="AJ11" s="109">
        <f t="shared" si="8"/>
        <v>3895.98</v>
      </c>
      <c r="AK11" s="109"/>
      <c r="AL11" s="109">
        <f t="shared" si="9"/>
        <v>3895.98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127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70">
        <f t="shared" si="0"/>
        <v>559</v>
      </c>
      <c r="R12" s="70">
        <v>0</v>
      </c>
      <c r="S12" s="92">
        <f t="shared" si="1"/>
        <v>8500</v>
      </c>
      <c r="T12" s="93">
        <v>5000</v>
      </c>
      <c r="U12" s="93">
        <f t="shared" si="2"/>
        <v>559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2941</v>
      </c>
      <c r="AE12" s="99">
        <f>ROUND(MAX((AD12)*{0.03;0.1;0.2;0.25;0.3;0.35;0.45}-{0;2520;16920;31920;52920;85920;181920},0),2)</f>
        <v>88.23</v>
      </c>
      <c r="AF12" s="100">
        <v>0</v>
      </c>
      <c r="AG12" s="100">
        <f t="shared" si="6"/>
        <v>88.23</v>
      </c>
      <c r="AH12" s="109">
        <f t="shared" si="7"/>
        <v>7852.77</v>
      </c>
      <c r="AI12" s="108"/>
      <c r="AJ12" s="109">
        <f t="shared" si="8"/>
        <v>7852.77</v>
      </c>
      <c r="AK12" s="109"/>
      <c r="AL12" s="109">
        <f t="shared" si="9"/>
        <v>7941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127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70">
        <f t="shared" si="0"/>
        <v>772</v>
      </c>
      <c r="R13" s="70">
        <v>0</v>
      </c>
      <c r="S13" s="92">
        <f t="shared" si="1"/>
        <v>7000</v>
      </c>
      <c r="T13" s="93">
        <v>5000</v>
      </c>
      <c r="U13" s="93">
        <f t="shared" si="2"/>
        <v>772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1228</v>
      </c>
      <c r="AE13" s="99">
        <f>ROUND(MAX((AD13)*{0.03;0.1;0.2;0.25;0.3;0.35;0.45}-{0;2520;16920;31920;52920;85920;181920},0),2)</f>
        <v>36.84</v>
      </c>
      <c r="AF13" s="100">
        <v>0</v>
      </c>
      <c r="AG13" s="100">
        <f t="shared" si="6"/>
        <v>36.84</v>
      </c>
      <c r="AH13" s="109">
        <f t="shared" si="7"/>
        <v>6191.16</v>
      </c>
      <c r="AI13" s="108"/>
      <c r="AJ13" s="109">
        <f t="shared" si="8"/>
        <v>6191.16</v>
      </c>
      <c r="AK13" s="109"/>
      <c r="AL13" s="109">
        <f t="shared" si="9"/>
        <v>6228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127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70">
        <f t="shared" si="0"/>
        <v>772</v>
      </c>
      <c r="R14" s="70">
        <v>0</v>
      </c>
      <c r="S14" s="92">
        <f t="shared" si="1"/>
        <v>7000</v>
      </c>
      <c r="T14" s="93">
        <v>5000</v>
      </c>
      <c r="U14" s="93">
        <f t="shared" si="2"/>
        <v>772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1228</v>
      </c>
      <c r="AE14" s="99">
        <f>ROUND(MAX((AD14)*{0.03;0.1;0.2;0.25;0.3;0.35;0.45}-{0;2520;16920;31920;52920;85920;181920},0),2)</f>
        <v>36.84</v>
      </c>
      <c r="AF14" s="100">
        <v>0</v>
      </c>
      <c r="AG14" s="100">
        <f t="shared" si="6"/>
        <v>36.84</v>
      </c>
      <c r="AH14" s="109">
        <f t="shared" si="7"/>
        <v>6191.16</v>
      </c>
      <c r="AI14" s="108"/>
      <c r="AJ14" s="109">
        <f t="shared" si="8"/>
        <v>6191.16</v>
      </c>
      <c r="AK14" s="109"/>
      <c r="AL14" s="109">
        <f t="shared" si="9"/>
        <v>6228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127" t="s">
        <v>148</v>
      </c>
      <c r="G15" s="39" t="s">
        <v>181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70">
        <f t="shared" si="0"/>
        <v>559</v>
      </c>
      <c r="R15" s="70">
        <v>0</v>
      </c>
      <c r="S15" s="92">
        <f t="shared" si="1"/>
        <v>7000</v>
      </c>
      <c r="T15" s="93">
        <v>5000</v>
      </c>
      <c r="U15" s="93">
        <f t="shared" si="2"/>
        <v>559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1441</v>
      </c>
      <c r="AE15" s="99">
        <f>ROUND(MAX((AD15)*{0.03;0.1;0.2;0.25;0.3;0.35;0.45}-{0;2520;16920;31920;52920;85920;181920},0),2)</f>
        <v>43.23</v>
      </c>
      <c r="AF15" s="100">
        <v>0</v>
      </c>
      <c r="AG15" s="100">
        <f t="shared" si="6"/>
        <v>43.23</v>
      </c>
      <c r="AH15" s="109">
        <f t="shared" si="7"/>
        <v>6397.77</v>
      </c>
      <c r="AI15" s="108"/>
      <c r="AJ15" s="109">
        <f t="shared" si="8"/>
        <v>6397.77</v>
      </c>
      <c r="AK15" s="109"/>
      <c r="AL15" s="109">
        <f t="shared" si="9"/>
        <v>6441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127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89.09</v>
      </c>
      <c r="O16" s="71">
        <v>20.1</v>
      </c>
      <c r="P16" s="71">
        <v>97</v>
      </c>
      <c r="Q16" s="70">
        <f t="shared" si="0"/>
        <v>527.71</v>
      </c>
      <c r="R16" s="70">
        <v>0</v>
      </c>
      <c r="S16" s="92">
        <f t="shared" si="1"/>
        <v>6060</v>
      </c>
      <c r="T16" s="93">
        <v>5000</v>
      </c>
      <c r="U16" s="93">
        <f t="shared" si="2"/>
        <v>527.71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532.29</v>
      </c>
      <c r="AE16" s="99">
        <f>ROUND(MAX((AD16)*{0.03;0.1;0.2;0.25;0.3;0.35;0.45}-{0;2520;16920;31920;52920;85920;181920},0),2)</f>
        <v>15.97</v>
      </c>
      <c r="AF16" s="100">
        <v>0</v>
      </c>
      <c r="AG16" s="100">
        <f t="shared" si="6"/>
        <v>15.97</v>
      </c>
      <c r="AH16" s="109">
        <f t="shared" si="7"/>
        <v>5516.32</v>
      </c>
      <c r="AI16" s="108"/>
      <c r="AJ16" s="109">
        <f t="shared" si="8"/>
        <v>5516.32</v>
      </c>
      <c r="AK16" s="109"/>
      <c r="AL16" s="109">
        <f t="shared" si="9"/>
        <v>5532.29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127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-301.6</v>
      </c>
      <c r="N17" s="71">
        <v>-90.4</v>
      </c>
      <c r="O17" s="71">
        <v>-11.31</v>
      </c>
      <c r="P17" s="71">
        <v>-175</v>
      </c>
      <c r="Q17" s="70">
        <f t="shared" si="0"/>
        <v>-578.31</v>
      </c>
      <c r="R17" s="70">
        <v>0</v>
      </c>
      <c r="S17" s="92">
        <f t="shared" si="1"/>
        <v>6560</v>
      </c>
      <c r="T17" s="93">
        <v>5000</v>
      </c>
      <c r="U17" s="93">
        <f t="shared" si="2"/>
        <v>-578.31</v>
      </c>
      <c r="V17" s="70"/>
      <c r="W17" s="70"/>
      <c r="X17" s="70"/>
      <c r="Y17" s="70"/>
      <c r="Z17" s="70"/>
      <c r="AA17" s="70"/>
      <c r="AB17" s="92">
        <f t="shared" si="3"/>
        <v>0</v>
      </c>
      <c r="AC17" s="92">
        <f t="shared" si="4"/>
        <v>0</v>
      </c>
      <c r="AD17" s="98">
        <f t="shared" si="5"/>
        <v>2138.31</v>
      </c>
      <c r="AE17" s="99">
        <f>ROUND(MAX((AD17)*{0.03;0.1;0.2;0.25;0.3;0.35;0.45}-{0;2520;16920;31920;52920;85920;181920},0),2)</f>
        <v>64.15</v>
      </c>
      <c r="AF17" s="100">
        <v>0</v>
      </c>
      <c r="AG17" s="100">
        <f t="shared" si="6"/>
        <v>64.15</v>
      </c>
      <c r="AH17" s="109">
        <f t="shared" si="7"/>
        <v>7074.16</v>
      </c>
      <c r="AI17" s="108"/>
      <c r="AJ17" s="109">
        <f t="shared" si="8"/>
        <v>7074.16</v>
      </c>
      <c r="AK17" s="109"/>
      <c r="AL17" s="109">
        <f t="shared" si="9"/>
        <v>7138.31</v>
      </c>
      <c r="AM17" s="109"/>
      <c r="AN17" s="109"/>
      <c r="AO17" s="109"/>
      <c r="AP17" s="109"/>
      <c r="AQ17" s="109"/>
      <c r="AR17" s="117" t="str">
        <f t="shared" si="10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127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70">
        <f t="shared" si="0"/>
        <v>525</v>
      </c>
      <c r="R18" s="70">
        <v>0</v>
      </c>
      <c r="S18" s="92">
        <f t="shared" si="1"/>
        <v>6000</v>
      </c>
      <c r="T18" s="93">
        <v>5000</v>
      </c>
      <c r="U18" s="93">
        <f t="shared" si="2"/>
        <v>525</v>
      </c>
      <c r="V18" s="70"/>
      <c r="W18" s="70"/>
      <c r="X18" s="70"/>
      <c r="Y18" s="70"/>
      <c r="Z18" s="70"/>
      <c r="AA18" s="70"/>
      <c r="AB18" s="92">
        <f t="shared" si="3"/>
        <v>0</v>
      </c>
      <c r="AC18" s="92">
        <f t="shared" si="4"/>
        <v>0</v>
      </c>
      <c r="AD18" s="98">
        <f t="shared" si="5"/>
        <v>475</v>
      </c>
      <c r="AE18" s="99">
        <f>ROUND(MAX((AD18)*{0.03;0.1;0.2;0.25;0.3;0.35;0.45}-{0;2520;16920;31920;52920;85920;181920},0),2)</f>
        <v>14.25</v>
      </c>
      <c r="AF18" s="100">
        <v>0</v>
      </c>
      <c r="AG18" s="100">
        <f t="shared" si="6"/>
        <v>14.25</v>
      </c>
      <c r="AH18" s="109">
        <f t="shared" si="7"/>
        <v>5460.75</v>
      </c>
      <c r="AI18" s="108"/>
      <c r="AJ18" s="109">
        <f t="shared" si="8"/>
        <v>5460.75</v>
      </c>
      <c r="AK18" s="109"/>
      <c r="AL18" s="109">
        <f t="shared" si="9"/>
        <v>5475</v>
      </c>
      <c r="AM18" s="109"/>
      <c r="AN18" s="109"/>
      <c r="AO18" s="109"/>
      <c r="AP18" s="109"/>
      <c r="AQ18" s="109"/>
      <c r="AR18" s="117" t="str">
        <f t="shared" si="10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1"/>
      <c r="B19" s="42" t="s">
        <v>192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126905.84</v>
      </c>
      <c r="M19" s="74">
        <f t="shared" si="13"/>
        <v>4608.66</v>
      </c>
      <c r="N19" s="74">
        <f t="shared" si="13"/>
        <v>1398.38</v>
      </c>
      <c r="O19" s="74">
        <f t="shared" si="13"/>
        <v>258.28</v>
      </c>
      <c r="P19" s="74">
        <f t="shared" si="13"/>
        <v>2135.4</v>
      </c>
      <c r="Q19" s="74">
        <f t="shared" si="13"/>
        <v>8400.72</v>
      </c>
      <c r="R19" s="74">
        <f t="shared" si="13"/>
        <v>0</v>
      </c>
      <c r="S19" s="74">
        <f t="shared" si="13"/>
        <v>126905.84</v>
      </c>
      <c r="T19" s="74">
        <f t="shared" si="13"/>
        <v>75000</v>
      </c>
      <c r="U19" s="74">
        <f t="shared" si="13"/>
        <v>8400.72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43505.12</v>
      </c>
      <c r="AE19" s="74">
        <f t="shared" si="13"/>
        <v>1339.55</v>
      </c>
      <c r="AF19" s="74">
        <f t="shared" si="13"/>
        <v>0</v>
      </c>
      <c r="AG19" s="74">
        <f t="shared" si="13"/>
        <v>1339.55</v>
      </c>
      <c r="AH19" s="74">
        <f t="shared" si="13"/>
        <v>117165.57</v>
      </c>
      <c r="AI19" s="126">
        <f t="shared" si="13"/>
        <v>0</v>
      </c>
      <c r="AJ19" s="74">
        <f t="shared" si="13"/>
        <v>117165.57</v>
      </c>
      <c r="AK19" s="74">
        <f t="shared" si="13"/>
        <v>0</v>
      </c>
      <c r="AL19" s="74">
        <f t="shared" si="13"/>
        <v>118505.12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193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117165.57</v>
      </c>
      <c r="C24" s="48">
        <f>AG19</f>
        <v>1339.55</v>
      </c>
      <c r="D24" s="48">
        <f>AK19</f>
        <v>0</v>
      </c>
      <c r="E24" s="48">
        <f>B24+C24+D24</f>
        <v>118505.12</v>
      </c>
    </row>
    <row r="25" spans="2:5">
      <c r="B25" s="49"/>
      <c r="C25" s="49"/>
      <c r="D25" s="49"/>
      <c r="E25" s="49"/>
    </row>
    <row r="26" s="14" customFormat="1" spans="1:35">
      <c r="A26" s="51" t="s">
        <v>194</v>
      </c>
      <c r="B26" s="52" t="s">
        <v>195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196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197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198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199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200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201</v>
      </c>
    </row>
    <row r="34" spans="2:2">
      <c r="B34" s="59" t="s">
        <v>202</v>
      </c>
    </row>
    <row r="35" spans="2:2">
      <c r="B35" s="59" t="s">
        <v>203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9" si="0">ROUND(SUM(M4:P4),2)</f>
        <v>588.3</v>
      </c>
      <c r="R4" s="70">
        <v>0</v>
      </c>
      <c r="S4" s="90">
        <f>L4+IFERROR(VLOOKUP($E:$E,'（居民）工资表-11月'!$E:$S,15,0),0)</f>
        <v>96000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7130.3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69.7</v>
      </c>
      <c r="AE4" s="96">
        <f>ROUND(MAX((AD4)*{0.03;0.1;0.2;0.25;0.3;0.35;0.45}-{0;2520;16920;31920;52920;85920;181920},0),2)</f>
        <v>2.09</v>
      </c>
      <c r="AF4" s="97">
        <f>IFERROR(VLOOKUP(E:E,'（居民）工资表-11月'!E:AF,28,0)+VLOOKUP(E:E,'（居民）工资表-11月'!E:AG,29,0),0)</f>
        <v>793.74</v>
      </c>
      <c r="AG4" s="97">
        <f t="shared" ref="AG4:AG19" si="3">IF((AE4-AF4)&lt;0,0,AE4-AF4)</f>
        <v>0</v>
      </c>
      <c r="AH4" s="107">
        <f t="shared" ref="AH4:AH19" si="4">ROUND(IF((L4-Q4-AG4)&lt;0,0,(L4-Q4-AG4)),2)</f>
        <v>7411.7</v>
      </c>
      <c r="AI4" s="108"/>
      <c r="AJ4" s="107">
        <f t="shared" ref="AJ4:AJ19" si="5">AH4+AI4</f>
        <v>7411.7</v>
      </c>
      <c r="AK4" s="109"/>
      <c r="AL4" s="107">
        <f t="shared" ref="AL4:AL19" si="6">AJ4+AG4+AK4</f>
        <v>7411.7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IF(SUMPRODUCT(N(E$1:E$20=E4))&gt;1,"重复","不")</f>
        <v>不</v>
      </c>
      <c r="AT4" s="116" t="str">
        <f>IF(SUMPRODUCT(N(AO$1:AO$20=AO4))&gt;1,"重复","不")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L5+IFERROR(VLOOKUP($E:$E,'（居民）工资表-11月'!$E:$S,15,0),0)</f>
        <v>68400</v>
      </c>
      <c r="T5" s="91">
        <f>5000+IFERROR(VLOOKUP($E:$E,'（居民）工资表-11月'!$E:$T,16,0),0)</f>
        <v>60000</v>
      </c>
      <c r="U5" s="91">
        <f>Q5+IFERROR(VLOOKUP($E:$E,'（居民）工资表-11月'!$E:$U,17,0),0)</f>
        <v>7846.12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553.88</v>
      </c>
      <c r="AE5" s="96">
        <f>ROUND(MAX((AD5)*{0.03;0.1;0.2;0.25;0.3;0.35;0.45}-{0;2520;16920;31920;52920;85920;181920},0),2)</f>
        <v>16.62</v>
      </c>
      <c r="AF5" s="97">
        <f>IFERROR(VLOOKUP(E:E,'（居民）工资表-11月'!E:AF,28,0)+VLOOKUP(E:E,'（居民）工资表-11月'!E:AG,29,0),0)</f>
        <v>15.29</v>
      </c>
      <c r="AG5" s="97">
        <f t="shared" si="3"/>
        <v>1.33</v>
      </c>
      <c r="AH5" s="107">
        <f t="shared" si="4"/>
        <v>5042.87</v>
      </c>
      <c r="AI5" s="108"/>
      <c r="AJ5" s="107">
        <f t="shared" si="5"/>
        <v>5042.87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IF(SUMPRODUCT(N(E$1:E$20=E5))&gt;1,"重复","不")</f>
        <v>不</v>
      </c>
      <c r="AT5" s="116" t="str">
        <f>IF(SUMPRODUCT(N(AO$1:AO$20=AO5))&gt;1,"重复","不")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L6+IFERROR(VLOOKUP($E:$E,'（居民）工资表-11月'!$E:$S,15,0),0)</f>
        <v>366220</v>
      </c>
      <c r="T6" s="91">
        <f>5000+IFERROR(VLOOKUP($E:$E,'（居民）工资表-11月'!$E:$T,16,0),0)</f>
        <v>60000</v>
      </c>
      <c r="U6" s="91">
        <f>Q6+IFERROR(VLOOKUP($E:$E,'（居民）工资表-11月'!$E:$U,17,0),0)</f>
        <v>11300.85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294919.15</v>
      </c>
      <c r="AE6" s="96">
        <f>ROUND(MAX((AD6)*{0.03;0.1;0.2;0.25;0.3;0.35;0.45}-{0;2520;16920;31920;52920;85920;181920},0),2)</f>
        <v>42063.83</v>
      </c>
      <c r="AF6" s="97">
        <f>IFERROR(VLOOKUP(E:E,'（居民）工资表-11月'!E:AF,28,0)+VLOOKUP(E:E,'（居民）工资表-11月'!E:AG,29,0),0)</f>
        <v>37241.54</v>
      </c>
      <c r="AG6" s="97">
        <f t="shared" si="3"/>
        <v>4822.29</v>
      </c>
      <c r="AH6" s="107">
        <f t="shared" si="4"/>
        <v>24289.16</v>
      </c>
      <c r="AI6" s="108"/>
      <c r="AJ6" s="107">
        <f t="shared" si="5"/>
        <v>24289.16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IF(SUMPRODUCT(N(E$1:E$20=E6))&gt;1,"重复","不")</f>
        <v>不</v>
      </c>
      <c r="AT6" s="116" t="str">
        <f>IF(SUMPRODUCT(N(AO$1:AO$20=AO6))&gt;1,"重复","不")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9520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L7+IFERROR(VLOOKUP($E:$E,'（居民）工资表-11月'!$E:$S,15,0),0)</f>
        <v>102220</v>
      </c>
      <c r="T7" s="91">
        <f>5000+IFERROR(VLOOKUP($E:$E,'（居民）工资表-11月'!$E:$T,16,0),0)</f>
        <v>60000</v>
      </c>
      <c r="U7" s="91">
        <f>Q7+IFERROR(VLOOKUP($E:$E,'（居民）工资表-11月'!$E:$U,17,0),0)</f>
        <v>6448.18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35771.82</v>
      </c>
      <c r="AE7" s="96">
        <f>ROUND(MAX((AD7)*{0.03;0.1;0.2;0.25;0.3;0.35;0.45}-{0;2520;16920;31920;52920;85920;181920},0),2)</f>
        <v>1073.15</v>
      </c>
      <c r="AF7" s="97">
        <f>IFERROR(VLOOKUP(E:E,'（居民）工资表-11月'!E:AF,28,0)+VLOOKUP(E:E,'（居民）工资表-11月'!E:AG,29,0),0)</f>
        <v>953.39</v>
      </c>
      <c r="AG7" s="97">
        <f t="shared" si="3"/>
        <v>119.76</v>
      </c>
      <c r="AH7" s="107">
        <f t="shared" si="4"/>
        <v>8872.53</v>
      </c>
      <c r="AI7" s="108"/>
      <c r="AJ7" s="107">
        <f t="shared" si="5"/>
        <v>8872.53</v>
      </c>
      <c r="AK7" s="109"/>
      <c r="AL7" s="107">
        <f t="shared" si="6"/>
        <v>8992.29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IF(SUMPRODUCT(N(E$1:E$20=E7))&gt;1,"重复","不")</f>
        <v>不</v>
      </c>
      <c r="AT7" s="116" t="str">
        <f>IF(SUMPRODUCT(N(AO$1:AO$20=AO7))&gt;1,"重复","不")</f>
        <v>重复</v>
      </c>
      <c r="AU7" s="12" t="s">
        <v>152</v>
      </c>
      <c r="AV7" s="12" t="s">
        <v>153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L8+IFERROR(VLOOKUP($E:$E,'（居民）工资表-11月'!$E:$S,15,0),0)</f>
        <v>127300</v>
      </c>
      <c r="T8" s="91">
        <f>5000+IFERROR(VLOOKUP($E:$E,'（居民）工资表-11月'!$E:$T,16,0),0)</f>
        <v>60000</v>
      </c>
      <c r="U8" s="91">
        <f>Q8+IFERROR(VLOOKUP($E:$E,'（居民）工资表-11月'!$E:$U,17,0),0)</f>
        <v>8865.79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58434.21</v>
      </c>
      <c r="AE8" s="96">
        <f>ROUND(MAX((AD8)*{0.03;0.1;0.2;0.25;0.3;0.35;0.45}-{0;2520;16920;31920;52920;85920;181920},0),2)</f>
        <v>3323.42</v>
      </c>
      <c r="AF8" s="97">
        <f>IFERROR(VLOOKUP(E:E,'（居民）工资表-11月'!E:AF,28,0)+VLOOKUP(E:E,'（居民）工资表-11月'!E:AG,29,0),0)</f>
        <v>2850.62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IF(SUMPRODUCT(N(E$1:E$20=E8))&gt;1,"重复","不")</f>
        <v>不</v>
      </c>
      <c r="AT8" s="116" t="str">
        <f>IF(SUMPRODUCT(N(AO$1:AO$20=AO8))&gt;1,"重复","不")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89">
        <f t="shared" si="0"/>
        <v>503.31</v>
      </c>
      <c r="R9" s="70">
        <v>0</v>
      </c>
      <c r="S9" s="90">
        <f>L9+IFERROR(VLOOKUP($E:$E,'（居民）工资表-11月'!$E:$S,15,0),0)</f>
        <v>78000</v>
      </c>
      <c r="T9" s="91">
        <f>5000+IFERROR(VLOOKUP($E:$E,'（居民）工资表-11月'!$E:$T,16,0),0)</f>
        <v>60000</v>
      </c>
      <c r="U9" s="91">
        <f>Q9+IFERROR(VLOOKUP($E:$E,'（居民）工资表-11月'!$E:$U,17,0),0)</f>
        <v>6086.17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11913.83</v>
      </c>
      <c r="AE9" s="96">
        <f>ROUND(MAX((AD9)*{0.03;0.1;0.2;0.25;0.3;0.35;0.45}-{0;2520;16920;31920;52920;85920;181920},0),2)</f>
        <v>357.41</v>
      </c>
      <c r="AF9" s="97">
        <f>IFERROR(VLOOKUP(E:E,'（居民）工资表-11月'!E:AF,28,0)+VLOOKUP(E:E,'（居民）工资表-11月'!E:AG,29,0),0)</f>
        <v>327.51</v>
      </c>
      <c r="AG9" s="97">
        <f t="shared" si="3"/>
        <v>29.9</v>
      </c>
      <c r="AH9" s="107">
        <f t="shared" si="4"/>
        <v>5966.79</v>
      </c>
      <c r="AI9" s="108"/>
      <c r="AJ9" s="107">
        <f t="shared" si="5"/>
        <v>5966.79</v>
      </c>
      <c r="AK9" s="109"/>
      <c r="AL9" s="107">
        <f t="shared" si="6"/>
        <v>5996.69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IF(SUMPRODUCT(N(E$1:E$20=E9))&gt;1,"重复","不")</f>
        <v>不</v>
      </c>
      <c r="AT9" s="116" t="str">
        <f>IF(SUMPRODUCT(N(AO$1:AO$20=AO9))&gt;1,"重复","不")</f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L10+IFERROR(VLOOKUP($E:$E,'（居民）工资表-11月'!$E:$S,15,0),0)</f>
        <v>38500</v>
      </c>
      <c r="T10" s="91">
        <f>5000+IFERROR(VLOOKUP($E:$E,'（居民）工资表-11月'!$E:$T,16,0),0)</f>
        <v>35000</v>
      </c>
      <c r="U10" s="91">
        <f>Q10+IFERROR(VLOOKUP($E:$E,'（居民）工资表-11月'!$E:$U,17,0),0)</f>
        <v>3898.18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-398.18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IF(SUMPRODUCT(N(E$1:E$20=E10))&gt;1,"重复","不")</f>
        <v>不</v>
      </c>
      <c r="AT10" s="116" t="str">
        <f>IF(SUMPRODUCT(N(AO$1:AO$20=AO10))&gt;1,"重复","不")</f>
        <v>重复</v>
      </c>
      <c r="AU10" s="12" t="s">
        <v>162</v>
      </c>
      <c r="AV10" s="12" t="s">
        <v>51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4162.8</v>
      </c>
      <c r="M11" s="71">
        <v>492.4</v>
      </c>
      <c r="N11" s="71">
        <v>144.1</v>
      </c>
      <c r="O11" s="71">
        <v>30.78</v>
      </c>
      <c r="P11" s="71">
        <v>109</v>
      </c>
      <c r="Q11" s="89">
        <f t="shared" si="0"/>
        <v>776.28</v>
      </c>
      <c r="R11" s="70">
        <v>0</v>
      </c>
      <c r="S11" s="90">
        <f>L11+IFERROR(VLOOKUP($E:$E,'（居民）工资表-11月'!$E:$S,15,0),0)</f>
        <v>54384.8</v>
      </c>
      <c r="T11" s="91">
        <f>5000+IFERROR(VLOOKUP($E:$E,'（居民）工资表-11月'!$E:$T,16,0),0)</f>
        <v>60000</v>
      </c>
      <c r="U11" s="91">
        <f>Q11+IFERROR(VLOOKUP($E:$E,'（居民）工资表-11月'!$E:$U,17,0),0)</f>
        <v>7482.58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-13097.78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3"/>
        <v>0</v>
      </c>
      <c r="AH11" s="107">
        <f t="shared" si="4"/>
        <v>3386.52</v>
      </c>
      <c r="AI11" s="108"/>
      <c r="AJ11" s="107">
        <f t="shared" si="5"/>
        <v>3386.52</v>
      </c>
      <c r="AK11" s="109"/>
      <c r="AL11" s="107">
        <f t="shared" si="6"/>
        <v>3386.52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IF(SUMPRODUCT(N(E$1:E$20=E11))&gt;1,"重复","不")</f>
        <v>不</v>
      </c>
      <c r="AT11" s="116" t="str">
        <f>IF(SUMPRODUCT(N(AO$1:AO$20=AO11))&gt;1,"重复","不")</f>
        <v>重复</v>
      </c>
      <c r="AU11" s="12" t="s">
        <v>166</v>
      </c>
      <c r="AV11" s="12" t="s">
        <v>167</v>
      </c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89">
        <f t="shared" si="0"/>
        <v>559</v>
      </c>
      <c r="R12" s="70">
        <v>0</v>
      </c>
      <c r="S12" s="90">
        <f>L12+IFERROR(VLOOKUP($E:$E,'（居民）工资表-11月'!$E:$S,15,0),0)</f>
        <v>110100</v>
      </c>
      <c r="T12" s="91">
        <f>5000+IFERROR(VLOOKUP($E:$E,'（居民）工资表-11月'!$E:$T,16,0),0)</f>
        <v>60000</v>
      </c>
      <c r="U12" s="91">
        <f>Q12+IFERROR(VLOOKUP($E:$E,'（居民）工资表-11月'!$E:$U,17,0),0)</f>
        <v>6813.34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43286.66</v>
      </c>
      <c r="AE12" s="96">
        <f>ROUND(MAX((AD12)*{0.03;0.1;0.2;0.25;0.3;0.35;0.45}-{0;2520;16920;31920;52920;85920;181920},0),2)</f>
        <v>1808.67</v>
      </c>
      <c r="AF12" s="97">
        <f>IFERROR(VLOOKUP(E:E,'（居民）工资表-11月'!E:AF,28,0)+VLOOKUP(E:E,'（居民）工资表-11月'!E:AG,29,0),0)</f>
        <v>1514.57</v>
      </c>
      <c r="AG12" s="97">
        <f t="shared" si="3"/>
        <v>294.1</v>
      </c>
      <c r="AH12" s="107">
        <f t="shared" si="4"/>
        <v>7646.9</v>
      </c>
      <c r="AI12" s="108"/>
      <c r="AJ12" s="107">
        <f t="shared" si="5"/>
        <v>7646.9</v>
      </c>
      <c r="AK12" s="109"/>
      <c r="AL12" s="107">
        <f t="shared" si="6"/>
        <v>7941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IF(SUMPRODUCT(N(E$1:E$20=E12))&gt;1,"重复","不")</f>
        <v>不</v>
      </c>
      <c r="AT12" s="116" t="str">
        <f>IF(SUMPRODUCT(N(AO$1:AO$20=AO12))&gt;1,"重复","不")</f>
        <v>重复</v>
      </c>
      <c r="AU12" s="12" t="s">
        <v>171</v>
      </c>
      <c r="AV12" s="12" t="s">
        <v>172</v>
      </c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L13+IFERROR(VLOOKUP($E:$E,'（居民）工资表-11月'!$E:$S,15,0),0)</f>
        <v>90862.05</v>
      </c>
      <c r="T13" s="91">
        <f>5000+IFERROR(VLOOKUP($E:$E,'（居民）工资表-11月'!$E:$T,16,0),0)</f>
        <v>60000</v>
      </c>
      <c r="U13" s="91">
        <f>Q13+IFERROR(VLOOKUP($E:$E,'（居民）工资表-11月'!$E:$U,17,0),0)</f>
        <v>8865.79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21996.26</v>
      </c>
      <c r="AE13" s="96">
        <f>ROUND(MAX((AD13)*{0.03;0.1;0.2;0.25;0.3;0.35;0.45}-{0;2520;16920;31920;52920;85920;181920},0),2)</f>
        <v>659.89</v>
      </c>
      <c r="AF13" s="97">
        <f>IFERROR(VLOOKUP(E:E,'（居民）工资表-11月'!E:AF,28,0)+VLOOKUP(E:E,'（居民）工资表-11月'!E:AG,29,0),0)</f>
        <v>623.05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IF(SUMPRODUCT(N(E$1:E$20=E13))&gt;1,"重复","不")</f>
        <v>不</v>
      </c>
      <c r="AT13" s="116" t="str">
        <f>IF(SUMPRODUCT(N(AO$1:AO$20=AO13))&gt;1,"重复","不")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89">
        <f t="shared" si="0"/>
        <v>772</v>
      </c>
      <c r="R14" s="70">
        <v>0</v>
      </c>
      <c r="S14" s="90">
        <f>L14+IFERROR(VLOOKUP($E:$E,'（居民）工资表-11月'!$E:$S,15,0),0)</f>
        <v>96208.7</v>
      </c>
      <c r="T14" s="91">
        <f>5000+IFERROR(VLOOKUP($E:$E,'（居民）工资表-11月'!$E:$T,16,0),0)</f>
        <v>60000</v>
      </c>
      <c r="U14" s="91">
        <f>Q14+IFERROR(VLOOKUP($E:$E,'（居民）工资表-11月'!$E:$U,17,0),0)</f>
        <v>8865.79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27342.91</v>
      </c>
      <c r="AE14" s="96">
        <f>ROUND(MAX((AD14)*{0.03;0.1;0.2;0.25;0.3;0.35;0.45}-{0;2520;16920;31920;52920;85920;181920},0),2)</f>
        <v>820.29</v>
      </c>
      <c r="AF14" s="97">
        <f>IFERROR(VLOOKUP(E:E,'（居民）工资表-11月'!E:AF,28,0)+VLOOKUP(E:E,'（居民）工资表-11月'!E:AG,29,0),0)</f>
        <v>783.45</v>
      </c>
      <c r="AG14" s="97">
        <f t="shared" si="3"/>
        <v>36.8399999999999</v>
      </c>
      <c r="AH14" s="107">
        <f t="shared" si="4"/>
        <v>6191.16</v>
      </c>
      <c r="AI14" s="108"/>
      <c r="AJ14" s="107">
        <f t="shared" si="5"/>
        <v>6191.16</v>
      </c>
      <c r="AK14" s="109"/>
      <c r="AL14" s="107">
        <f t="shared" si="6"/>
        <v>6228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IF(SUMPRODUCT(N(E$1:E$20=E14))&gt;1,"重复","不")</f>
        <v>不</v>
      </c>
      <c r="AT14" s="116" t="str">
        <f>IF(SUMPRODUCT(N(AO$1:AO$20=AO14))&gt;1,"重复","不")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89">
        <f t="shared" si="0"/>
        <v>559</v>
      </c>
      <c r="R15" s="70">
        <v>0</v>
      </c>
      <c r="S15" s="90">
        <f>L15+IFERROR(VLOOKUP($E:$E,'（居民）工资表-11月'!$E:$S,15,0),0)</f>
        <v>88500</v>
      </c>
      <c r="T15" s="91">
        <f>5000+IFERROR(VLOOKUP($E:$E,'（居民）工资表-11月'!$E:$T,16,0),0)</f>
        <v>60000</v>
      </c>
      <c r="U15" s="91">
        <f>Q15+IFERROR(VLOOKUP($E:$E,'（居民）工资表-11月'!$E:$U,17,0),0)</f>
        <v>6813.34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21686.66</v>
      </c>
      <c r="AE15" s="96">
        <f>ROUND(MAX((AD15)*{0.03;0.1;0.2;0.25;0.3;0.35;0.45}-{0;2520;16920;31920;52920;85920;181920},0),2)</f>
        <v>650.6</v>
      </c>
      <c r="AF15" s="97">
        <f>IFERROR(VLOOKUP(E:E,'（居民）工资表-11月'!E:AF,28,0)+VLOOKUP(E:E,'（居民）工资表-11月'!E:AG,29,0),0)</f>
        <v>607.37</v>
      </c>
      <c r="AG15" s="97">
        <f t="shared" si="3"/>
        <v>43.23</v>
      </c>
      <c r="AH15" s="107">
        <f t="shared" si="4"/>
        <v>6397.77</v>
      </c>
      <c r="AI15" s="108"/>
      <c r="AJ15" s="107">
        <f t="shared" si="5"/>
        <v>6397.77</v>
      </c>
      <c r="AK15" s="109"/>
      <c r="AL15" s="107">
        <f t="shared" si="6"/>
        <v>6441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IF(SUMPRODUCT(N(E$1:E$20=E15))&gt;1,"重复","不")</f>
        <v>不</v>
      </c>
      <c r="AT15" s="116" t="str">
        <f>IF(SUMPRODUCT(N(AO$1:AO$20=AO15))&gt;1,"重复","不")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12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6380</v>
      </c>
      <c r="M16" s="71">
        <v>321.52</v>
      </c>
      <c r="N16" s="71">
        <v>89.09</v>
      </c>
      <c r="O16" s="71">
        <v>20.1</v>
      </c>
      <c r="P16" s="71">
        <v>97</v>
      </c>
      <c r="Q16" s="89">
        <f t="shared" si="0"/>
        <v>527.71</v>
      </c>
      <c r="R16" s="70">
        <v>0</v>
      </c>
      <c r="S16" s="90">
        <f>L16+IFERROR(VLOOKUP($E:$E,'（居民）工资表-11月'!$E:$S,15,0),0)</f>
        <v>78701.74</v>
      </c>
      <c r="T16" s="91">
        <f>5000+IFERROR(VLOOKUP($E:$E,'（居民）工资表-11月'!$E:$T,16,0),0)</f>
        <v>60000</v>
      </c>
      <c r="U16" s="91">
        <f>Q16+IFERROR(VLOOKUP($E:$E,'（居民）工资表-11月'!$E:$U,17,0),0)</f>
        <v>6448.18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12253.56</v>
      </c>
      <c r="AE16" s="96">
        <f>ROUND(MAX((AD16)*{0.03;0.1;0.2;0.25;0.3;0.35;0.45}-{0;2520;16920;31920;52920;85920;181920},0),2)</f>
        <v>367.61</v>
      </c>
      <c r="AF16" s="97">
        <f>IFERROR(VLOOKUP(E:E,'（居民）工资表-11月'!E:AF,28,0)+VLOOKUP(E:E,'（居民）工资表-11月'!E:AG,29,0),0)</f>
        <v>342.04</v>
      </c>
      <c r="AG16" s="97">
        <f t="shared" si="3"/>
        <v>25.57</v>
      </c>
      <c r="AH16" s="107">
        <f t="shared" si="4"/>
        <v>5826.72</v>
      </c>
      <c r="AI16" s="108"/>
      <c r="AJ16" s="107">
        <f t="shared" si="5"/>
        <v>5826.72</v>
      </c>
      <c r="AK16" s="109"/>
      <c r="AL16" s="107">
        <f t="shared" si="6"/>
        <v>5852.29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IF(SUMPRODUCT(N(E$1:E$20=E16))&gt;1,"重复","不")</f>
        <v>不</v>
      </c>
      <c r="AT16" s="116" t="str">
        <f>IF(SUMPRODUCT(N(AO$1:AO$20=AO16))&gt;1,"重复","不")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12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301.6</v>
      </c>
      <c r="N17" s="71">
        <v>90.4</v>
      </c>
      <c r="O17" s="71">
        <v>11.31</v>
      </c>
      <c r="P17" s="71">
        <v>175</v>
      </c>
      <c r="Q17" s="89">
        <f t="shared" si="0"/>
        <v>578.31</v>
      </c>
      <c r="R17" s="70">
        <v>0</v>
      </c>
      <c r="S17" s="90">
        <f>L17+IFERROR(VLOOKUP($E:$E,'（居民）工资表-11月'!$E:$S,15,0),0)</f>
        <v>49420</v>
      </c>
      <c r="T17" s="91">
        <f>5000+IFERROR(VLOOKUP($E:$E,'（居民）工资表-11月'!$E:$T,16,0),0)</f>
        <v>35000</v>
      </c>
      <c r="U17" s="91">
        <f>Q17+IFERROR(VLOOKUP($E:$E,'（居民）工资表-11月'!$E:$U,17,0),0)</f>
        <v>3953.68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R17+IFERROR(VLOOKUP($E:$E,'（居民）工资表-11月'!$E:$AC,25,0),0)</f>
        <v>0</v>
      </c>
      <c r="AD17" s="95">
        <f t="shared" si="2"/>
        <v>10466.32</v>
      </c>
      <c r="AE17" s="96">
        <f>ROUND(MAX((AD17)*{0.03;0.1;0.2;0.25;0.3;0.35;0.45}-{0;2520;16920;31920;52920;85920;181920},0),2)</f>
        <v>313.99</v>
      </c>
      <c r="AF17" s="97">
        <f>IFERROR(VLOOKUP(E:E,'（居民）工资表-11月'!E:AF,28,0)+VLOOKUP(E:E,'（居民）工资表-11月'!E:AG,29,0),0)</f>
        <v>284.54</v>
      </c>
      <c r="AG17" s="97">
        <f t="shared" si="3"/>
        <v>29.45</v>
      </c>
      <c r="AH17" s="107">
        <f t="shared" si="4"/>
        <v>5952.24</v>
      </c>
      <c r="AI17" s="108"/>
      <c r="AJ17" s="107">
        <f t="shared" si="5"/>
        <v>5952.24</v>
      </c>
      <c r="AK17" s="109"/>
      <c r="AL17" s="107">
        <f t="shared" si="6"/>
        <v>5981.69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IF(SUMPRODUCT(N(E$1:E$20=E17))&gt;1,"重复","不")</f>
        <v>不</v>
      </c>
      <c r="AT17" s="116" t="str">
        <f>IF(SUMPRODUCT(N(AO$1:AO$20=AO17))&gt;1,"重复","不")</f>
        <v>重复</v>
      </c>
      <c r="AU17" s="12" t="s">
        <v>157</v>
      </c>
      <c r="AV17" s="12" t="s">
        <v>51</v>
      </c>
    </row>
    <row r="18" s="12" customFormat="1" ht="18" customHeight="1" spans="1:48">
      <c r="A18" s="36">
        <v>12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0"/>
        <v>525</v>
      </c>
      <c r="R18" s="70">
        <v>0</v>
      </c>
      <c r="S18" s="90">
        <f>L18+IFERROR(VLOOKUP($E:$E,'（居民）工资表-11月'!$E:$S,15,0),0)</f>
        <v>73400</v>
      </c>
      <c r="T18" s="91">
        <f>5000+IFERROR(VLOOKUP($E:$E,'（居民）工资表-11月'!$E:$T,16,0),0)</f>
        <v>60000</v>
      </c>
      <c r="U18" s="91">
        <f>Q18+IFERROR(VLOOKUP($E:$E,'（居民）工资表-11月'!$E:$U,17,0),0)</f>
        <v>6339.25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R18+IFERROR(VLOOKUP($E:$E,'（居民）工资表-11月'!$E:$AC,25,0),0)</f>
        <v>0</v>
      </c>
      <c r="AD18" s="95">
        <f t="shared" si="2"/>
        <v>7060.75</v>
      </c>
      <c r="AE18" s="96">
        <f>ROUND(MAX((AD18)*{0.03;0.1;0.2;0.25;0.3;0.35;0.45}-{0;2520;16920;31920;52920;85920;181920},0),2)</f>
        <v>211.82</v>
      </c>
      <c r="AF18" s="97">
        <f>IFERROR(VLOOKUP(E:E,'（居民）工资表-11月'!E:AF,28,0)+VLOOKUP(E:E,'（居民）工资表-11月'!E:AG,29,0),0)</f>
        <v>197.57</v>
      </c>
      <c r="AG18" s="97">
        <f t="shared" si="3"/>
        <v>14.25</v>
      </c>
      <c r="AH18" s="107">
        <f t="shared" si="4"/>
        <v>5460.75</v>
      </c>
      <c r="AI18" s="108"/>
      <c r="AJ18" s="107">
        <f t="shared" si="5"/>
        <v>5460.75</v>
      </c>
      <c r="AK18" s="109"/>
      <c r="AL18" s="107">
        <f t="shared" si="6"/>
        <v>5475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IF(SUMPRODUCT(N(E$1:E$20=E18))&gt;1,"重复","不")</f>
        <v>不</v>
      </c>
      <c r="AT18" s="116" t="str">
        <f>IF(SUMPRODUCT(N(AO$1:AO$20=AO18))&gt;1,"重复","不")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12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7250</v>
      </c>
      <c r="M19" s="71">
        <v>0</v>
      </c>
      <c r="N19" s="71">
        <v>0</v>
      </c>
      <c r="O19" s="71">
        <v>0</v>
      </c>
      <c r="P19" s="71">
        <v>0</v>
      </c>
      <c r="Q19" s="89">
        <f t="shared" si="0"/>
        <v>0</v>
      </c>
      <c r="R19" s="70">
        <v>0</v>
      </c>
      <c r="S19" s="90">
        <f>L19+IFERROR(VLOOKUP($E:$E,'（居民）工资表-11月'!$E:$S,15,0),0)</f>
        <v>27058.14</v>
      </c>
      <c r="T19" s="91">
        <f>5000+IFERROR(VLOOKUP($E:$E,'（居民）工资表-11月'!$E:$T,16,0),0)</f>
        <v>30000</v>
      </c>
      <c r="U19" s="91">
        <f>Q19+IFERROR(VLOOKUP($E:$E,'（居民）工资表-11月'!$E:$U,17,0),0)</f>
        <v>3227.4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R19+IFERROR(VLOOKUP($E:$E,'（居民）工资表-11月'!$E:$AC,25,0),0)</f>
        <v>0</v>
      </c>
      <c r="AD19" s="95">
        <f t="shared" si="2"/>
        <v>-6169.26</v>
      </c>
      <c r="AE19" s="96">
        <f>ROUND(MAX((AD19)*{0.03;0.1;0.2;0.25;0.3;0.35;0.45}-{0;2520;16920;31920;52920;85920;181920},0),2)</f>
        <v>0</v>
      </c>
      <c r="AF19" s="97">
        <f>IFERROR(VLOOKUP(E:E,'（居民）工资表-11月'!E:AF,28,0)+VLOOKUP(E:E,'（居民）工资表-11月'!E:AG,29,0),0)</f>
        <v>0</v>
      </c>
      <c r="AG19" s="97">
        <f t="shared" si="3"/>
        <v>0</v>
      </c>
      <c r="AH19" s="107">
        <f t="shared" si="4"/>
        <v>7250</v>
      </c>
      <c r="AI19" s="108"/>
      <c r="AJ19" s="107">
        <f t="shared" si="5"/>
        <v>7250</v>
      </c>
      <c r="AK19" s="109"/>
      <c r="AL19" s="107">
        <f t="shared" si="6"/>
        <v>7250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IF(SUMPRODUCT(N(E$1:E$20=E19))&gt;1,"重复","不")</f>
        <v>不</v>
      </c>
      <c r="AT19" s="116" t="str">
        <f>IF(SUMPRODUCT(N(AO$1:AO$20=AO19))&gt;1,"重复","不")</f>
        <v>重复</v>
      </c>
      <c r="AU19" s="12" t="s">
        <v>157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192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8">SUM(L4:L20)</f>
        <v>135632.8</v>
      </c>
      <c r="M21" s="74">
        <f t="shared" si="8"/>
        <v>5324.18</v>
      </c>
      <c r="N21" s="74">
        <f t="shared" si="8"/>
        <v>1510.26</v>
      </c>
      <c r="O21" s="74">
        <f t="shared" si="8"/>
        <v>287.92</v>
      </c>
      <c r="P21" s="74">
        <f t="shared" si="8"/>
        <v>2485</v>
      </c>
      <c r="Q21" s="74">
        <f t="shared" si="8"/>
        <v>9607.36</v>
      </c>
      <c r="R21" s="74">
        <f t="shared" si="8"/>
        <v>0</v>
      </c>
      <c r="S21" s="74">
        <f t="shared" si="8"/>
        <v>1545275.43</v>
      </c>
      <c r="T21" s="74">
        <f t="shared" si="8"/>
        <v>880000</v>
      </c>
      <c r="U21" s="74">
        <f t="shared" si="8"/>
        <v>110384.94</v>
      </c>
      <c r="V21" s="74">
        <f t="shared" si="8"/>
        <v>12000</v>
      </c>
      <c r="W21" s="74">
        <f t="shared" si="8"/>
        <v>0</v>
      </c>
      <c r="X21" s="74">
        <f t="shared" si="8"/>
        <v>12000</v>
      </c>
      <c r="Y21" s="74">
        <f t="shared" si="8"/>
        <v>0</v>
      </c>
      <c r="Z21" s="74">
        <f t="shared" si="8"/>
        <v>4800</v>
      </c>
      <c r="AA21" s="74">
        <f t="shared" si="8"/>
        <v>0</v>
      </c>
      <c r="AB21" s="74">
        <f t="shared" si="8"/>
        <v>28800</v>
      </c>
      <c r="AC21" s="74">
        <f t="shared" si="8"/>
        <v>0</v>
      </c>
      <c r="AD21" s="74">
        <f t="shared" si="8"/>
        <v>526090.49</v>
      </c>
      <c r="AE21" s="74">
        <f t="shared" si="8"/>
        <v>51669.39</v>
      </c>
      <c r="AF21" s="74">
        <f t="shared" si="8"/>
        <v>46534.68</v>
      </c>
      <c r="AG21" s="74">
        <f t="shared" si="8"/>
        <v>5926.36</v>
      </c>
      <c r="AH21" s="74">
        <f t="shared" si="8"/>
        <v>120099.08</v>
      </c>
      <c r="AI21" s="126">
        <f t="shared" si="8"/>
        <v>0</v>
      </c>
      <c r="AJ21" s="74">
        <f t="shared" si="8"/>
        <v>120099.08</v>
      </c>
      <c r="AK21" s="74">
        <f t="shared" si="8"/>
        <v>0</v>
      </c>
      <c r="AL21" s="74">
        <f t="shared" si="8"/>
        <v>126025.44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193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120099.08</v>
      </c>
      <c r="C26" s="48">
        <f>AG21</f>
        <v>5926.36</v>
      </c>
      <c r="D26" s="48">
        <f>AK21</f>
        <v>0</v>
      </c>
      <c r="E26" s="48">
        <f>B26+C26+D26</f>
        <v>126025.44</v>
      </c>
    </row>
    <row r="27" spans="2:5">
      <c r="B27" s="49"/>
      <c r="C27" s="49"/>
      <c r="D27" s="49"/>
      <c r="E27" s="49"/>
    </row>
    <row r="28" s="14" customFormat="1" spans="1:35">
      <c r="A28" s="51" t="s">
        <v>194</v>
      </c>
      <c r="B28" s="52" t="s">
        <v>195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196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197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198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199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200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201</v>
      </c>
    </row>
    <row r="36" spans="2:2">
      <c r="B36" s="59" t="s">
        <v>202</v>
      </c>
    </row>
    <row r="37" spans="2:2">
      <c r="B37" s="59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636.7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217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17" si="0">ROUND(SUM(M4:P4),2)</f>
        <v>588.7</v>
      </c>
      <c r="R4" s="70">
        <v>0</v>
      </c>
      <c r="S4" s="90">
        <f>L4+IFERROR(VLOOKUP($E:$E,'（居民）工资表-1月'!$E:$S,15,0),0)</f>
        <v>16000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1273.4</v>
      </c>
      <c r="V4" s="70">
        <v>2000</v>
      </c>
      <c r="W4" s="70"/>
      <c r="X4" s="70">
        <v>2000</v>
      </c>
      <c r="Y4" s="70"/>
      <c r="Z4" s="70">
        <v>800</v>
      </c>
      <c r="AA4" s="125"/>
      <c r="AB4" s="90">
        <f>ROUND(SUM(V4:AA4),2)</f>
        <v>4800</v>
      </c>
      <c r="AC4" s="90">
        <f>R4+IFERROR(VLOOKUP($E:$E,'（居民）工资表-1月'!$E:$AC,25,0),0)</f>
        <v>0</v>
      </c>
      <c r="AD4" s="95">
        <f t="shared" ref="AD4:AD17" si="1">ROUND(S4-T4-U4-AB4-AC4,2)</f>
        <v>-73.4</v>
      </c>
      <c r="AE4" s="96">
        <f>ROUND(MAX((AD4)*{0.03;0.1;0.2;0.25;0.3;0.35;0.45}-{0;2520;16920;31920;52920;85920;181920},0),2)</f>
        <v>0</v>
      </c>
      <c r="AF4" s="97">
        <f>IFERROR(VLOOKUP(E:E,'（居民）工资表-1月'!E:AF,28,0)+VLOOKUP(E:E,'（居民）工资表-1月'!E:AG,29,0),0)</f>
        <v>69.46</v>
      </c>
      <c r="AG4" s="97">
        <f t="shared" ref="AG4:AG17" si="2">IF((AE4-AF4)&lt;0,0,AE4-AF4)</f>
        <v>0</v>
      </c>
      <c r="AH4" s="107">
        <f t="shared" ref="AH4:AH17" si="3">ROUND(IF((L4-Q4-AG4)&lt;0,0,(L4-Q4-AG4)),2)</f>
        <v>7411.3</v>
      </c>
      <c r="AI4" s="108"/>
      <c r="AJ4" s="107">
        <f t="shared" ref="AJ4:AJ17" si="4">AH4+AI4</f>
        <v>7411.3</v>
      </c>
      <c r="AK4" s="109"/>
      <c r="AL4" s="107">
        <f t="shared" ref="AL4:AL17" si="5">AJ4+AG4+AK4</f>
        <v>7411.3</v>
      </c>
      <c r="AM4" s="109"/>
      <c r="AN4" s="109"/>
      <c r="AO4" s="109"/>
      <c r="AP4" s="109"/>
      <c r="AQ4" s="109"/>
      <c r="AR4" s="116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  <c r="AU4" s="12" t="s">
        <v>218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126.36</v>
      </c>
      <c r="O5" s="71">
        <v>4.6</v>
      </c>
      <c r="P5" s="71">
        <v>115</v>
      </c>
      <c r="Q5" s="89">
        <f t="shared" si="0"/>
        <v>668.68</v>
      </c>
      <c r="R5" s="70">
        <v>0</v>
      </c>
      <c r="S5" s="90">
        <f>L5+IFERROR(VLOOKUP($E:$E,'（居民）工资表-1月'!$E:$S,15,0),0)</f>
        <v>11400</v>
      </c>
      <c r="T5" s="91">
        <f>5000+IFERROR(VLOOKUP($E:$E,'（居民）工资表-1月'!$E:$T,16,0),0)</f>
        <v>10000</v>
      </c>
      <c r="U5" s="91">
        <f>Q5+IFERROR(VLOOKUP($E:$E,'（居民）工资表-1月'!$E:$U,17,0),0)</f>
        <v>1324.48</v>
      </c>
      <c r="V5" s="125"/>
      <c r="W5" s="125"/>
      <c r="X5" s="125"/>
      <c r="Y5" s="125"/>
      <c r="Z5" s="125"/>
      <c r="AA5" s="125"/>
      <c r="AB5" s="90">
        <f t="shared" ref="AB5:AB17" si="9">ROUND(SUM(V5:AA5),2)</f>
        <v>0</v>
      </c>
      <c r="AC5" s="90">
        <f>R5+IFERROR(VLOOKUP($E:$E,'（居民）工资表-1月'!$E:$AC,25,0),0)</f>
        <v>0</v>
      </c>
      <c r="AD5" s="95">
        <f t="shared" si="1"/>
        <v>75.52</v>
      </c>
      <c r="AE5" s="96">
        <f>ROUND(MAX((AD5)*{0.03;0.1;0.2;0.25;0.3;0.35;0.45}-{0;2520;16920;31920;52920;85920;181920},0),2)</f>
        <v>2.27</v>
      </c>
      <c r="AF5" s="97">
        <f>IFERROR(VLOOKUP(E:E,'（居民）工资表-1月'!E:AF,28,0)+VLOOKUP(E:E,'（居民）工资表-1月'!E:AG,29,0),0)</f>
        <v>1.33</v>
      </c>
      <c r="AG5" s="97">
        <f t="shared" si="2"/>
        <v>0.94</v>
      </c>
      <c r="AH5" s="107">
        <f t="shared" si="3"/>
        <v>5030.38</v>
      </c>
      <c r="AI5" s="108"/>
      <c r="AJ5" s="107">
        <f t="shared" si="4"/>
        <v>5030.38</v>
      </c>
      <c r="AK5" s="109"/>
      <c r="AL5" s="107">
        <f t="shared" si="5"/>
        <v>5031.32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2" t="s">
        <v>219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L6+IFERROR(VLOOKUP($E:$E,'（居民）工资表-1月'!$E:$S,15,0),0)</f>
        <v>60120</v>
      </c>
      <c r="T6" s="91">
        <f>5000+IFERROR(VLOOKUP($E:$E,'（居民）工资表-1月'!$E:$T,16,0),0)</f>
        <v>10000</v>
      </c>
      <c r="U6" s="91">
        <f>Q6+IFERROR(VLOOKUP($E:$E,'（居民）工资表-1月'!$E:$U,17,0),0)</f>
        <v>1897.1</v>
      </c>
      <c r="V6" s="125"/>
      <c r="W6" s="125"/>
      <c r="X6" s="125"/>
      <c r="Y6" s="125"/>
      <c r="Z6" s="125"/>
      <c r="AA6" s="125"/>
      <c r="AB6" s="90">
        <f t="shared" si="9"/>
        <v>0</v>
      </c>
      <c r="AC6" s="90">
        <f>R6+IFERROR(VLOOKUP($E:$E,'（居民）工资表-1月'!$E:$AC,25,0),0)</f>
        <v>0</v>
      </c>
      <c r="AD6" s="95">
        <f t="shared" si="1"/>
        <v>48222.9</v>
      </c>
      <c r="AE6" s="96">
        <f>ROUND(MAX((AD6)*{0.03;0.1;0.2;0.25;0.3;0.35;0.45}-{0;2520;16920;31920;52920;85920;181920},0),2)</f>
        <v>2302.29</v>
      </c>
      <c r="AF6" s="97">
        <f>IFERROR(VLOOKUP(E:E,'（居民）工资表-1月'!E:AF,28,0)+VLOOKUP(E:E,'（居民）工资表-1月'!E:AG,29,0),0)</f>
        <v>723.34</v>
      </c>
      <c r="AG6" s="97">
        <f t="shared" si="2"/>
        <v>1578.95</v>
      </c>
      <c r="AH6" s="107">
        <f t="shared" si="3"/>
        <v>27532.5</v>
      </c>
      <c r="AI6" s="108"/>
      <c r="AJ6" s="107">
        <f t="shared" si="4"/>
        <v>27532.5</v>
      </c>
      <c r="AK6" s="109"/>
      <c r="AL6" s="107">
        <f t="shared" si="5"/>
        <v>29111.45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2" t="s">
        <v>220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L7+IFERROR(VLOOKUP($E:$E,'（居民）工资表-1月'!$E:$S,15,0),0)</f>
        <v>16000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1055.42</v>
      </c>
      <c r="V7" s="125"/>
      <c r="W7" s="125"/>
      <c r="X7" s="125"/>
      <c r="Y7" s="125"/>
      <c r="Z7" s="125"/>
      <c r="AA7" s="125"/>
      <c r="AB7" s="90">
        <f t="shared" si="9"/>
        <v>0</v>
      </c>
      <c r="AC7" s="90">
        <f>R7+IFERROR(VLOOKUP($E:$E,'（居民）工资表-1月'!$E:$AC,25,0),0)</f>
        <v>0</v>
      </c>
      <c r="AD7" s="95">
        <f t="shared" si="1"/>
        <v>4944.58</v>
      </c>
      <c r="AE7" s="96">
        <f>ROUND(MAX((AD7)*{0.03;0.1;0.2;0.25;0.3;0.35;0.45}-{0;2520;16920;31920;52920;85920;181920},0),2)</f>
        <v>148.34</v>
      </c>
      <c r="AF7" s="97">
        <f>IFERROR(VLOOKUP(E:E,'（居民）工资表-1月'!E:AF,28,0)+VLOOKUP(E:E,'（居民）工资表-1月'!E:AG,29,0),0)</f>
        <v>74.17</v>
      </c>
      <c r="AG7" s="97">
        <f t="shared" si="2"/>
        <v>74.17</v>
      </c>
      <c r="AH7" s="107">
        <f t="shared" si="3"/>
        <v>7398.12</v>
      </c>
      <c r="AI7" s="108"/>
      <c r="AJ7" s="107">
        <f t="shared" si="4"/>
        <v>7398.12</v>
      </c>
      <c r="AK7" s="109"/>
      <c r="AL7" s="107">
        <f t="shared" si="5"/>
        <v>7472.29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2" t="s">
        <v>221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L8+IFERROR(VLOOKUP($E:$E,'（居民）工资表-1月'!$E:$S,15,0),0)</f>
        <v>21000</v>
      </c>
      <c r="T8" s="91">
        <f>5000+IFERROR(VLOOKUP($E:$E,'（居民）工资表-1月'!$E:$T,16,0),0)</f>
        <v>10000</v>
      </c>
      <c r="U8" s="91">
        <f>Q8+IFERROR(VLOOKUP($E:$E,'（居民）工资表-1月'!$E:$U,17,0),0)</f>
        <v>1544</v>
      </c>
      <c r="V8" s="125"/>
      <c r="W8" s="125"/>
      <c r="X8" s="125"/>
      <c r="Y8" s="125"/>
      <c r="Z8" s="125"/>
      <c r="AA8" s="125"/>
      <c r="AB8" s="90">
        <f t="shared" si="9"/>
        <v>0</v>
      </c>
      <c r="AC8" s="90">
        <f>R8+IFERROR(VLOOKUP($E:$E,'（居民）工资表-1月'!$E:$AC,25,0),0)</f>
        <v>0</v>
      </c>
      <c r="AD8" s="95">
        <f t="shared" si="1"/>
        <v>9456</v>
      </c>
      <c r="AE8" s="96">
        <f>ROUND(MAX((AD8)*{0.03;0.1;0.2;0.25;0.3;0.35;0.45}-{0;2520;16920;31920;52920;85920;181920},0),2)</f>
        <v>283.68</v>
      </c>
      <c r="AF8" s="97">
        <f>IFERROR(VLOOKUP(E:E,'（居民）工资表-1月'!E:AF,28,0)+VLOOKUP(E:E,'（居民）工资表-1月'!E:AG,29,0),0)</f>
        <v>141.84</v>
      </c>
      <c r="AG8" s="97">
        <f t="shared" si="2"/>
        <v>141.84</v>
      </c>
      <c r="AH8" s="107">
        <f t="shared" si="3"/>
        <v>9586.16</v>
      </c>
      <c r="AI8" s="108"/>
      <c r="AJ8" s="107">
        <f t="shared" si="4"/>
        <v>9586.16</v>
      </c>
      <c r="AK8" s="109"/>
      <c r="AL8" s="107">
        <f t="shared" si="5"/>
        <v>9728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2" t="s">
        <v>222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369.52</v>
      </c>
      <c r="N9" s="71">
        <v>90.4</v>
      </c>
      <c r="O9" s="71">
        <v>13.86</v>
      </c>
      <c r="P9" s="71">
        <v>100</v>
      </c>
      <c r="Q9" s="89">
        <f t="shared" si="0"/>
        <v>573.78</v>
      </c>
      <c r="R9" s="70">
        <v>0</v>
      </c>
      <c r="S9" s="90">
        <f>L9+IFERROR(VLOOKUP($E:$E,'（居民）工资表-1月'!$E:$S,15,0),0)</f>
        <v>13000</v>
      </c>
      <c r="T9" s="91">
        <f>5000+IFERROR(VLOOKUP($E:$E,'（居民）工资表-1月'!$E:$T,16,0),0)</f>
        <v>10000</v>
      </c>
      <c r="U9" s="91">
        <f>Q9+IFERROR(VLOOKUP($E:$E,'（居民）工资表-1月'!$E:$U,17,0),0)</f>
        <v>1077.09</v>
      </c>
      <c r="V9" s="125"/>
      <c r="W9" s="125"/>
      <c r="X9" s="125"/>
      <c r="Y9" s="125"/>
      <c r="Z9" s="125"/>
      <c r="AA9" s="125"/>
      <c r="AB9" s="90">
        <f t="shared" si="9"/>
        <v>0</v>
      </c>
      <c r="AC9" s="90">
        <f>R9+IFERROR(VLOOKUP($E:$E,'（居民）工资表-1月'!$E:$AC,25,0),0)</f>
        <v>0</v>
      </c>
      <c r="AD9" s="95">
        <f t="shared" si="1"/>
        <v>1922.91</v>
      </c>
      <c r="AE9" s="96">
        <f>ROUND(MAX((AD9)*{0.03;0.1;0.2;0.25;0.3;0.35;0.45}-{0;2520;16920;31920;52920;85920;181920},0),2)</f>
        <v>57.69</v>
      </c>
      <c r="AF9" s="97">
        <f>IFERROR(VLOOKUP(E:E,'（居民）工资表-1月'!E:AF,28,0)+VLOOKUP(E:E,'（居民）工资表-1月'!E:AG,29,0),0)</f>
        <v>29.9</v>
      </c>
      <c r="AG9" s="97">
        <f t="shared" si="2"/>
        <v>27.79</v>
      </c>
      <c r="AH9" s="107">
        <f t="shared" si="3"/>
        <v>5898.43</v>
      </c>
      <c r="AI9" s="108"/>
      <c r="AJ9" s="107">
        <f t="shared" si="4"/>
        <v>5898.43</v>
      </c>
      <c r="AK9" s="109"/>
      <c r="AL9" s="107">
        <f t="shared" si="5"/>
        <v>5926.22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2" t="s">
        <v>223</v>
      </c>
    </row>
    <row r="10" s="12" customFormat="1" ht="18" customHeight="1" spans="1:47">
      <c r="A10" s="36">
        <v>7</v>
      </c>
      <c r="B10" s="37" t="s">
        <v>142</v>
      </c>
      <c r="C10" s="37" t="s">
        <v>168</v>
      </c>
      <c r="D10" s="37" t="s">
        <v>143</v>
      </c>
      <c r="E10" s="326" t="s">
        <v>169</v>
      </c>
      <c r="F10" s="38" t="s">
        <v>148</v>
      </c>
      <c r="G10" s="39" t="s">
        <v>170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L10+IFERROR(VLOOKUP($E:$E,'（居民）工资表-1月'!$E:$S,15,0),0)</f>
        <v>9051.68</v>
      </c>
      <c r="T10" s="91">
        <f>5000+IFERROR(VLOOKUP($E:$E,'（居民）工资表-1月'!$E:$T,16,0),0)</f>
        <v>10000</v>
      </c>
      <c r="U10" s="91">
        <f>Q10+IFERROR(VLOOKUP($E:$E,'（居民）工资表-1月'!$E:$U,17,0),0)</f>
        <v>1259.72</v>
      </c>
      <c r="V10" s="125"/>
      <c r="W10" s="125"/>
      <c r="X10" s="125"/>
      <c r="Y10" s="125"/>
      <c r="Z10" s="125"/>
      <c r="AA10" s="125"/>
      <c r="AB10" s="90">
        <f t="shared" si="9"/>
        <v>0</v>
      </c>
      <c r="AC10" s="90">
        <f>R10+IFERROR(VLOOKUP($E:$E,'（居民）工资表-1月'!$E:$AC,25,0),0)</f>
        <v>0</v>
      </c>
      <c r="AD10" s="95">
        <f t="shared" si="1"/>
        <v>-2208.04</v>
      </c>
      <c r="AE10" s="96">
        <f>ROUND(MAX((AD10)*{0.03;0.1;0.2;0.25;0.3;0.35;0.45}-{0;2520;16920;31920;52920;85920;181920},0),2)</f>
        <v>0</v>
      </c>
      <c r="AF10" s="97">
        <f>IFERROR(VLOOKUP(E:E,'（居民）工资表-1月'!E:AF,28,0)+VLOOKUP(E:E,'（居民）工资表-1月'!E:AG,29,0),0)</f>
        <v>0</v>
      </c>
      <c r="AG10" s="97">
        <f t="shared" si="2"/>
        <v>0</v>
      </c>
      <c r="AH10" s="107">
        <f t="shared" si="3"/>
        <v>3895.98</v>
      </c>
      <c r="AI10" s="108"/>
      <c r="AJ10" s="107">
        <f t="shared" si="4"/>
        <v>3895.98</v>
      </c>
      <c r="AK10" s="109"/>
      <c r="AL10" s="107">
        <f t="shared" si="5"/>
        <v>3895.98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2" t="s">
        <v>224</v>
      </c>
    </row>
    <row r="11" s="12" customFormat="1" ht="18" customHeight="1" spans="1:47">
      <c r="A11" s="36">
        <v>8</v>
      </c>
      <c r="B11" s="37" t="s">
        <v>142</v>
      </c>
      <c r="C11" s="37" t="s">
        <v>173</v>
      </c>
      <c r="D11" s="37" t="s">
        <v>143</v>
      </c>
      <c r="E11" s="326" t="s">
        <v>174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L11+IFERROR(VLOOKUP($E:$E,'（居民）工资表-1月'!$E:$S,15,0),0)</f>
        <v>17000</v>
      </c>
      <c r="T11" s="91">
        <f>5000+IFERROR(VLOOKUP($E:$E,'（居民）工资表-1月'!$E:$T,16,0),0)</f>
        <v>10000</v>
      </c>
      <c r="U11" s="91">
        <f>Q11+IFERROR(VLOOKUP($E:$E,'（居民）工资表-1月'!$E:$U,17,0),0)</f>
        <v>1118</v>
      </c>
      <c r="V11" s="125"/>
      <c r="W11" s="125"/>
      <c r="X11" s="125"/>
      <c r="Y11" s="125"/>
      <c r="Z11" s="125"/>
      <c r="AA11" s="125"/>
      <c r="AB11" s="90">
        <f t="shared" si="9"/>
        <v>0</v>
      </c>
      <c r="AC11" s="90">
        <f>R11+IFERROR(VLOOKUP($E:$E,'（居民）工资表-1月'!$E:$AC,25,0),0)</f>
        <v>0</v>
      </c>
      <c r="AD11" s="95">
        <f t="shared" si="1"/>
        <v>5882</v>
      </c>
      <c r="AE11" s="96">
        <f>ROUND(MAX((AD11)*{0.03;0.1;0.2;0.25;0.3;0.35;0.45}-{0;2520;16920;31920;52920;85920;181920},0),2)</f>
        <v>176.46</v>
      </c>
      <c r="AF11" s="97">
        <f>IFERROR(VLOOKUP(E:E,'（居民）工资表-1月'!E:AF,28,0)+VLOOKUP(E:E,'（居民）工资表-1月'!E:AG,29,0),0)</f>
        <v>88.23</v>
      </c>
      <c r="AG11" s="97">
        <f t="shared" si="2"/>
        <v>88.23</v>
      </c>
      <c r="AH11" s="107">
        <f t="shared" si="3"/>
        <v>7852.77</v>
      </c>
      <c r="AI11" s="108"/>
      <c r="AJ11" s="107">
        <f t="shared" si="4"/>
        <v>7852.77</v>
      </c>
      <c r="AK11" s="109"/>
      <c r="AL11" s="107">
        <f t="shared" si="5"/>
        <v>7941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2" t="s">
        <v>225</v>
      </c>
    </row>
    <row r="12" s="12" customFormat="1" ht="18" customHeight="1" spans="1:47">
      <c r="A12" s="36">
        <v>9</v>
      </c>
      <c r="B12" s="37" t="s">
        <v>142</v>
      </c>
      <c r="C12" s="37" t="s">
        <v>175</v>
      </c>
      <c r="D12" s="37" t="s">
        <v>143</v>
      </c>
      <c r="E12" s="326" t="s">
        <v>176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L12+IFERROR(VLOOKUP($E:$E,'（居民）工资表-1月'!$E:$S,15,0),0)</f>
        <v>14000</v>
      </c>
      <c r="T12" s="91">
        <f>5000+IFERROR(VLOOKUP($E:$E,'（居民）工资表-1月'!$E:$T,16,0),0)</f>
        <v>10000</v>
      </c>
      <c r="U12" s="91">
        <f>Q12+IFERROR(VLOOKUP($E:$E,'（居民）工资表-1月'!$E:$U,17,0),0)</f>
        <v>1544</v>
      </c>
      <c r="V12" s="125"/>
      <c r="W12" s="125"/>
      <c r="X12" s="125"/>
      <c r="Y12" s="125"/>
      <c r="Z12" s="125"/>
      <c r="AA12" s="125"/>
      <c r="AB12" s="90">
        <f t="shared" si="9"/>
        <v>0</v>
      </c>
      <c r="AC12" s="90">
        <f>R12+IFERROR(VLOOKUP($E:$E,'（居民）工资表-1月'!$E:$AC,25,0),0)</f>
        <v>0</v>
      </c>
      <c r="AD12" s="95">
        <f t="shared" si="1"/>
        <v>2456</v>
      </c>
      <c r="AE12" s="96">
        <f>ROUND(MAX((AD12)*{0.03;0.1;0.2;0.25;0.3;0.35;0.45}-{0;2520;16920;31920;52920;85920;181920},0),2)</f>
        <v>73.68</v>
      </c>
      <c r="AF12" s="97">
        <f>IFERROR(VLOOKUP(E:E,'（居民）工资表-1月'!E:AF,28,0)+VLOOKUP(E:E,'（居民）工资表-1月'!E:AG,29,0),0)</f>
        <v>36.84</v>
      </c>
      <c r="AG12" s="97">
        <f t="shared" si="2"/>
        <v>36.84</v>
      </c>
      <c r="AH12" s="107">
        <f t="shared" si="3"/>
        <v>6191.16</v>
      </c>
      <c r="AI12" s="108"/>
      <c r="AJ12" s="107">
        <f t="shared" si="4"/>
        <v>6191.16</v>
      </c>
      <c r="AK12" s="109"/>
      <c r="AL12" s="107">
        <f t="shared" si="5"/>
        <v>6228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  <c r="AU12" s="12" t="s">
        <v>222</v>
      </c>
    </row>
    <row r="13" s="12" customFormat="1" ht="18" customHeight="1" spans="1:47">
      <c r="A13" s="36">
        <v>10</v>
      </c>
      <c r="B13" s="37" t="s">
        <v>142</v>
      </c>
      <c r="C13" s="37" t="s">
        <v>177</v>
      </c>
      <c r="D13" s="37" t="s">
        <v>143</v>
      </c>
      <c r="E13" s="326" t="s">
        <v>178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7608.7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L13+IFERROR(VLOOKUP($E:$E,'（居民）工资表-1月'!$E:$S,15,0),0)</f>
        <v>14608.7</v>
      </c>
      <c r="T13" s="91">
        <f>5000+IFERROR(VLOOKUP($E:$E,'（居民）工资表-1月'!$E:$T,16,0),0)</f>
        <v>10000</v>
      </c>
      <c r="U13" s="91">
        <f>Q13+IFERROR(VLOOKUP($E:$E,'（居民）工资表-1月'!$E:$U,17,0),0)</f>
        <v>1544</v>
      </c>
      <c r="V13" s="125"/>
      <c r="W13" s="125"/>
      <c r="X13" s="125"/>
      <c r="Y13" s="125"/>
      <c r="Z13" s="125"/>
      <c r="AA13" s="125"/>
      <c r="AB13" s="90">
        <f t="shared" si="9"/>
        <v>0</v>
      </c>
      <c r="AC13" s="90">
        <f>R13+IFERROR(VLOOKUP($E:$E,'（居民）工资表-1月'!$E:$AC,25,0),0)</f>
        <v>0</v>
      </c>
      <c r="AD13" s="95">
        <f t="shared" si="1"/>
        <v>3064.7</v>
      </c>
      <c r="AE13" s="96">
        <f>ROUND(MAX((AD13)*{0.03;0.1;0.2;0.25;0.3;0.35;0.45}-{0;2520;16920;31920;52920;85920;181920},0),2)</f>
        <v>91.94</v>
      </c>
      <c r="AF13" s="97">
        <f>IFERROR(VLOOKUP(E:E,'（居民）工资表-1月'!E:AF,28,0)+VLOOKUP(E:E,'（居民）工资表-1月'!E:AG,29,0),0)</f>
        <v>36.84</v>
      </c>
      <c r="AG13" s="97">
        <f t="shared" si="2"/>
        <v>55.1</v>
      </c>
      <c r="AH13" s="107">
        <f t="shared" si="3"/>
        <v>6781.6</v>
      </c>
      <c r="AI13" s="108"/>
      <c r="AJ13" s="107">
        <f t="shared" si="4"/>
        <v>6781.6</v>
      </c>
      <c r="AK13" s="109"/>
      <c r="AL13" s="107">
        <f t="shared" si="5"/>
        <v>6836.7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IF(SUMPRODUCT(N(E$1:E$8=E13))&gt;1,"重复","不")</f>
        <v>不</v>
      </c>
      <c r="AT13" s="116" t="str">
        <f>IF(SUMPRODUCT(N(AO$1:AO$8=AO13))&gt;1,"重复","不")</f>
        <v>重复</v>
      </c>
      <c r="AU13" s="12" t="s">
        <v>222</v>
      </c>
    </row>
    <row r="14" s="12" customFormat="1" ht="18" customHeight="1" spans="1:47">
      <c r="A14" s="36">
        <v>11</v>
      </c>
      <c r="B14" s="37" t="s">
        <v>142</v>
      </c>
      <c r="C14" s="37" t="s">
        <v>179</v>
      </c>
      <c r="D14" s="37" t="s">
        <v>143</v>
      </c>
      <c r="E14" s="326" t="s">
        <v>180</v>
      </c>
      <c r="F14" s="38" t="s">
        <v>148</v>
      </c>
      <c r="G14" s="39" t="s">
        <v>181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L14+IFERROR(VLOOKUP($E:$E,'（居民）工资表-1月'!$E:$S,15,0),0)</f>
        <v>14000</v>
      </c>
      <c r="T14" s="91">
        <f>5000+IFERROR(VLOOKUP($E:$E,'（居民）工资表-1月'!$E:$T,16,0),0)</f>
        <v>10000</v>
      </c>
      <c r="U14" s="91">
        <f>Q14+IFERROR(VLOOKUP($E:$E,'（居民）工资表-1月'!$E:$U,17,0),0)</f>
        <v>1118</v>
      </c>
      <c r="V14" s="125"/>
      <c r="W14" s="125"/>
      <c r="X14" s="125"/>
      <c r="Y14" s="125"/>
      <c r="Z14" s="125"/>
      <c r="AA14" s="125"/>
      <c r="AB14" s="90">
        <f t="shared" si="9"/>
        <v>0</v>
      </c>
      <c r="AC14" s="90">
        <f>R14+IFERROR(VLOOKUP($E:$E,'（居民）工资表-1月'!$E:$AC,25,0),0)</f>
        <v>0</v>
      </c>
      <c r="AD14" s="95">
        <f t="shared" si="1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IFERROR(VLOOKUP(E:E,'（居民）工资表-1月'!E:AF,28,0)+VLOOKUP(E:E,'（居民）工资表-1月'!E:AG,29,0),0)</f>
        <v>43.23</v>
      </c>
      <c r="AG14" s="97">
        <f t="shared" si="2"/>
        <v>43.23</v>
      </c>
      <c r="AH14" s="107">
        <f t="shared" si="3"/>
        <v>6397.77</v>
      </c>
      <c r="AI14" s="108"/>
      <c r="AJ14" s="107">
        <f t="shared" si="4"/>
        <v>6397.77</v>
      </c>
      <c r="AK14" s="109"/>
      <c r="AL14" s="107">
        <f t="shared" si="5"/>
        <v>6441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  <c r="AU14" s="12" t="s">
        <v>225</v>
      </c>
    </row>
    <row r="15" s="12" customFormat="1" ht="18" customHeight="1" spans="1:47">
      <c r="A15" s="36">
        <v>12</v>
      </c>
      <c r="B15" s="37" t="s">
        <v>142</v>
      </c>
      <c r="C15" s="37" t="s">
        <v>182</v>
      </c>
      <c r="D15" s="37" t="s">
        <v>143</v>
      </c>
      <c r="E15" s="326" t="s">
        <v>183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6581.74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L15+IFERROR(VLOOKUP($E:$E,'（居民）工资表-1月'!$E:$S,15,0),0)</f>
        <v>12641.74</v>
      </c>
      <c r="T15" s="91">
        <f>5000+IFERROR(VLOOKUP($E:$E,'（居民）工资表-1月'!$E:$T,16,0),0)</f>
        <v>10000</v>
      </c>
      <c r="U15" s="91">
        <f>Q15+IFERROR(VLOOKUP($E:$E,'（居民）工资表-1月'!$E:$U,17,0),0)</f>
        <v>1055.42</v>
      </c>
      <c r="V15" s="125"/>
      <c r="W15" s="125"/>
      <c r="X15" s="125"/>
      <c r="Y15" s="125"/>
      <c r="Z15" s="125"/>
      <c r="AA15" s="125"/>
      <c r="AB15" s="90">
        <f t="shared" si="9"/>
        <v>0</v>
      </c>
      <c r="AC15" s="90">
        <f>R15+IFERROR(VLOOKUP($E:$E,'（居民）工资表-1月'!$E:$AC,25,0),0)</f>
        <v>0</v>
      </c>
      <c r="AD15" s="95">
        <f t="shared" si="1"/>
        <v>1586.32</v>
      </c>
      <c r="AE15" s="96">
        <f>ROUND(MAX((AD15)*{0.03;0.1;0.2;0.25;0.3;0.35;0.45}-{0;2520;16920;31920;52920;85920;181920},0),2)</f>
        <v>47.59</v>
      </c>
      <c r="AF15" s="97">
        <f>IFERROR(VLOOKUP(E:E,'（居民）工资表-1月'!E:AF,28,0)+VLOOKUP(E:E,'（居民）工资表-1月'!E:AG,29,0),0)</f>
        <v>15.97</v>
      </c>
      <c r="AG15" s="97">
        <f t="shared" si="2"/>
        <v>31.62</v>
      </c>
      <c r="AH15" s="107">
        <f t="shared" si="3"/>
        <v>6022.41</v>
      </c>
      <c r="AI15" s="108"/>
      <c r="AJ15" s="107">
        <f t="shared" si="4"/>
        <v>6022.41</v>
      </c>
      <c r="AK15" s="109"/>
      <c r="AL15" s="107">
        <f t="shared" si="5"/>
        <v>6054.03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  <c r="AU15" s="12" t="s">
        <v>221</v>
      </c>
    </row>
    <row r="16" s="12" customFormat="1" ht="18" customHeight="1" spans="1:47">
      <c r="A16" s="36">
        <v>13</v>
      </c>
      <c r="B16" s="37" t="s">
        <v>142</v>
      </c>
      <c r="C16" s="37" t="s">
        <v>186</v>
      </c>
      <c r="D16" s="37" t="s">
        <v>143</v>
      </c>
      <c r="E16" s="326" t="s">
        <v>187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L16+IFERROR(VLOOKUP($E:$E,'（居民）工资表-1月'!$E:$S,15,0),0)</f>
        <v>12000</v>
      </c>
      <c r="T16" s="91">
        <f>5000+IFERROR(VLOOKUP($E:$E,'（居民）工资表-1月'!$E:$T,16,0),0)</f>
        <v>10000</v>
      </c>
      <c r="U16" s="91">
        <f>Q16+IFERROR(VLOOKUP($E:$E,'（居民）工资表-1月'!$E:$U,17,0),0)</f>
        <v>1050</v>
      </c>
      <c r="V16" s="125"/>
      <c r="W16" s="125"/>
      <c r="X16" s="125"/>
      <c r="Y16" s="125"/>
      <c r="Z16" s="125"/>
      <c r="AA16" s="125"/>
      <c r="AB16" s="90">
        <f t="shared" si="9"/>
        <v>0</v>
      </c>
      <c r="AC16" s="90">
        <f>R16+IFERROR(VLOOKUP($E:$E,'（居民）工资表-1月'!$E:$AC,25,0),0)</f>
        <v>0</v>
      </c>
      <c r="AD16" s="95">
        <f t="shared" si="1"/>
        <v>950</v>
      </c>
      <c r="AE16" s="96">
        <f>ROUND(MAX((AD16)*{0.03;0.1;0.2;0.25;0.3;0.35;0.45}-{0;2520;16920;31920;52920;85920;181920},0),2)</f>
        <v>28.5</v>
      </c>
      <c r="AF16" s="97">
        <f>IFERROR(VLOOKUP(E:E,'（居民）工资表-1月'!E:AF,28,0)+VLOOKUP(E:E,'（居民）工资表-1月'!E:AG,29,0),0)</f>
        <v>14.25</v>
      </c>
      <c r="AG16" s="97">
        <f t="shared" si="2"/>
        <v>14.25</v>
      </c>
      <c r="AH16" s="107">
        <f t="shared" si="3"/>
        <v>5460.75</v>
      </c>
      <c r="AI16" s="108"/>
      <c r="AJ16" s="107">
        <f t="shared" si="4"/>
        <v>5460.75</v>
      </c>
      <c r="AK16" s="109"/>
      <c r="AL16" s="107">
        <f t="shared" si="5"/>
        <v>5475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IF(SUMPRODUCT(N(E$1:E$8=E16))&gt;1,"重复","不")</f>
        <v>不</v>
      </c>
      <c r="AT16" s="116" t="str">
        <f>IF(SUMPRODUCT(N(AO$1:AO$8=AO16))&gt;1,"重复","不")</f>
        <v>重复</v>
      </c>
      <c r="AU16" s="12" t="s">
        <v>226</v>
      </c>
    </row>
    <row r="17" s="12" customFormat="1" ht="18" customHeight="1" spans="1:47">
      <c r="A17" s="36">
        <v>14</v>
      </c>
      <c r="B17" s="37" t="s">
        <v>142</v>
      </c>
      <c r="C17" s="37" t="s">
        <v>212</v>
      </c>
      <c r="D17" s="37" t="s">
        <v>143</v>
      </c>
      <c r="E17" s="326" t="s">
        <v>213</v>
      </c>
      <c r="F17" s="38" t="s">
        <v>144</v>
      </c>
      <c r="G17" s="39"/>
      <c r="H17" s="40"/>
      <c r="I17" s="40"/>
      <c r="J17" s="69"/>
      <c r="K17" s="40"/>
      <c r="L17" s="70">
        <v>7652.17</v>
      </c>
      <c r="M17" s="71">
        <v>964.56</v>
      </c>
      <c r="N17" s="71">
        <v>267.27</v>
      </c>
      <c r="O17" s="71">
        <v>60.3</v>
      </c>
      <c r="P17" s="71">
        <v>291</v>
      </c>
      <c r="Q17" s="89">
        <f t="shared" si="0"/>
        <v>1583.13</v>
      </c>
      <c r="R17" s="70">
        <v>0</v>
      </c>
      <c r="S17" s="90">
        <f>L17+IFERROR(VLOOKUP($E:$E,'（居民）工资表-1月'!$E:$S,15,0),0)</f>
        <v>7652.17</v>
      </c>
      <c r="T17" s="91">
        <f>5000+IFERROR(VLOOKUP($E:$E,'（居民）工资表-1月'!$E:$T,16,0),0)</f>
        <v>5000</v>
      </c>
      <c r="U17" s="91">
        <f>Q17+IFERROR(VLOOKUP($E:$E,'（居民）工资表-1月'!$E:$U,17,0),0)</f>
        <v>1583.13</v>
      </c>
      <c r="V17" s="125"/>
      <c r="W17" s="125"/>
      <c r="X17" s="125"/>
      <c r="Y17" s="125"/>
      <c r="Z17" s="125"/>
      <c r="AA17" s="125"/>
      <c r="AB17" s="90">
        <f t="shared" si="9"/>
        <v>0</v>
      </c>
      <c r="AC17" s="90">
        <f>R17+IFERROR(VLOOKUP($E:$E,'（居民）工资表-1月'!$E:$AC,25,0),0)</f>
        <v>0</v>
      </c>
      <c r="AD17" s="95">
        <f t="shared" si="1"/>
        <v>1069.04</v>
      </c>
      <c r="AE17" s="96">
        <f>ROUND(MAX((AD17)*{0.03;0.1;0.2;0.25;0.3;0.35;0.45}-{0;2520;16920;31920;52920;85920;181920},0),2)</f>
        <v>32.07</v>
      </c>
      <c r="AF17" s="97">
        <f>IFERROR(VLOOKUP(E:E,'（居民）工资表-1月'!E:AF,28,0)+VLOOKUP(E:E,'（居民）工资表-1月'!E:AG,29,0),0)</f>
        <v>0</v>
      </c>
      <c r="AG17" s="97">
        <f t="shared" si="2"/>
        <v>32.07</v>
      </c>
      <c r="AH17" s="107">
        <f t="shared" si="3"/>
        <v>6036.97</v>
      </c>
      <c r="AI17" s="108"/>
      <c r="AJ17" s="107">
        <f t="shared" si="4"/>
        <v>6036.97</v>
      </c>
      <c r="AK17" s="109"/>
      <c r="AL17" s="107">
        <f t="shared" si="5"/>
        <v>6069.04</v>
      </c>
      <c r="AM17" s="109"/>
      <c r="AN17" s="109"/>
      <c r="AO17" s="109"/>
      <c r="AP17" s="109"/>
      <c r="AQ17" s="109"/>
      <c r="AR17" s="116" t="str">
        <f t="shared" si="6"/>
        <v>正确</v>
      </c>
      <c r="AS17" s="116" t="str">
        <f>IF(SUMPRODUCT(N(E$1:E$8=E17))&gt;1,"重复","不")</f>
        <v>不</v>
      </c>
      <c r="AT17" s="116" t="str">
        <f>IF(SUMPRODUCT(N(AO$1:AO$8=AO17))&gt;1,"重复","不")</f>
        <v>重复</v>
      </c>
      <c r="AU17" s="12" t="s">
        <v>221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125"/>
      <c r="W18" s="125"/>
      <c r="X18" s="125"/>
      <c r="Y18" s="125"/>
      <c r="Z18" s="125"/>
      <c r="AA18" s="125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192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123628.45</v>
      </c>
      <c r="M19" s="74">
        <f t="shared" ref="M19:AL19" si="10">SUM(M4:M18)</f>
        <v>5613.3</v>
      </c>
      <c r="N19" s="74">
        <f t="shared" si="10"/>
        <v>1585.57</v>
      </c>
      <c r="O19" s="74">
        <f t="shared" si="10"/>
        <v>311.85</v>
      </c>
      <c r="P19" s="74">
        <f t="shared" si="10"/>
        <v>2496.4</v>
      </c>
      <c r="Q19" s="74">
        <f t="shared" si="10"/>
        <v>10007.12</v>
      </c>
      <c r="R19" s="74">
        <f t="shared" si="10"/>
        <v>0</v>
      </c>
      <c r="S19" s="74">
        <f t="shared" si="10"/>
        <v>238474.29</v>
      </c>
      <c r="T19" s="74">
        <f t="shared" si="10"/>
        <v>135000</v>
      </c>
      <c r="U19" s="74">
        <f t="shared" si="10"/>
        <v>18443.76</v>
      </c>
      <c r="V19" s="74">
        <f t="shared" si="10"/>
        <v>2000</v>
      </c>
      <c r="W19" s="74">
        <f t="shared" si="10"/>
        <v>0</v>
      </c>
      <c r="X19" s="74">
        <f t="shared" si="10"/>
        <v>2000</v>
      </c>
      <c r="Y19" s="74">
        <f t="shared" si="10"/>
        <v>0</v>
      </c>
      <c r="Z19" s="74">
        <f t="shared" si="10"/>
        <v>800</v>
      </c>
      <c r="AA19" s="74">
        <f t="shared" si="10"/>
        <v>0</v>
      </c>
      <c r="AB19" s="74">
        <f t="shared" si="10"/>
        <v>4800</v>
      </c>
      <c r="AC19" s="74">
        <f t="shared" si="10"/>
        <v>0</v>
      </c>
      <c r="AD19" s="74">
        <f t="shared" si="10"/>
        <v>80230.53</v>
      </c>
      <c r="AE19" s="74">
        <f t="shared" si="10"/>
        <v>3330.97</v>
      </c>
      <c r="AF19" s="74">
        <f t="shared" si="10"/>
        <v>1275.4</v>
      </c>
      <c r="AG19" s="74">
        <f t="shared" si="10"/>
        <v>2125.03</v>
      </c>
      <c r="AH19" s="74">
        <f t="shared" si="10"/>
        <v>111496.3</v>
      </c>
      <c r="AI19" s="74">
        <f t="shared" si="10"/>
        <v>0</v>
      </c>
      <c r="AJ19" s="74">
        <f t="shared" si="10"/>
        <v>111496.3</v>
      </c>
      <c r="AK19" s="74">
        <f t="shared" si="10"/>
        <v>0</v>
      </c>
      <c r="AL19" s="74">
        <f t="shared" si="10"/>
        <v>113621.33</v>
      </c>
      <c r="AM19" s="110"/>
      <c r="AN19" s="110"/>
      <c r="AO19" s="110"/>
      <c r="AP19" s="110"/>
      <c r="AQ19" s="110"/>
      <c r="AR19" s="45"/>
      <c r="AS19" s="45"/>
      <c r="AT19" s="118"/>
    </row>
    <row r="20" spans="38:38">
      <c r="AL20" s="15">
        <v>31841.4778</v>
      </c>
    </row>
    <row r="22" spans="30:30">
      <c r="AD22" s="101"/>
    </row>
    <row r="23" ht="18.75" customHeight="1" spans="2:30">
      <c r="B23" s="47" t="s">
        <v>131</v>
      </c>
      <c r="C23" s="47" t="s">
        <v>193</v>
      </c>
      <c r="D23" s="47" t="s">
        <v>217</v>
      </c>
      <c r="E23" s="47" t="s">
        <v>23</v>
      </c>
      <c r="AD23" s="10"/>
    </row>
    <row r="24" ht="18.75" customHeight="1" spans="2:5">
      <c r="B24" s="48">
        <f>AJ19</f>
        <v>111496.3</v>
      </c>
      <c r="C24" s="48">
        <f>AG19</f>
        <v>2125.03</v>
      </c>
      <c r="D24" s="48">
        <f>AK19</f>
        <v>0</v>
      </c>
      <c r="E24" s="48">
        <f>B24+C24+D24</f>
        <v>113621.33</v>
      </c>
    </row>
    <row r="25" spans="2:5">
      <c r="B25" s="49"/>
      <c r="C25" s="49"/>
      <c r="D25" s="49"/>
      <c r="E25" s="49"/>
    </row>
    <row r="26" s="14" customFormat="1" spans="1:35">
      <c r="A26" s="51" t="s">
        <v>194</v>
      </c>
      <c r="B26" s="52" t="s">
        <v>195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196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197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198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199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200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201</v>
      </c>
    </row>
    <row r="34" spans="2:2">
      <c r="B34" s="59" t="s">
        <v>202</v>
      </c>
    </row>
    <row r="35" spans="2:2">
      <c r="B35" s="59" t="s">
        <v>203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24000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1862.1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-62.1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69.46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17100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1986.72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113.28</v>
      </c>
      <c r="AE5" s="96">
        <f>ROUND(MAX((AD5)*{0.03;0.1;0.2;0.25;0.3;0.35;0.45}-{0;2520;16920;31920;52920;85920;181920},0),2)</f>
        <v>3.4</v>
      </c>
      <c r="AF5" s="97">
        <f>IFERROR(VLOOKUP(E:E,'（居民）工资表-2月'!E:AF,28,0)+VLOOKUP(E:E,'（居民）工资表-2月'!E:AG,29,0),0)</f>
        <v>2.27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90180</v>
      </c>
      <c r="T6" s="91">
        <f>5000+IFERROR(VLOOKUP($E:$E,'（居民）工资表-2月'!$E:$T,16,0),0)</f>
        <v>15000</v>
      </c>
      <c r="U6" s="91">
        <f>Q6+IFERROR(VLOOKUP($E:$E,'（居民）工资表-2月'!$E:$U,17,0),0)</f>
        <v>2845.65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72334.35</v>
      </c>
      <c r="AE6" s="96">
        <f>ROUND(MAX((AD6)*{0.03;0.1;0.2;0.25;0.3;0.35;0.45}-{0;2520;16920;31920;52920;85920;181920},0),2)</f>
        <v>4713.44</v>
      </c>
      <c r="AF6" s="97">
        <f>IFERROR(VLOOKUP(E:E,'（居民）工资表-2月'!E:AF,28,0)+VLOOKUP(E:E,'（居民）工资表-2月'!E:AG,29,0),0)</f>
        <v>2302.29</v>
      </c>
      <c r="AG6" s="97">
        <f t="shared" ref="AG6:AG17" si="3">IF((AE6-AF6)&lt;0,0,AE6-AF6)</f>
        <v>2411.15</v>
      </c>
      <c r="AH6" s="107">
        <f t="shared" ref="AH6:AH17" si="4">ROUND(IF((L6-Q6-AG6)&lt;0,0,(L6-Q6-AG6)),2)</f>
        <v>26700.3</v>
      </c>
      <c r="AI6" s="108"/>
      <c r="AJ6" s="107">
        <f t="shared" ref="AJ6:AJ17" si="5">AH6+AI6</f>
        <v>26700.3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24000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1583.13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7416.87</v>
      </c>
      <c r="AE7" s="96">
        <f>ROUND(MAX((AD7)*{0.03;0.1;0.2;0.25;0.3;0.35;0.45}-{0;2520;16920;31920;52920;85920;181920},0),2)</f>
        <v>222.51</v>
      </c>
      <c r="AF7" s="97">
        <f>IFERROR(VLOOKUP(E:E,'（居民）工资表-2月'!E:AF,28,0)+VLOOKUP(E:E,'（居民）工资表-2月'!E:AG,29,0),0)</f>
        <v>148.34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31500</v>
      </c>
      <c r="T8" s="91">
        <f>5000+IFERROR(VLOOKUP($E:$E,'（居民）工资表-2月'!$E:$T,16,0),0)</f>
        <v>15000</v>
      </c>
      <c r="U8" s="91">
        <f>Q8+IFERROR(VLOOKUP($E:$E,'（居民）工资表-2月'!$E:$U,17,0),0)</f>
        <v>2316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14184</v>
      </c>
      <c r="AE8" s="96">
        <f>ROUND(MAX((AD8)*{0.03;0.1;0.2;0.25;0.3;0.35;0.45}-{0;2520;16920;31920;52920;85920;181920},0),2)</f>
        <v>425.52</v>
      </c>
      <c r="AF8" s="97">
        <f>IFERROR(VLOOKUP(E:E,'（居民）工资表-2月'!E:AF,28,0)+VLOOKUP(E:E,'（居民）工资表-2月'!E:AG,29,0),0)</f>
        <v>283.68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19500</v>
      </c>
      <c r="T9" s="91">
        <f>5000+IFERROR(VLOOKUP($E:$E,'（居民）工资表-2月'!$E:$T,16,0),0)</f>
        <v>15000</v>
      </c>
      <c r="U9" s="91">
        <f>Q9+IFERROR(VLOOKUP($E:$E,'（居民）工资表-2月'!$E:$U,17,0),0)</f>
        <v>1603.89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2896.11</v>
      </c>
      <c r="AE9" s="96">
        <f>ROUND(MAX((AD9)*{0.03;0.1;0.2;0.25;0.3;0.35;0.45}-{0;2520;16920;31920;52920;85920;181920},0),2)</f>
        <v>86.88</v>
      </c>
      <c r="AF9" s="97">
        <f>IFERROR(VLOOKUP(E:E,'（居民）工资表-2月'!E:AF,28,0)+VLOOKUP(E:E,'（居民）工资表-2月'!E:AG,29,0),0)</f>
        <v>57.69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168</v>
      </c>
      <c r="D10" s="37" t="s">
        <v>143</v>
      </c>
      <c r="E10" s="326" t="s">
        <v>169</v>
      </c>
      <c r="F10" s="38" t="s">
        <v>148</v>
      </c>
      <c r="G10" s="39" t="s">
        <v>170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13577.52</v>
      </c>
      <c r="T10" s="91">
        <f>5000+IFERROR(VLOOKUP($E:$E,'（居民）工资表-2月'!$E:$T,16,0),0)</f>
        <v>15000</v>
      </c>
      <c r="U10" s="91">
        <f>Q10+IFERROR(VLOOKUP($E:$E,'（居民）工资表-2月'!$E:$U,17,0),0)</f>
        <v>1889.58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-3312.06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173</v>
      </c>
      <c r="D11" s="37" t="s">
        <v>143</v>
      </c>
      <c r="E11" s="326" t="s">
        <v>174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25500</v>
      </c>
      <c r="T11" s="91">
        <f>5000+IFERROR(VLOOKUP($E:$E,'（居民）工资表-2月'!$E:$T,16,0),0)</f>
        <v>15000</v>
      </c>
      <c r="U11" s="91">
        <f>Q11+IFERROR(VLOOKUP($E:$E,'（居民）工资表-2月'!$E:$U,17,0),0)</f>
        <v>1677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8823</v>
      </c>
      <c r="AE11" s="96">
        <f>ROUND(MAX((AD11)*{0.03;0.1;0.2;0.25;0.3;0.35;0.45}-{0;2520;16920;31920;52920;85920;181920},0),2)</f>
        <v>264.69</v>
      </c>
      <c r="AF11" s="97">
        <f>IFERROR(VLOOKUP(E:E,'（居民）工资表-2月'!E:AF,28,0)+VLOOKUP(E:E,'（居民）工资表-2月'!E:AG,29,0),0)</f>
        <v>176.46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175</v>
      </c>
      <c r="D12" s="37" t="s">
        <v>143</v>
      </c>
      <c r="E12" s="326" t="s">
        <v>176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21000</v>
      </c>
      <c r="T12" s="91">
        <f>5000+IFERROR(VLOOKUP($E:$E,'（居民）工资表-2月'!$E:$T,16,0),0)</f>
        <v>15000</v>
      </c>
      <c r="U12" s="91">
        <f>Q12+IFERROR(VLOOKUP($E:$E,'（居民）工资表-2月'!$E:$U,17,0),0)</f>
        <v>2316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3684</v>
      </c>
      <c r="AE12" s="96">
        <f>ROUND(MAX((AD12)*{0.03;0.1;0.2;0.25;0.3;0.35;0.45}-{0;2520;16920;31920;52920;85920;181920},0),2)</f>
        <v>110.52</v>
      </c>
      <c r="AF12" s="97">
        <f>IFERROR(VLOOKUP(E:E,'（居民）工资表-2月'!E:AF,28,0)+VLOOKUP(E:E,'（居民）工资表-2月'!E:AG,29,0),0)</f>
        <v>73.68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177</v>
      </c>
      <c r="D13" s="37" t="s">
        <v>143</v>
      </c>
      <c r="E13" s="326" t="s">
        <v>178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21608.7</v>
      </c>
      <c r="T13" s="91">
        <f>5000+IFERROR(VLOOKUP($E:$E,'（居民）工资表-2月'!$E:$T,16,0),0)</f>
        <v>15000</v>
      </c>
      <c r="U13" s="91">
        <f>Q13+IFERROR(VLOOKUP($E:$E,'（居民）工资表-2月'!$E:$U,17,0),0)</f>
        <v>2316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4292.7</v>
      </c>
      <c r="AE13" s="96">
        <f>ROUND(MAX((AD13)*{0.03;0.1;0.2;0.25;0.3;0.35;0.45}-{0;2520;16920;31920;52920;85920;181920},0),2)</f>
        <v>128.78</v>
      </c>
      <c r="AF13" s="97">
        <f>IFERROR(VLOOKUP(E:E,'（居民）工资表-2月'!E:AF,28,0)+VLOOKUP(E:E,'（居民）工资表-2月'!E:AG,29,0),0)</f>
        <v>91.94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179</v>
      </c>
      <c r="D14" s="37" t="s">
        <v>143</v>
      </c>
      <c r="E14" s="326" t="s">
        <v>180</v>
      </c>
      <c r="F14" s="38" t="s">
        <v>148</v>
      </c>
      <c r="G14" s="39" t="s">
        <v>181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21000</v>
      </c>
      <c r="T14" s="91">
        <f>5000+IFERROR(VLOOKUP($E:$E,'（居民）工资表-2月'!$E:$T,16,0),0)</f>
        <v>15000</v>
      </c>
      <c r="U14" s="91">
        <f>Q14+IFERROR(VLOOKUP($E:$E,'（居民）工资表-2月'!$E:$U,17,0),0)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IFERROR(VLOOKUP(E:E,'（居民）工资表-2月'!E:AF,28,0)+VLOOKUP(E:E,'（居民）工资表-2月'!E:AG,29,0),0)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182</v>
      </c>
      <c r="D15" s="37" t="s">
        <v>143</v>
      </c>
      <c r="E15" s="326" t="s">
        <v>183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18701.74</v>
      </c>
      <c r="T15" s="91">
        <f>5000+IFERROR(VLOOKUP($E:$E,'（居民）工资表-2月'!$E:$T,16,0),0)</f>
        <v>15000</v>
      </c>
      <c r="U15" s="91">
        <f>Q15+IFERROR(VLOOKUP($E:$E,'（居民）工资表-2月'!$E:$U,17,0),0)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2118.61</v>
      </c>
      <c r="AE15" s="96">
        <f>ROUND(MAX((AD15)*{0.03;0.1;0.2;0.25;0.3;0.35;0.45}-{0;2520;16920;31920;52920;85920;181920},0),2)</f>
        <v>63.56</v>
      </c>
      <c r="AF15" s="97">
        <f>IFERROR(VLOOKUP(E:E,'（居民）工资表-2月'!E:AF,28,0)+VLOOKUP(E:E,'（居民）工资表-2月'!E:AG,29,0),0)</f>
        <v>47.59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186</v>
      </c>
      <c r="D16" s="37" t="s">
        <v>143</v>
      </c>
      <c r="E16" s="326" t="s">
        <v>187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18000</v>
      </c>
      <c r="T16" s="91">
        <f>5000+IFERROR(VLOOKUP($E:$E,'（居民）工资表-2月'!$E:$T,16,0),0)</f>
        <v>15000</v>
      </c>
      <c r="U16" s="91">
        <f>Q16+IFERROR(VLOOKUP($E:$E,'（居民）工资表-2月'!$E:$U,17,0),0)</f>
        <v>1575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1425</v>
      </c>
      <c r="AE16" s="96">
        <f>ROUND(MAX((AD16)*{0.03;0.1;0.2;0.25;0.3;0.35;0.45}-{0;2520;16920;31920;52920;85920;181920},0),2)</f>
        <v>42.75</v>
      </c>
      <c r="AF16" s="97">
        <f>IFERROR(VLOOKUP(E:E,'（居民）工资表-2月'!E:AF,28,0)+VLOOKUP(E:E,'（居民）工资表-2月'!E:AG,29,0),0)</f>
        <v>28.5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212</v>
      </c>
      <c r="D17" s="37" t="s">
        <v>143</v>
      </c>
      <c r="E17" s="326" t="s">
        <v>213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17556.93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2110.84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5446.09</v>
      </c>
      <c r="AE17" s="96">
        <f>ROUND(MAX((AD17)*{0.03;0.1;0.2;0.25;0.3;0.35;0.45}-{0;2520;16920;31920;52920;85920;181920},0),2)</f>
        <v>163.38</v>
      </c>
      <c r="AF17" s="97">
        <f>IFERROR(VLOOKUP(E:E,'（居民）工资表-2月'!E:AF,28,0)+VLOOKUP(E:E,'（居民）工资表-2月'!E:AG,29,0),0)</f>
        <v>32.07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192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363224.89</v>
      </c>
      <c r="T19" s="74">
        <f t="shared" si="10"/>
        <v>205000</v>
      </c>
      <c r="U19" s="74">
        <f t="shared" si="10"/>
        <v>27342.04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123682.85</v>
      </c>
      <c r="AE19" s="74">
        <f t="shared" si="10"/>
        <v>6355.12</v>
      </c>
      <c r="AF19" s="74">
        <f t="shared" si="10"/>
        <v>3400.43</v>
      </c>
      <c r="AG19" s="74">
        <f t="shared" si="10"/>
        <v>3024.15</v>
      </c>
      <c r="AH19" s="74">
        <f t="shared" si="10"/>
        <v>112828.17</v>
      </c>
      <c r="AI19" s="74">
        <f t="shared" si="10"/>
        <v>0</v>
      </c>
      <c r="AJ19" s="74">
        <f t="shared" si="10"/>
        <v>112828.17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193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112828.17</v>
      </c>
      <c r="C24" s="48">
        <f>AG19</f>
        <v>3024.15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194</v>
      </c>
      <c r="B26" s="52" t="s">
        <v>195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196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197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198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199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200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201</v>
      </c>
    </row>
    <row r="34" spans="2:2">
      <c r="B34" s="59" t="s">
        <v>202</v>
      </c>
    </row>
    <row r="35" spans="2:2">
      <c r="B35" s="59" t="s">
        <v>203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32000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2450.8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9549.2</v>
      </c>
      <c r="AE4" s="96">
        <f>ROUND(MAX((AD4)*{0.03;0.1;0.2;0.25;0.3;0.35;0.45}-{0;2520;16920;31920;52920;85920;181920},0),2)</f>
        <v>286.48</v>
      </c>
      <c r="AF4" s="97">
        <f>IFERROR(VLOOKUP(E:E,'（居民）工资表-3月'!E:AF,28,0)+VLOOKUP(E:E,'（居民）工资表-3月'!E:AG,29,0),0)</f>
        <v>69.46</v>
      </c>
      <c r="AG4" s="97">
        <f t="shared" ref="AG4:AG22" si="3">IF((AE4-AF4)&lt;0,0,AE4-AF4)</f>
        <v>217.02</v>
      </c>
      <c r="AH4" s="107">
        <f t="shared" ref="AH4:AH22" si="4">ROUND(IF((L4-Q4-AG4)&lt;0,0,(L4-Q4-AG4)),2)</f>
        <v>7194.28</v>
      </c>
      <c r="AI4" s="108"/>
      <c r="AJ4" s="107">
        <f t="shared" ref="AJ4:AJ22" si="5">AH4+AI4</f>
        <v>7194.28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22800</v>
      </c>
      <c r="T5" s="91">
        <f>5000+IFERROR(VLOOKUP($E:$E,'（居民）工资表-3月'!$E:$T,16,0),0)</f>
        <v>20000</v>
      </c>
      <c r="U5" s="91">
        <f>Q5+IFERROR(VLOOKUP($E:$E,'（居民）工资表-3月'!$E:$U,17,0),0)</f>
        <v>2648.96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151.04</v>
      </c>
      <c r="AE5" s="96">
        <f>ROUND(MAX((AD5)*{0.03;0.1;0.2;0.25;0.3;0.35;0.45}-{0;2520;16920;31920;52920;85920;181920},0),2)</f>
        <v>4.53</v>
      </c>
      <c r="AF5" s="97">
        <f>IFERROR(VLOOKUP(E:E,'（居民）工资表-3月'!E:AF,28,0)+VLOOKUP(E:E,'（居民）工资表-3月'!E:AG,29,0),0)</f>
        <v>3.4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120240</v>
      </c>
      <c r="T6" s="91">
        <f>5000+IFERROR(VLOOKUP($E:$E,'（居民）工资表-3月'!$E:$T,16,0),0)</f>
        <v>20000</v>
      </c>
      <c r="U6" s="91">
        <f>Q6+IFERROR(VLOOKUP($E:$E,'（居民）工资表-3月'!$E:$U,17,0),0)</f>
        <v>3794.2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96445.8</v>
      </c>
      <c r="AE6" s="96">
        <f>ROUND(MAX((AD6)*{0.03;0.1;0.2;0.25;0.3;0.35;0.45}-{0;2520;16920;31920;52920;85920;181920},0),2)</f>
        <v>7124.58</v>
      </c>
      <c r="AF6" s="97">
        <f>IFERROR(VLOOKUP(E:E,'（居民）工资表-3月'!E:AF,28,0)+VLOOKUP(E:E,'（居民）工资表-3月'!E:AG,29,0),0)</f>
        <v>4713.44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32000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2110.84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9889.16</v>
      </c>
      <c r="AE7" s="96">
        <f>ROUND(MAX((AD7)*{0.03;0.1;0.2;0.25;0.3;0.35;0.45}-{0;2520;16920;31920;52920;85920;181920},0),2)</f>
        <v>296.67</v>
      </c>
      <c r="AF7" s="97">
        <f>IFERROR(VLOOKUP(E:E,'（居民）工资表-3月'!E:AF,28,0)+VLOOKUP(E:E,'（居民）工资表-3月'!E:AG,29,0),0)</f>
        <v>222.51</v>
      </c>
      <c r="AG7" s="97">
        <f t="shared" si="3"/>
        <v>74.16</v>
      </c>
      <c r="AH7" s="107">
        <f t="shared" si="4"/>
        <v>7398.13</v>
      </c>
      <c r="AI7" s="108"/>
      <c r="AJ7" s="107">
        <f t="shared" si="5"/>
        <v>7398.13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42000</v>
      </c>
      <c r="T8" s="93">
        <f>5000+IFERROR(VLOOKUP($E:$E,'（居民）工资表-3月'!$E:$T,16,0),0)</f>
        <v>20000</v>
      </c>
      <c r="U8" s="93">
        <f>Q8+IFERROR(VLOOKUP($E:$E,'（居民）工资表-3月'!$E:$U,17,0),0)</f>
        <v>3088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18912</v>
      </c>
      <c r="AE8" s="99">
        <f>ROUND(MAX((AD8)*{0.03;0.1;0.2;0.25;0.3;0.35;0.45}-{0;2520;16920;31920;52920;85920;181920},0),2)</f>
        <v>567.36</v>
      </c>
      <c r="AF8" s="100">
        <f>IFERROR(VLOOKUP(E:E,'（居民）工资表-3月'!E:AF,28,0)+VLOOKUP(E:E,'（居民）工资表-3月'!E:AG,29,0),0)</f>
        <v>425.52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26000</v>
      </c>
      <c r="T9" s="91">
        <f>5000+IFERROR(VLOOKUP($E:$E,'（居民）工资表-3月'!$E:$T,16,0),0)</f>
        <v>20000</v>
      </c>
      <c r="U9" s="91">
        <f>Q9+IFERROR(VLOOKUP($E:$E,'（居民）工资表-3月'!$E:$U,17,0),0)</f>
        <v>2130.69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3869.31</v>
      </c>
      <c r="AE9" s="96">
        <f>ROUND(MAX((AD9)*{0.03;0.1;0.2;0.25;0.3;0.35;0.45}-{0;2520;16920;31920;52920;85920;181920},0),2)</f>
        <v>116.08</v>
      </c>
      <c r="AF9" s="97">
        <f>IFERROR(VLOOKUP(E:E,'（居民）工资表-3月'!E:AF,28,0)+VLOOKUP(E:E,'（居民）工资表-3月'!E:AG,29,0),0)</f>
        <v>86.88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168</v>
      </c>
      <c r="D10" s="37" t="s">
        <v>143</v>
      </c>
      <c r="E10" s="326" t="s">
        <v>169</v>
      </c>
      <c r="F10" s="38" t="s">
        <v>148</v>
      </c>
      <c r="G10" s="39" t="s">
        <v>170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18103.36</v>
      </c>
      <c r="T10" s="91">
        <f>5000+IFERROR(VLOOKUP($E:$E,'（居民）工资表-3月'!$E:$T,16,0),0)</f>
        <v>20000</v>
      </c>
      <c r="U10" s="91">
        <f>Q10+IFERROR(VLOOKUP($E:$E,'（居民）工资表-3月'!$E:$U,17,0),0)</f>
        <v>2519.44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-4416.08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173</v>
      </c>
      <c r="D11" s="37" t="s">
        <v>143</v>
      </c>
      <c r="E11" s="326" t="s">
        <v>174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34000</v>
      </c>
      <c r="T11" s="91">
        <f>5000+IFERROR(VLOOKUP($E:$E,'（居民）工资表-3月'!$E:$T,16,0),0)</f>
        <v>20000</v>
      </c>
      <c r="U11" s="91">
        <f>Q11+IFERROR(VLOOKUP($E:$E,'（居民）工资表-3月'!$E:$U,17,0),0)</f>
        <v>2236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11764</v>
      </c>
      <c r="AE11" s="96">
        <f>ROUND(MAX((AD11)*{0.03;0.1;0.2;0.25;0.3;0.35;0.45}-{0;2520;16920;31920;52920;85920;181920},0),2)</f>
        <v>352.92</v>
      </c>
      <c r="AF11" s="97">
        <f>IFERROR(VLOOKUP(E:E,'（居民）工资表-3月'!E:AF,28,0)+VLOOKUP(E:E,'（居民）工资表-3月'!E:AG,29,0),0)</f>
        <v>264.69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175</v>
      </c>
      <c r="D12" s="37" t="s">
        <v>143</v>
      </c>
      <c r="E12" s="326" t="s">
        <v>176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28000</v>
      </c>
      <c r="T12" s="91">
        <f>5000+IFERROR(VLOOKUP($E:$E,'（居民）工资表-3月'!$E:$T,16,0),0)</f>
        <v>20000</v>
      </c>
      <c r="U12" s="91">
        <f>Q12+IFERROR(VLOOKUP($E:$E,'（居民）工资表-3月'!$E:$U,17,0),0)</f>
        <v>3088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4912</v>
      </c>
      <c r="AE12" s="96">
        <f>ROUND(MAX((AD12)*{0.03;0.1;0.2;0.25;0.3;0.35;0.45}-{0;2520;16920;31920;52920;85920;181920},0),2)</f>
        <v>147.36</v>
      </c>
      <c r="AF12" s="97">
        <f>IFERROR(VLOOKUP(E:E,'（居民）工资表-3月'!E:AF,28,0)+VLOOKUP(E:E,'（居民）工资表-3月'!E:AG,29,0),0)</f>
        <v>110.52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177</v>
      </c>
      <c r="D13" s="37" t="s">
        <v>143</v>
      </c>
      <c r="E13" s="326" t="s">
        <v>178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28608.7</v>
      </c>
      <c r="T13" s="91">
        <f>5000+IFERROR(VLOOKUP($E:$E,'（居民）工资表-3月'!$E:$T,16,0),0)</f>
        <v>20000</v>
      </c>
      <c r="U13" s="91">
        <f>Q13+IFERROR(VLOOKUP($E:$E,'（居民）工资表-3月'!$E:$U,17,0),0)</f>
        <v>3088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5520.7</v>
      </c>
      <c r="AE13" s="96">
        <f>ROUND(MAX((AD13)*{0.03;0.1;0.2;0.25;0.3;0.35;0.45}-{0;2520;16920;31920;52920;85920;181920},0),2)</f>
        <v>165.62</v>
      </c>
      <c r="AF13" s="97">
        <f>IFERROR(VLOOKUP(E:E,'（居民）工资表-3月'!E:AF,28,0)+VLOOKUP(E:E,'（居民）工资表-3月'!E:AG,29,0),0)</f>
        <v>128.78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179</v>
      </c>
      <c r="D14" s="37" t="s">
        <v>143</v>
      </c>
      <c r="E14" s="326" t="s">
        <v>180</v>
      </c>
      <c r="F14" s="38" t="s">
        <v>148</v>
      </c>
      <c r="G14" s="39" t="s">
        <v>181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28000</v>
      </c>
      <c r="T14" s="91">
        <f>5000+IFERROR(VLOOKUP($E:$E,'（居民）工资表-3月'!$E:$T,16,0),0)</f>
        <v>20000</v>
      </c>
      <c r="U14" s="91">
        <f>Q14+IFERROR(VLOOKUP($E:$E,'（居民）工资表-3月'!$E:$U,17,0),0)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IFERROR(VLOOKUP(E:E,'（居民）工资表-3月'!E:AF,28,0)+VLOOKUP(E:E,'（居民）工资表-3月'!E:AG,29,0),0)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182</v>
      </c>
      <c r="D15" s="37" t="s">
        <v>143</v>
      </c>
      <c r="E15" s="326" t="s">
        <v>183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25001.74</v>
      </c>
      <c r="T15" s="91">
        <f>5000+IFERROR(VLOOKUP($E:$E,'（居民）工资表-3月'!$E:$T,16,0),0)</f>
        <v>20000</v>
      </c>
      <c r="U15" s="91">
        <f>Q15+IFERROR(VLOOKUP($E:$E,'（居民）工资表-3月'!$E:$U,17,0),0)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2890.9</v>
      </c>
      <c r="AE15" s="96">
        <f>ROUND(MAX((AD15)*{0.03;0.1;0.2;0.25;0.3;0.35;0.45}-{0;2520;16920;31920;52920;85920;181920},0),2)</f>
        <v>86.73</v>
      </c>
      <c r="AF15" s="97">
        <f>IFERROR(VLOOKUP(E:E,'（居民）工资表-3月'!E:AF,28,0)+VLOOKUP(E:E,'（居民）工资表-3月'!E:AG,29,0),0)</f>
        <v>63.56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186</v>
      </c>
      <c r="D16" s="37" t="s">
        <v>143</v>
      </c>
      <c r="E16" s="326" t="s">
        <v>187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24000</v>
      </c>
      <c r="T16" s="91">
        <f>5000+IFERROR(VLOOKUP($E:$E,'（居民）工资表-3月'!$E:$T,16,0),0)</f>
        <v>20000</v>
      </c>
      <c r="U16" s="91">
        <f>Q16+IFERROR(VLOOKUP($E:$E,'（居民）工资表-3月'!$E:$U,17,0),0)</f>
        <v>2100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1900</v>
      </c>
      <c r="AE16" s="96">
        <f>ROUND(MAX((AD16)*{0.03;0.1;0.2;0.25;0.3;0.35;0.45}-{0;2520;16920;31920;52920;85920;181920},0),2)</f>
        <v>57</v>
      </c>
      <c r="AF16" s="97">
        <f>IFERROR(VLOOKUP(E:E,'（居民）工资表-3月'!E:AF,28,0)+VLOOKUP(E:E,'（居民）工资表-3月'!E:AG,29,0),0)</f>
        <v>42.75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212</v>
      </c>
      <c r="D17" s="37" t="s">
        <v>143</v>
      </c>
      <c r="E17" s="326" t="s">
        <v>213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27556.93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2638.55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9918.38</v>
      </c>
      <c r="AE17" s="96">
        <f>ROUND(MAX((AD17)*{0.03;0.1;0.2;0.25;0.3;0.35;0.45}-{0;2520;16920;31920;52920;85920;181920},0),2)</f>
        <v>297.55</v>
      </c>
      <c r="AF17" s="97">
        <f>IFERROR(VLOOKUP(E:E,'（居民）工资表-3月'!E:AF,28,0)+VLOOKUP(E:E,'（居民）工资表-3月'!E:AG,29,0),0)</f>
        <v>163.38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214</v>
      </c>
      <c r="D18" s="37" t="s">
        <v>143</v>
      </c>
      <c r="E18" s="37" t="s">
        <v>215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490337.4</v>
      </c>
      <c r="T20" s="74">
        <f t="shared" si="10"/>
        <v>280000</v>
      </c>
      <c r="U20" s="74">
        <f t="shared" si="10"/>
        <v>37345.46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172991.94</v>
      </c>
      <c r="AE20" s="74">
        <f t="shared" si="10"/>
        <v>9675.8</v>
      </c>
      <c r="AF20" s="74">
        <f t="shared" si="10"/>
        <v>6424.58</v>
      </c>
      <c r="AG20" s="74">
        <f t="shared" si="10"/>
        <v>3251.22</v>
      </c>
      <c r="AH20" s="74">
        <f t="shared" si="10"/>
        <v>113857.87</v>
      </c>
      <c r="AI20" s="74">
        <f t="shared" si="10"/>
        <v>0</v>
      </c>
      <c r="AJ20" s="74">
        <f t="shared" si="10"/>
        <v>113857.87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193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113857.87</v>
      </c>
      <c r="C25" s="48">
        <f>AG20</f>
        <v>3251.22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227</v>
      </c>
      <c r="C1" s="1"/>
      <c r="D1" s="1"/>
      <c r="E1" s="1"/>
    </row>
    <row r="2" ht="21" spans="2:2">
      <c r="B2" s="2"/>
    </row>
    <row r="3" ht="27.75" customHeight="1" spans="2:5">
      <c r="B3" s="3" t="s">
        <v>228</v>
      </c>
      <c r="C3" s="4" t="s">
        <v>229</v>
      </c>
      <c r="D3" s="4" t="s">
        <v>230</v>
      </c>
      <c r="E3" s="4" t="s">
        <v>231</v>
      </c>
    </row>
    <row r="4" ht="29.25" customHeight="1" spans="2:5">
      <c r="B4" s="5">
        <v>1</v>
      </c>
      <c r="C4" s="6" t="s">
        <v>232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238</v>
      </c>
      <c r="D10" s="7">
        <v>0.45</v>
      </c>
      <c r="E10" s="8">
        <v>181920</v>
      </c>
    </row>
    <row r="13" ht="57" customHeight="1" spans="2:5">
      <c r="B13" s="1" t="s">
        <v>239</v>
      </c>
      <c r="C13" s="1"/>
      <c r="D13" s="1"/>
      <c r="E13" s="1"/>
    </row>
    <row r="14" ht="21" spans="2:2">
      <c r="B14" s="2"/>
    </row>
    <row r="15" ht="27.75" customHeight="1" spans="2:5">
      <c r="B15" s="3" t="s">
        <v>228</v>
      </c>
      <c r="C15" s="4" t="s">
        <v>240</v>
      </c>
      <c r="D15" s="4" t="s">
        <v>230</v>
      </c>
      <c r="E15" s="4" t="s">
        <v>231</v>
      </c>
    </row>
    <row r="16" ht="29.25" customHeight="1" spans="2:5">
      <c r="B16" s="5">
        <v>1</v>
      </c>
      <c r="C16" s="6" t="s">
        <v>241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243</v>
      </c>
      <c r="D18" s="7">
        <v>0.4</v>
      </c>
      <c r="E18" s="8">
        <v>7000</v>
      </c>
    </row>
    <row r="21" ht="47.25" customHeight="1" spans="2:5">
      <c r="B21" s="1" t="s">
        <v>244</v>
      </c>
      <c r="C21" s="1"/>
      <c r="D21" s="1"/>
      <c r="E21" s="1"/>
    </row>
    <row r="22" ht="21" spans="2:2">
      <c r="B22" s="2"/>
    </row>
    <row r="23" ht="27.75" customHeight="1" spans="2:5">
      <c r="B23" s="3" t="s">
        <v>228</v>
      </c>
      <c r="C23" s="4" t="s">
        <v>245</v>
      </c>
      <c r="D23" s="4" t="s">
        <v>230</v>
      </c>
      <c r="E23" s="4" t="s">
        <v>231</v>
      </c>
    </row>
    <row r="24" ht="29.25" customHeight="1" spans="2:5">
      <c r="B24" s="5">
        <v>1</v>
      </c>
      <c r="C24" s="6" t="s">
        <v>246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250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251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252</v>
      </c>
      <c r="D30" s="7">
        <v>0.45</v>
      </c>
      <c r="E30" s="8">
        <v>15160</v>
      </c>
    </row>
    <row r="35" ht="57" customHeight="1" spans="2:5">
      <c r="B35" s="9" t="s">
        <v>253</v>
      </c>
      <c r="C35" s="9"/>
      <c r="D35" s="9"/>
      <c r="E35" s="9"/>
    </row>
    <row r="36" ht="14.25"/>
    <row r="37" ht="21.75" customHeight="1" spans="2:5">
      <c r="B37" s="3" t="s">
        <v>228</v>
      </c>
      <c r="C37" s="4" t="s">
        <v>254</v>
      </c>
      <c r="D37" s="4" t="s">
        <v>255</v>
      </c>
      <c r="E37" s="4" t="s">
        <v>231</v>
      </c>
    </row>
    <row r="38" ht="21.75" customHeight="1" spans="2:5">
      <c r="B38" s="5">
        <v>1</v>
      </c>
      <c r="C38" s="6" t="s">
        <v>246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250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251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workbookViewId="0">
      <selection activeCell="J17" sqref="J17:M23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122474.99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122474.99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122474.99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'（居民）工资表-5月'!E25</f>
        <v>122474.99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122474.99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122474.99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122474.99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11" sqref="M11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296.26</v>
      </c>
      <c r="N4" s="71">
        <v>76.62</v>
      </c>
      <c r="O4" s="71">
        <v>11.11</v>
      </c>
      <c r="P4" s="71">
        <v>177</v>
      </c>
      <c r="Q4" s="89">
        <f>ROUND(SUM(M4:P4),2)</f>
        <v>560.99</v>
      </c>
      <c r="R4" s="70">
        <v>0</v>
      </c>
      <c r="S4" s="90">
        <f>L4+IFERROR(VLOOKUP($E:$E,'（居民）工资表-6月'!$E:$S,15,0),0)</f>
        <v>56000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4161.48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38.52</v>
      </c>
      <c r="AE4" s="96">
        <f>ROUND(MAX((AD4)*{0.03;0.1;0.2;0.25;0.3;0.35;0.45}-{0;2520;16920;31920;52920;85920;181920},0),2)</f>
        <v>1.16</v>
      </c>
      <c r="AF4" s="97">
        <f>IFERROR(VLOOKUP(E:E,'（居民）工资表-6月'!E:AF,28,0)+VLOOKUP(E:E,'（居民）工资表-6月'!E:AG,29,0),0)</f>
        <v>431.99</v>
      </c>
      <c r="AG4" s="97">
        <f>IF((AE4-AF4)&lt;0,0,AE4-AF4)</f>
        <v>0</v>
      </c>
      <c r="AH4" s="107">
        <f>ROUND(IF((L4-Q4-AG4)&lt;0,0,(L4-Q4-AG4)),2)</f>
        <v>7439.01</v>
      </c>
      <c r="AI4" s="108"/>
      <c r="AJ4" s="107">
        <f>AH4+AI4</f>
        <v>7439.01</v>
      </c>
      <c r="AK4" s="109"/>
      <c r="AL4" s="107">
        <f>AJ4+AG4+AK4</f>
        <v>7439.01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367.04</v>
      </c>
      <c r="N5" s="71">
        <v>113.48</v>
      </c>
      <c r="O5" s="71">
        <v>4.6</v>
      </c>
      <c r="P5" s="71">
        <v>115</v>
      </c>
      <c r="Q5" s="89">
        <f>ROUND(SUM(M5:P5),2)</f>
        <v>600.12</v>
      </c>
      <c r="R5" s="70">
        <v>0</v>
      </c>
      <c r="S5" s="90">
        <f>L5+IFERROR(VLOOKUP($E:$E,'（居民）工资表-6月'!$E:$S,15,0),0)</f>
        <v>39900</v>
      </c>
      <c r="T5" s="91">
        <f>5000+IFERROR(VLOOKUP($E:$E,'（居民）工资表-6月'!$E:$T,16,0),0)</f>
        <v>35000</v>
      </c>
      <c r="U5" s="91">
        <f>Q5+IFERROR(VLOOKUP($E:$E,'（居民）工资表-6月'!$E:$U,17,0),0)</f>
        <v>4511.44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-6611.44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8.66</v>
      </c>
      <c r="AG5" s="97">
        <f>IF((AE5-AF5)&lt;0,0,AE5-AF5)</f>
        <v>0</v>
      </c>
      <c r="AH5" s="107">
        <f>ROUND(IF((L5-Q5-AG5)&lt;0,0,(L5-Q5-AG5)),2)</f>
        <v>5099.88</v>
      </c>
      <c r="AI5" s="108"/>
      <c r="AJ5" s="107">
        <f>AH5+AI5</f>
        <v>5099.88</v>
      </c>
      <c r="AK5" s="109"/>
      <c r="AL5" s="107">
        <f>AJ5+AG5+AK5</f>
        <v>5099.88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30560</v>
      </c>
      <c r="M6" s="71">
        <v>584.8</v>
      </c>
      <c r="N6" s="71">
        <v>146.2</v>
      </c>
      <c r="O6" s="71">
        <v>36.55</v>
      </c>
      <c r="P6" s="71">
        <v>181.3</v>
      </c>
      <c r="Q6" s="89">
        <f>ROUND(SUM(M6:P6),2)</f>
        <v>948.85</v>
      </c>
      <c r="R6" s="70">
        <v>0</v>
      </c>
      <c r="S6" s="90">
        <f>L6+IFERROR(VLOOKUP($E:$E,'（居民）工资表-6月'!$E:$S,15,0),0)</f>
        <v>210920</v>
      </c>
      <c r="T6" s="91">
        <f>5000+IFERROR(VLOOKUP($E:$E,'（居民）工资表-6月'!$E:$T,16,0),0)</f>
        <v>35000</v>
      </c>
      <c r="U6" s="91">
        <f>Q6+IFERROR(VLOOKUP($E:$E,'（居民）工资表-6月'!$E:$U,17,0),0)</f>
        <v>6557.5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158862.5</v>
      </c>
      <c r="AE6" s="96">
        <f>ROUND(MAX((AD6)*{0.03;0.1;0.2;0.25;0.3;0.35;0.45}-{0;2520;16920;31920;52920;85920;181920},0),2)</f>
        <v>14852.5</v>
      </c>
      <c r="AF6" s="97">
        <f>IFERROR(VLOOKUP(E:E,'（居民）工资表-6月'!E:AF,28,0)+VLOOKUP(E:E,'（居民）工资表-6月'!E:AG,29,0),0)</f>
        <v>12030.27</v>
      </c>
      <c r="AG6" s="97">
        <f>IF((AE6-AF6)&lt;0,0,AE6-AF6)</f>
        <v>2822.23</v>
      </c>
      <c r="AH6" s="107">
        <f>ROUND(IF((L6-Q6-AG6)&lt;0,0,(L6-Q6-AG6)),2)</f>
        <v>26788.92</v>
      </c>
      <c r="AI6" s="108"/>
      <c r="AJ6" s="107">
        <f>AH6+AI6</f>
        <v>26788.92</v>
      </c>
      <c r="AK6" s="109"/>
      <c r="AL6" s="107">
        <f>AJ6+AG6+AK6</f>
        <v>29611.15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9100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ref="Q7:Q19" si="0">ROUND(SUM(M7:P7),2)</f>
        <v>507.36</v>
      </c>
      <c r="R7" s="70">
        <v>0</v>
      </c>
      <c r="S7" s="90">
        <f>L7+IFERROR(VLOOKUP($E:$E,'（居民）工资表-6月'!$E:$S,15,0),0)</f>
        <v>57100</v>
      </c>
      <c r="T7" s="91">
        <f>5000+IFERROR(VLOOKUP($E:$E,'（居民）工资表-6月'!$E:$T,16,0),0)</f>
        <v>35000</v>
      </c>
      <c r="U7" s="91">
        <f>Q7+IFERROR(VLOOKUP($E:$E,'（居民）工资表-6月'!$E:$U,17,0),0)</f>
        <v>3653.27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13446.73</v>
      </c>
      <c r="AE7" s="96">
        <f>ROUND(MAX((AD7)*{0.03;0.1;0.2;0.25;0.3;0.35;0.45}-{0;2520;16920;31920;52920;85920;181920},0),2)</f>
        <v>403.4</v>
      </c>
      <c r="AF7" s="97">
        <f>IFERROR(VLOOKUP(E:E,'（居民）工资表-6月'!E:AF,28,0)+VLOOKUP(E:E,'（居民）工资表-6月'!E:AG,29,0),0)</f>
        <v>445.62</v>
      </c>
      <c r="AG7" s="97">
        <f t="shared" ref="AG7:AG19" si="3">IF((AE7-AF7)&lt;0,0,AE7-AF7)</f>
        <v>0</v>
      </c>
      <c r="AH7" s="107">
        <f t="shared" ref="AH7:AH19" si="4">ROUND(IF((L7-Q7-AG7)&lt;0,0,(L7-Q7-AG7)),2)</f>
        <v>8592.64</v>
      </c>
      <c r="AI7" s="108"/>
      <c r="AJ7" s="107">
        <f t="shared" ref="AJ7:AJ19" si="5">AH7+AI7</f>
        <v>8592.64</v>
      </c>
      <c r="AK7" s="109"/>
      <c r="AL7" s="107">
        <f t="shared" ref="AL7:AL19" si="6">AJ7+AG7+AK7</f>
        <v>8592.64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10300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L8+IFERROR(VLOOKUP($E:$E,'（居民）工资表-6月'!$E:$S,15,0),0)</f>
        <v>72300</v>
      </c>
      <c r="T8" s="91">
        <f>5000+IFERROR(VLOOKUP($E:$E,'（居民）工资表-6月'!$E:$T,16,0),0)</f>
        <v>35000</v>
      </c>
      <c r="U8" s="91">
        <f>Q8+IFERROR(VLOOKUP($E:$E,'（居民）工资表-6月'!$E:$U,17,0),0)</f>
        <v>5020.72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32279.28</v>
      </c>
      <c r="AE8" s="96">
        <f>ROUND(MAX((AD8)*{0.03;0.1;0.2;0.25;0.3;0.35;0.45}-{0;2520;16920;31920;52920;85920;181920},0),2)</f>
        <v>968.38</v>
      </c>
      <c r="AF8" s="97">
        <f>IFERROR(VLOOKUP(E:E,'（居民）工资表-6月'!E:AF,28,0)+VLOOKUP(E:E,'（居民）工资表-6月'!E:AG,29,0),0)</f>
        <v>826.79</v>
      </c>
      <c r="AG8" s="97">
        <f t="shared" si="3"/>
        <v>141.59</v>
      </c>
      <c r="AH8" s="107">
        <f t="shared" si="4"/>
        <v>9578.05</v>
      </c>
      <c r="AI8" s="108"/>
      <c r="AJ8" s="107">
        <f t="shared" si="5"/>
        <v>9578.05</v>
      </c>
      <c r="AK8" s="109"/>
      <c r="AL8" s="107">
        <f t="shared" si="6"/>
        <v>9719.64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L9+IFERROR(VLOOKUP($E:$E,'（居民）工资表-6月'!$E:$S,15,0),0)</f>
        <v>45500</v>
      </c>
      <c r="T9" s="91">
        <f>5000+IFERROR(VLOOKUP($E:$E,'（居民）工资表-6月'!$E:$T,16,0),0)</f>
        <v>35000</v>
      </c>
      <c r="U9" s="91">
        <f>Q9+IFERROR(VLOOKUP($E:$E,'（居民）工资表-6月'!$E:$U,17,0),0)</f>
        <v>3685.81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6814.19</v>
      </c>
      <c r="AE9" s="96">
        <f>ROUND(MAX((AD9)*{0.03;0.1;0.2;0.25;0.3;0.35;0.45}-{0;2520;16920;31920;52920;85920;181920},0),2)</f>
        <v>204.43</v>
      </c>
      <c r="AF9" s="97">
        <f>IFERROR(VLOOKUP(E:E,'（居民）工资表-6月'!E:AF,28,0)+VLOOKUP(E:E,'（居民）工资表-6月'!E:AG,29,0),0)</f>
        <v>174.85</v>
      </c>
      <c r="AG9" s="97">
        <f t="shared" si="3"/>
        <v>29.58</v>
      </c>
      <c r="AH9" s="107">
        <f t="shared" si="4"/>
        <v>5956.26</v>
      </c>
      <c r="AI9" s="108"/>
      <c r="AJ9" s="107">
        <f t="shared" si="5"/>
        <v>5956.26</v>
      </c>
      <c r="AK9" s="109"/>
      <c r="AL9" s="107">
        <f t="shared" si="6"/>
        <v>5985.84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316.56</v>
      </c>
      <c r="N10" s="71">
        <v>84.14</v>
      </c>
      <c r="O10" s="71">
        <v>19.79</v>
      </c>
      <c r="P10" s="71">
        <v>105</v>
      </c>
      <c r="Q10" s="89">
        <f t="shared" si="0"/>
        <v>525.49</v>
      </c>
      <c r="R10" s="70">
        <v>0</v>
      </c>
      <c r="S10" s="90">
        <f>L10+IFERROR(VLOOKUP($E:$E,'（居民）工资表-6月'!$E:$S,15,0),0)</f>
        <v>11000</v>
      </c>
      <c r="T10" s="91">
        <f>5000+IFERROR(VLOOKUP($E:$E,'（居民）工资表-6月'!$E:$T,16,0),0)</f>
        <v>10000</v>
      </c>
      <c r="U10" s="91">
        <f>Q10+IFERROR(VLOOKUP($E:$E,'（居民）工资表-6月'!$E:$U,17,0),0)</f>
        <v>1050.98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-50.98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4974.51</v>
      </c>
      <c r="AI10" s="108"/>
      <c r="AJ10" s="107">
        <f t="shared" si="5"/>
        <v>4974.51</v>
      </c>
      <c r="AK10" s="109"/>
      <c r="AL10" s="107">
        <f t="shared" si="6"/>
        <v>4974.51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L11+IFERROR(VLOOKUP($E:$E,'（居民）工资表-6月'!$E:$S,15,0),0)</f>
        <v>31826.8</v>
      </c>
      <c r="T11" s="91">
        <f>5000+IFERROR(VLOOKUP($E:$E,'（居民）工资表-6月'!$E:$T,16,0),0)</f>
        <v>35000</v>
      </c>
      <c r="U11" s="91">
        <f>Q11+IFERROR(VLOOKUP($E:$E,'（居民）工资表-6月'!$E:$U,17,0),0)</f>
        <v>4335.3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-7508.5</v>
      </c>
      <c r="AE11" s="96">
        <f>ROUND(MAX((AD11)*{0.03;0.1;0.2;0.25;0.3;0.35;0.45}-{0;2520;16920;31920;52920;85920;181920},0),2)</f>
        <v>0</v>
      </c>
      <c r="AF11" s="97">
        <f>IFERROR(VLOOKUP(E:E,'（居民）工资表-6月'!E:AF,28,0)+VLOOKUP(E:E,'（居民）工资表-6月'!E:AG,29,0),0)</f>
        <v>0</v>
      </c>
      <c r="AG11" s="97">
        <f t="shared" si="3"/>
        <v>0</v>
      </c>
      <c r="AH11" s="107">
        <f t="shared" si="4"/>
        <v>4005.8</v>
      </c>
      <c r="AI11" s="108"/>
      <c r="AJ11" s="107">
        <f t="shared" si="5"/>
        <v>4005.8</v>
      </c>
      <c r="AK11" s="109"/>
      <c r="AL11" s="107">
        <f t="shared" si="6"/>
        <v>4005.8</v>
      </c>
      <c r="AM11" s="12" t="s">
        <v>171</v>
      </c>
      <c r="AN11" s="12" t="s">
        <v>172</v>
      </c>
    </row>
    <row r="12" s="12" customFormat="1" ht="18" customHeight="1" spans="1:40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10300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L12+IFERROR(VLOOKUP($E:$E,'（居民）工资表-6月'!$E:$S,15,0),0)</f>
        <v>59800</v>
      </c>
      <c r="T12" s="91">
        <f>5000+IFERROR(VLOOKUP($E:$E,'（居民）工资表-6月'!$E:$T,16,0),0)</f>
        <v>35000</v>
      </c>
      <c r="U12" s="91">
        <f>Q12+IFERROR(VLOOKUP($E:$E,'（居民）工资表-6月'!$E:$U,17,0),0)</f>
        <v>3865.42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20934.58</v>
      </c>
      <c r="AE12" s="96">
        <f>ROUND(MAX((AD12)*{0.03;0.1;0.2;0.25;0.3;0.35;0.45}-{0;2520;16920;31920;52920;85920;181920},0),2)</f>
        <v>628.04</v>
      </c>
      <c r="AF12" s="97">
        <f>IFERROR(VLOOKUP(E:E,'（居民）工资表-6月'!E:AF,28,0)+VLOOKUP(E:E,'（居民）工资表-6月'!E:AG,29,0),0)</f>
        <v>485.09</v>
      </c>
      <c r="AG12" s="97">
        <f t="shared" si="3"/>
        <v>142.95</v>
      </c>
      <c r="AH12" s="107">
        <f t="shared" si="4"/>
        <v>9621.84</v>
      </c>
      <c r="AI12" s="108"/>
      <c r="AJ12" s="107">
        <f t="shared" si="5"/>
        <v>9621.84</v>
      </c>
      <c r="AK12" s="109"/>
      <c r="AL12" s="107">
        <f t="shared" si="6"/>
        <v>9764.79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9000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L13+IFERROR(VLOOKUP($E:$E,'（居民）工资表-6月'!$E:$S,15,0),0)</f>
        <v>51000</v>
      </c>
      <c r="T13" s="91">
        <f>5000+IFERROR(VLOOKUP($E:$E,'（居民）工资表-6月'!$E:$T,16,0),0)</f>
        <v>35000</v>
      </c>
      <c r="U13" s="91">
        <f>Q13+IFERROR(VLOOKUP($E:$E,'（居民）工资表-6月'!$E:$U,17,0),0)</f>
        <v>5020.72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10979.28</v>
      </c>
      <c r="AE13" s="96">
        <f>ROUND(MAX((AD13)*{0.03;0.1;0.2;0.25;0.3;0.35;0.45}-{0;2520;16920;31920;52920;85920;181920},0),2)</f>
        <v>329.38</v>
      </c>
      <c r="AF13" s="97">
        <f>IFERROR(VLOOKUP(E:E,'（居民）工资表-6月'!E:AF,28,0)+VLOOKUP(E:E,'（居民）工资表-6月'!E:AG,29,0),0)</f>
        <v>226.79</v>
      </c>
      <c r="AG13" s="97">
        <f t="shared" si="3"/>
        <v>102.59</v>
      </c>
      <c r="AH13" s="107">
        <f t="shared" si="4"/>
        <v>8317.05</v>
      </c>
      <c r="AI13" s="108"/>
      <c r="AJ13" s="107">
        <f t="shared" si="5"/>
        <v>8317.05</v>
      </c>
      <c r="AK13" s="109"/>
      <c r="AL13" s="107">
        <f t="shared" si="6"/>
        <v>8419.64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9000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L14+IFERROR(VLOOKUP($E:$E,'（居民）工资表-6月'!$E:$S,15,0),0)</f>
        <v>51608.7</v>
      </c>
      <c r="T14" s="91">
        <f>5000+IFERROR(VLOOKUP($E:$E,'（居民）工资表-6月'!$E:$T,16,0),0)</f>
        <v>35000</v>
      </c>
      <c r="U14" s="91">
        <f>Q14+IFERROR(VLOOKUP($E:$E,'（居民）工资表-6月'!$E:$U,17,0),0)</f>
        <v>5020.72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11587.98</v>
      </c>
      <c r="AE14" s="96">
        <f>ROUND(MAX((AD14)*{0.03;0.1;0.2;0.25;0.3;0.35;0.45}-{0;2520;16920;31920;52920;85920;181920},0),2)</f>
        <v>347.64</v>
      </c>
      <c r="AF14" s="97">
        <f>IFERROR(VLOOKUP(E:E,'（居民）工资表-6月'!E:AF,28,0)+VLOOKUP(E:E,'（居民）工资表-6月'!E:AG,29,0),0)</f>
        <v>245.05</v>
      </c>
      <c r="AG14" s="97">
        <f t="shared" si="3"/>
        <v>102.59</v>
      </c>
      <c r="AH14" s="107">
        <f t="shared" si="4"/>
        <v>8317.05</v>
      </c>
      <c r="AI14" s="108"/>
      <c r="AJ14" s="107">
        <f t="shared" si="5"/>
        <v>8317.05</v>
      </c>
      <c r="AK14" s="109"/>
      <c r="AL14" s="107">
        <f t="shared" si="6"/>
        <v>8419.64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8800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L15+IFERROR(VLOOKUP($E:$E,'（居民）工资表-6月'!$E:$S,15,0),0)</f>
        <v>50800</v>
      </c>
      <c r="T15" s="91">
        <f>5000+IFERROR(VLOOKUP($E:$E,'（居民）工资表-6月'!$E:$T,16,0),0)</f>
        <v>35000</v>
      </c>
      <c r="U15" s="91">
        <f>Q15+IFERROR(VLOOKUP($E:$E,'（居民）工资表-6月'!$E:$U,17,0),0)</f>
        <v>3865.42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11934.58</v>
      </c>
      <c r="AE15" s="96">
        <f>ROUND(MAX((AD15)*{0.03;0.1;0.2;0.25;0.3;0.35;0.45}-{0;2520;16920;31920;52920;85920;181920},0),2)</f>
        <v>358.04</v>
      </c>
      <c r="AF15" s="97">
        <f>IFERROR(VLOOKUP(E:E,'（居民）工资表-6月'!E:AF,28,0)+VLOOKUP(E:E,'（居民）工资表-6月'!E:AG,29,0),0)</f>
        <v>260.09</v>
      </c>
      <c r="AG15" s="97">
        <f t="shared" si="3"/>
        <v>97.95</v>
      </c>
      <c r="AH15" s="107">
        <f t="shared" si="4"/>
        <v>8166.84</v>
      </c>
      <c r="AI15" s="108"/>
      <c r="AJ15" s="107">
        <f t="shared" si="5"/>
        <v>8166.84</v>
      </c>
      <c r="AK15" s="109"/>
      <c r="AL15" s="107">
        <f t="shared" si="6"/>
        <v>8264.79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7360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L16+IFERROR(VLOOKUP($E:$E,'（居民）工资表-6月'!$E:$S,15,0),0)</f>
        <v>44481.74</v>
      </c>
      <c r="T16" s="91">
        <f>5000+IFERROR(VLOOKUP($E:$E,'（居民）工资表-6月'!$E:$T,16,0),0)</f>
        <v>35000</v>
      </c>
      <c r="U16" s="91">
        <f>Q16+IFERROR(VLOOKUP($E:$E,'（居民）工资表-6月'!$E:$U,17,0),0)</f>
        <v>3653.27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5828.47</v>
      </c>
      <c r="AE16" s="96">
        <f>ROUND(MAX((AD16)*{0.03;0.1;0.2;0.25;0.3;0.35;0.45}-{0;2520;16920;31920;52920;85920;181920},0),2)</f>
        <v>174.85</v>
      </c>
      <c r="AF16" s="97">
        <f>IFERROR(VLOOKUP(E:E,'（居民）工资表-6月'!E:AF,28,0)+VLOOKUP(E:E,'（居民）工资表-6月'!E:AG,29,0),0)</f>
        <v>119.27</v>
      </c>
      <c r="AG16" s="97">
        <f t="shared" si="3"/>
        <v>55.58</v>
      </c>
      <c r="AH16" s="107">
        <f t="shared" si="4"/>
        <v>6797.06</v>
      </c>
      <c r="AI16" s="108"/>
      <c r="AJ16" s="107">
        <f t="shared" si="5"/>
        <v>6797.06</v>
      </c>
      <c r="AK16" s="109"/>
      <c r="AL16" s="107">
        <f t="shared" si="6"/>
        <v>6852.64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7060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L17+IFERROR(VLOOKUP($E:$E,'（居民）工资表-6月'!$E:$S,15,0),0)</f>
        <v>13620</v>
      </c>
      <c r="T17" s="91">
        <f>5000+IFERROR(VLOOKUP($E:$E,'（居民）工资表-6月'!$E:$T,16,0),0)</f>
        <v>10000</v>
      </c>
      <c r="U17" s="91">
        <f>Q17+IFERROR(VLOOKUP($E:$E,'（居民）工资表-6月'!$E:$U,17,0),0)</f>
        <v>1178.32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2441.68</v>
      </c>
      <c r="AE17" s="96">
        <f>ROUND(MAX((AD17)*{0.03;0.1;0.2;0.25;0.3;0.35;0.45}-{0;2520;16920;31920;52920;85920;181920},0),2)</f>
        <v>73.25</v>
      </c>
      <c r="AF17" s="97">
        <f>IFERROR(VLOOKUP(E:E,'（居民）工资表-6月'!E:AF,28,0)+VLOOKUP(E:E,'（居民）工资表-6月'!E:AG,29,0),0)</f>
        <v>29.13</v>
      </c>
      <c r="AG17" s="97">
        <f t="shared" si="3"/>
        <v>44.12</v>
      </c>
      <c r="AH17" s="107">
        <f t="shared" si="4"/>
        <v>6426.72</v>
      </c>
      <c r="AI17" s="108"/>
      <c r="AJ17" s="107">
        <f t="shared" si="5"/>
        <v>6426.72</v>
      </c>
      <c r="AK17" s="109"/>
      <c r="AL17" s="107">
        <f t="shared" si="6"/>
        <v>6470.84</v>
      </c>
      <c r="AM17" s="12" t="s">
        <v>162</v>
      </c>
      <c r="AN17" s="12" t="s">
        <v>51</v>
      </c>
    </row>
    <row r="18" s="12" customFormat="1" ht="18" customHeight="1" spans="1:40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5400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L18+IFERROR(VLOOKUP($E:$E,'（居民）工资表-6月'!$E:$S,15,0),0)</f>
        <v>40200</v>
      </c>
      <c r="T18" s="91">
        <f>5000+IFERROR(VLOOKUP($E:$E,'（居民）工资表-6月'!$E:$T,16,0),0)</f>
        <v>35000</v>
      </c>
      <c r="U18" s="91">
        <f>Q18+IFERROR(VLOOKUP($E:$E,'（居民）工资表-6月'!$E:$U,17,0),0)</f>
        <v>3635.72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1564.28</v>
      </c>
      <c r="AE18" s="96">
        <f>ROUND(MAX((AD18)*{0.03;0.1;0.2;0.25;0.3;0.35;0.45}-{0;2520;16920;31920;52920;85920;181920},0),2)</f>
        <v>46.93</v>
      </c>
      <c r="AF18" s="97">
        <f>IFERROR(VLOOKUP(E:E,'（居民）工资表-6月'!E:AF,28,0)+VLOOKUP(E:E,'（居民）工资表-6月'!E:AG,29,0),0)</f>
        <v>71.25</v>
      </c>
      <c r="AG18" s="97">
        <f t="shared" si="3"/>
        <v>0</v>
      </c>
      <c r="AH18" s="107">
        <f t="shared" si="4"/>
        <v>4894.64</v>
      </c>
      <c r="AI18" s="108"/>
      <c r="AJ18" s="107">
        <f t="shared" si="5"/>
        <v>4894.64</v>
      </c>
      <c r="AK18" s="109"/>
      <c r="AL18" s="107">
        <f t="shared" si="6"/>
        <v>4894.64</v>
      </c>
      <c r="AM18" s="12" t="s">
        <v>157</v>
      </c>
      <c r="AN18" s="12" t="s">
        <v>51</v>
      </c>
    </row>
    <row r="19" s="12" customFormat="1" ht="18" customHeight="1" spans="1:40">
      <c r="A19" s="36">
        <v>15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1466.67</v>
      </c>
      <c r="M19" s="71">
        <v>652.32</v>
      </c>
      <c r="N19" s="71">
        <v>170.08</v>
      </c>
      <c r="O19" s="71">
        <v>24.46</v>
      </c>
      <c r="P19" s="71">
        <v>201</v>
      </c>
      <c r="Q19" s="89">
        <f t="shared" si="0"/>
        <v>1047.86</v>
      </c>
      <c r="R19" s="70">
        <v>0</v>
      </c>
      <c r="S19" s="90">
        <f>L19+IFERROR(VLOOKUP($E:$E,'（居民）工资表-6月'!$E:$S,15,0),0)</f>
        <v>1466.67</v>
      </c>
      <c r="T19" s="91">
        <f>5000+IFERROR(VLOOKUP($E:$E,'（居民）工资表-6月'!$E:$T,16,0),0)</f>
        <v>5000</v>
      </c>
      <c r="U19" s="91">
        <f>Q19+IFERROR(VLOOKUP($E:$E,'（居民）工资表-6月'!$E:$U,17,0),0)</f>
        <v>1047.86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R19+IFERROR(VLOOKUP($E:$E,'（居民）工资表-6月'!$E:$AC,25,0),0)</f>
        <v>0</v>
      </c>
      <c r="AD19" s="95">
        <f t="shared" si="2"/>
        <v>-4581.19</v>
      </c>
      <c r="AE19" s="96">
        <f>ROUND(MAX((AD19)*{0.03;0.1;0.2;0.25;0.3;0.35;0.45}-{0;2520;16920;31920;52920;85920;181920},0),2)</f>
        <v>0</v>
      </c>
      <c r="AF19" s="97">
        <f>IFERROR(VLOOKUP(E:E,'（居民）工资表-6月'!E:AF,28,0)+VLOOKUP(E:E,'（居民）工资表-6月'!E:AG,29,0),0)</f>
        <v>0</v>
      </c>
      <c r="AG19" s="97">
        <f t="shared" si="3"/>
        <v>0</v>
      </c>
      <c r="AH19" s="107">
        <f t="shared" si="4"/>
        <v>418.81</v>
      </c>
      <c r="AI19" s="108"/>
      <c r="AJ19" s="107">
        <f t="shared" si="5"/>
        <v>418.81</v>
      </c>
      <c r="AK19" s="109"/>
      <c r="AL19" s="107">
        <f t="shared" si="6"/>
        <v>418.81</v>
      </c>
      <c r="AM19" s="12" t="s">
        <v>190</v>
      </c>
      <c r="AN19" s="12" t="s">
        <v>191</v>
      </c>
    </row>
    <row r="20" s="13" customFormat="1" ht="18" customHeight="1" spans="1:38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138645.47</v>
      </c>
      <c r="M20" s="74">
        <f t="shared" ref="M20:AL20" si="7">SUM(M4:M19)</f>
        <v>5652.66</v>
      </c>
      <c r="N20" s="74">
        <f t="shared" si="7"/>
        <v>1592.78</v>
      </c>
      <c r="O20" s="74">
        <f t="shared" si="7"/>
        <v>295.47</v>
      </c>
      <c r="P20" s="74">
        <f t="shared" si="7"/>
        <v>2170.3</v>
      </c>
      <c r="Q20" s="74">
        <f t="shared" si="7"/>
        <v>9711.21</v>
      </c>
      <c r="R20" s="74">
        <f t="shared" si="7"/>
        <v>0</v>
      </c>
      <c r="S20" s="74">
        <f t="shared" si="7"/>
        <v>837523.91</v>
      </c>
      <c r="T20" s="74">
        <f t="shared" si="7"/>
        <v>480000</v>
      </c>
      <c r="U20" s="74">
        <f t="shared" si="7"/>
        <v>60263.95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257959.96</v>
      </c>
      <c r="AE20" s="74">
        <f t="shared" si="7"/>
        <v>18388</v>
      </c>
      <c r="AF20" s="74">
        <f t="shared" si="7"/>
        <v>15354.85</v>
      </c>
      <c r="AG20" s="74">
        <f t="shared" si="7"/>
        <v>3539.18</v>
      </c>
      <c r="AH20" s="74">
        <f t="shared" si="7"/>
        <v>125395.08</v>
      </c>
      <c r="AI20" s="74">
        <f t="shared" si="7"/>
        <v>0</v>
      </c>
      <c r="AJ20" s="74">
        <f t="shared" si="7"/>
        <v>125395.08</v>
      </c>
      <c r="AK20" s="74">
        <f t="shared" si="7"/>
        <v>0</v>
      </c>
      <c r="AL20" s="74">
        <f t="shared" si="7"/>
        <v>128934.26</v>
      </c>
    </row>
    <row r="23" spans="30:30">
      <c r="AD23" s="101"/>
    </row>
    <row r="24" ht="18.75" customHeight="1" spans="2:30">
      <c r="B24" s="47" t="s">
        <v>131</v>
      </c>
      <c r="C24" s="47" t="s">
        <v>193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125395.08</v>
      </c>
      <c r="C25" s="48">
        <f>AG20</f>
        <v>3539.18</v>
      </c>
      <c r="D25" s="48">
        <f>AK20</f>
        <v>0</v>
      </c>
      <c r="E25" s="48">
        <f>B25+C25+D25</f>
        <v>128934.26</v>
      </c>
    </row>
    <row r="26" spans="2:5">
      <c r="B26" s="49"/>
      <c r="C26" s="49"/>
      <c r="D26" s="49"/>
      <c r="E26" s="49" t="e">
        <f>#REF!</f>
        <v>#REF!</v>
      </c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autoFilter ref="A3:AL2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tabSelected="1" workbookViewId="0">
      <pane xSplit="6" ySplit="3" topLeftCell="G10" activePane="bottomRight" state="frozen"/>
      <selection/>
      <selection pane="topRight"/>
      <selection pane="bottomLeft"/>
      <selection pane="bottomRight" activeCell="L4" sqref="L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40000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3039.5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11960.5</v>
      </c>
      <c r="AE4" s="96">
        <f>ROUND(MAX((AD4)*{0.03;0.1;0.2;0.25;0.3;0.35;0.45}-{0;2520;16920;31920;52920;85920;181920},0),2)</f>
        <v>358.82</v>
      </c>
      <c r="AF4" s="97">
        <f>IFERROR(VLOOKUP(E:E,'（居民）工资表-4月'!E:AF,28,0)+VLOOKUP(E:E,'（居民）工资表-4月'!E:AG,29,0),0)</f>
        <v>286.48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28500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3311.2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188.8</v>
      </c>
      <c r="AE5" s="96">
        <f>ROUND(MAX((AD5)*{0.03;0.1;0.2;0.25;0.3;0.35;0.45}-{0;2520;16920;31920;52920;85920;181920},0),2)</f>
        <v>5.66</v>
      </c>
      <c r="AF5" s="97">
        <f>IFERROR(VLOOKUP(E:E,'（居民）工资表-4月'!E:AF,28,0)+VLOOKUP(E:E,'（居民）工资表-4月'!E:AG,29,0),0)</f>
        <v>4.53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150300</v>
      </c>
      <c r="T6" s="91">
        <f>5000+IFERROR(VLOOKUP($E:$E,'（居民）工资表-4月'!$E:$T,16,0),0)</f>
        <v>25000</v>
      </c>
      <c r="U6" s="91">
        <f>Q6+IFERROR(VLOOKUP($E:$E,'（居民）工资表-4月'!$E:$U,17,0),0)</f>
        <v>4742.75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120557.25</v>
      </c>
      <c r="AE6" s="96">
        <f>ROUND(MAX((AD6)*{0.03;0.1;0.2;0.25;0.3;0.35;0.45}-{0;2520;16920;31920;52920;85920;181920},0),2)</f>
        <v>9535.73</v>
      </c>
      <c r="AF6" s="97">
        <f>IFERROR(VLOOKUP(E:E,'（居民）工资表-4月'!E:AF,28,0)+VLOOKUP(E:E,'（居民）工资表-4月'!E:AG,29,0),0)</f>
        <v>7124.58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41000</v>
      </c>
      <c r="T7" s="91">
        <f>5000+IFERROR(VLOOKUP($E:$E,'（居民）工资表-4月'!$E:$T,16,0),0)</f>
        <v>25000</v>
      </c>
      <c r="U7" s="91">
        <f>Q7+IFERROR(VLOOKUP($E:$E,'（居民）工资表-4月'!$E:$U,17,0),0)</f>
        <v>2638.55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13361.45</v>
      </c>
      <c r="AE7" s="96">
        <f>ROUND(MAX((AD7)*{0.03;0.1;0.2;0.25;0.3;0.35;0.45}-{0;2520;16920;31920;52920;85920;181920},0),2)</f>
        <v>400.84</v>
      </c>
      <c r="AF7" s="97">
        <f>IFERROR(VLOOKUP(E:E,'（居民）工资表-4月'!E:AF,28,0)+VLOOKUP(E:E,'（居民）工资表-4月'!E:AG,29,0),0)</f>
        <v>296.67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52500</v>
      </c>
      <c r="T8" s="91">
        <f>5000+IFERROR(VLOOKUP($E:$E,'（居民）工资表-4月'!$E:$T,16,0),0)</f>
        <v>25000</v>
      </c>
      <c r="U8" s="91">
        <f>Q8+IFERROR(VLOOKUP($E:$E,'（居民）工资表-4月'!$E:$U,17,0),0)</f>
        <v>3860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23640</v>
      </c>
      <c r="AE8" s="96">
        <f>ROUND(MAX((AD8)*{0.03;0.1;0.2;0.25;0.3;0.35;0.45}-{0;2520;16920;31920;52920;85920;181920},0),2)</f>
        <v>709.2</v>
      </c>
      <c r="AF8" s="97">
        <f>IFERROR(VLOOKUP(E:E,'（居民）工资表-4月'!E:AF,28,0)+VLOOKUP(E:E,'（居民）工资表-4月'!E:AG,29,0),0)</f>
        <v>567.36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32500</v>
      </c>
      <c r="T9" s="91">
        <f>5000+IFERROR(VLOOKUP($E:$E,'（居民）工资表-4月'!$E:$T,16,0),0)</f>
        <v>25000</v>
      </c>
      <c r="U9" s="91">
        <f>Q9+IFERROR(VLOOKUP($E:$E,'（居民）工资表-4月'!$E:$U,17,0),0)</f>
        <v>2657.49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4842.51</v>
      </c>
      <c r="AE9" s="96">
        <f>ROUND(MAX((AD9)*{0.03;0.1;0.2;0.25;0.3;0.35;0.45}-{0;2520;16920;31920;52920;85920;181920},0),2)</f>
        <v>145.28</v>
      </c>
      <c r="AF9" s="97">
        <f>IFERROR(VLOOKUP(E:E,'（居民）工资表-4月'!E:AF,28,0)+VLOOKUP(E:E,'（居民）工资表-4月'!E:AG,29,0),0)</f>
        <v>116.08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168</v>
      </c>
      <c r="D10" s="37" t="s">
        <v>143</v>
      </c>
      <c r="E10" s="326" t="s">
        <v>169</v>
      </c>
      <c r="F10" s="38" t="s">
        <v>148</v>
      </c>
      <c r="G10" s="39" t="s">
        <v>170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22629.2</v>
      </c>
      <c r="T10" s="91">
        <f>5000+IFERROR(VLOOKUP($E:$E,'（居民）工资表-4月'!$E:$T,16,0),0)</f>
        <v>25000</v>
      </c>
      <c r="U10" s="91">
        <f>Q10+IFERROR(VLOOKUP($E:$E,'（居民）工资表-4月'!$E:$U,17,0),0)</f>
        <v>3149.3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-5520.1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173</v>
      </c>
      <c r="D11" s="37" t="s">
        <v>143</v>
      </c>
      <c r="E11" s="326" t="s">
        <v>174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42500</v>
      </c>
      <c r="T11" s="91">
        <f>5000+IFERROR(VLOOKUP($E:$E,'（居民）工资表-4月'!$E:$T,16,0),0)</f>
        <v>25000</v>
      </c>
      <c r="U11" s="91">
        <f>Q11+IFERROR(VLOOKUP($E:$E,'（居民）工资表-4月'!$E:$U,17,0),0)</f>
        <v>2795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14705</v>
      </c>
      <c r="AE11" s="96">
        <f>ROUND(MAX((AD11)*{0.03;0.1;0.2;0.25;0.3;0.35;0.45}-{0;2520;16920;31920;52920;85920;181920},0),2)</f>
        <v>441.15</v>
      </c>
      <c r="AF11" s="97">
        <f>IFERROR(VLOOKUP(E:E,'（居民）工资表-4月'!E:AF,28,0)+VLOOKUP(E:E,'（居民）工资表-4月'!E:AG,29,0),0)</f>
        <v>352.92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171</v>
      </c>
      <c r="AV11" s="12" t="s">
        <v>172</v>
      </c>
    </row>
    <row r="12" s="12" customFormat="1" ht="18" customHeight="1" spans="1:48">
      <c r="A12" s="36">
        <v>9</v>
      </c>
      <c r="B12" s="37" t="s">
        <v>142</v>
      </c>
      <c r="C12" s="37" t="s">
        <v>175</v>
      </c>
      <c r="D12" s="37" t="s">
        <v>143</v>
      </c>
      <c r="E12" s="326" t="s">
        <v>176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35000</v>
      </c>
      <c r="T12" s="91">
        <f>5000+IFERROR(VLOOKUP($E:$E,'（居民）工资表-4月'!$E:$T,16,0),0)</f>
        <v>25000</v>
      </c>
      <c r="U12" s="91">
        <f>Q12+IFERROR(VLOOKUP($E:$E,'（居民）工资表-4月'!$E:$U,17,0),0)</f>
        <v>3860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6140</v>
      </c>
      <c r="AE12" s="96">
        <f>ROUND(MAX((AD12)*{0.03;0.1;0.2;0.25;0.3;0.35;0.45}-{0;2520;16920;31920;52920;85920;181920},0),2)</f>
        <v>184.2</v>
      </c>
      <c r="AF12" s="97">
        <f>IFERROR(VLOOKUP(E:E,'（居民）工资表-4月'!E:AF,28,0)+VLOOKUP(E:E,'（居民）工资表-4月'!E:AG,29,0),0)</f>
        <v>147.36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177</v>
      </c>
      <c r="D13" s="37" t="s">
        <v>143</v>
      </c>
      <c r="E13" s="326" t="s">
        <v>178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35608.7</v>
      </c>
      <c r="T13" s="91">
        <f>5000+IFERROR(VLOOKUP($E:$E,'（居民）工资表-4月'!$E:$T,16,0),0)</f>
        <v>25000</v>
      </c>
      <c r="U13" s="91">
        <f>Q13+IFERROR(VLOOKUP($E:$E,'（居民）工资表-4月'!$E:$U,17,0),0)</f>
        <v>3860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6748.7</v>
      </c>
      <c r="AE13" s="96">
        <f>ROUND(MAX((AD13)*{0.03;0.1;0.2;0.25;0.3;0.35;0.45}-{0;2520;16920;31920;52920;85920;181920},0),2)</f>
        <v>202.46</v>
      </c>
      <c r="AF13" s="97">
        <f>IFERROR(VLOOKUP(E:E,'（居民）工资表-4月'!E:AF,28,0)+VLOOKUP(E:E,'（居民）工资表-4月'!E:AG,29,0),0)</f>
        <v>165.62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179</v>
      </c>
      <c r="D14" s="37" t="s">
        <v>143</v>
      </c>
      <c r="E14" s="326" t="s">
        <v>180</v>
      </c>
      <c r="F14" s="38" t="s">
        <v>148</v>
      </c>
      <c r="G14" s="39" t="s">
        <v>181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35000</v>
      </c>
      <c r="T14" s="91">
        <f>5000+IFERROR(VLOOKUP($E:$E,'（居民）工资表-4月'!$E:$T,16,0),0)</f>
        <v>25000</v>
      </c>
      <c r="U14" s="91">
        <f>Q14+IFERROR(VLOOKUP($E:$E,'（居民）工资表-4月'!$E:$U,17,0),0)</f>
        <v>2795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7205</v>
      </c>
      <c r="AE14" s="96">
        <f>ROUND(MAX((AD14)*{0.03;0.1;0.2;0.25;0.3;0.35;0.45}-{0;2520;16920;31920;52920;85920;181920},0),2)</f>
        <v>216.15</v>
      </c>
      <c r="AF14" s="97">
        <f>IFERROR(VLOOKUP(E:E,'（居民）工资表-4月'!E:AF,28,0)+VLOOKUP(E:E,'（居民）工资表-4月'!E:AG,29,0),0)</f>
        <v>172.92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182</v>
      </c>
      <c r="D15" s="37" t="s">
        <v>143</v>
      </c>
      <c r="E15" s="326" t="s">
        <v>183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31061.74</v>
      </c>
      <c r="T15" s="91">
        <f>5000+IFERROR(VLOOKUP($E:$E,'（居民）工资表-4月'!$E:$T,16,0),0)</f>
        <v>25000</v>
      </c>
      <c r="U15" s="91">
        <f>Q15+IFERROR(VLOOKUP($E:$E,'（居民）工资表-4月'!$E:$U,17,0),0)</f>
        <v>2638.55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3423.19</v>
      </c>
      <c r="AE15" s="96">
        <f>ROUND(MAX((AD15)*{0.03;0.1;0.2;0.25;0.3;0.35;0.45}-{0;2520;16920;31920;52920;85920;181920},0),2)</f>
        <v>102.7</v>
      </c>
      <c r="AF15" s="97">
        <f>IFERROR(VLOOKUP(E:E,'（居民）工资表-4月'!E:AF,28,0)+VLOOKUP(E:E,'（居民）工资表-4月'!E:AG,29,0),0)</f>
        <v>86.73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186</v>
      </c>
      <c r="D16" s="37" t="s">
        <v>143</v>
      </c>
      <c r="E16" s="326" t="s">
        <v>187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30000</v>
      </c>
      <c r="T16" s="91">
        <f>5000+IFERROR(VLOOKUP($E:$E,'（居民）工资表-4月'!$E:$T,16,0),0)</f>
        <v>25000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2375</v>
      </c>
      <c r="AE16" s="96">
        <f>ROUND(MAX((AD16)*{0.03;0.1;0.2;0.25;0.3;0.35;0.45}-{0;2520;16920;31920;52920;85920;181920},0),2)</f>
        <v>71.25</v>
      </c>
      <c r="AF16" s="97">
        <f>IFERROR(VLOOKUP(E:E,'（居民）工资表-4月'!E:AF,28,0)+VLOOKUP(E:E,'（居民）工资表-4月'!E:AG,29,0),0)</f>
        <v>57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212</v>
      </c>
      <c r="D17" s="37" t="s">
        <v>143</v>
      </c>
      <c r="E17" s="326" t="s">
        <v>213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37556.93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3166.26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14390.67</v>
      </c>
      <c r="AE17" s="96">
        <f>ROUND(MAX((AD17)*{0.03;0.1;0.2;0.25;0.3;0.35;0.45}-{0;2520;16920;31920;52920;85920;181920},0),2)</f>
        <v>431.72</v>
      </c>
      <c r="AF17" s="97">
        <f>IFERROR(VLOOKUP(E:E,'（居民）工资表-4月'!E:AF,28,0)+VLOOKUP(E:E,'（居民）工资表-4月'!E:AG,29,0),0)</f>
        <v>297.55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214</v>
      </c>
      <c r="D18" s="37" t="s">
        <v>143</v>
      </c>
      <c r="E18" s="37" t="s">
        <v>215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622263.24</v>
      </c>
      <c r="T20" s="74">
        <f t="shared" si="19"/>
        <v>355000</v>
      </c>
      <c r="U20" s="74">
        <f t="shared" si="19"/>
        <v>46796.31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220466.93</v>
      </c>
      <c r="AE20" s="74">
        <f t="shared" si="19"/>
        <v>12805.16</v>
      </c>
      <c r="AF20" s="74">
        <f t="shared" si="19"/>
        <v>9675.8</v>
      </c>
      <c r="AG20" s="74">
        <f t="shared" si="19"/>
        <v>3129.36</v>
      </c>
      <c r="AH20" s="74">
        <f t="shared" si="19"/>
        <v>119345.63</v>
      </c>
      <c r="AI20" s="74">
        <f t="shared" si="19"/>
        <v>0</v>
      </c>
      <c r="AJ20" s="74">
        <f t="shared" si="19"/>
        <v>119345.63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193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119345.63</v>
      </c>
      <c r="C25" s="48">
        <f>AG20</f>
        <v>3129.36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T14" sqref="T1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296.26</v>
      </c>
      <c r="N4" s="71">
        <v>76.62</v>
      </c>
      <c r="O4" s="71">
        <v>11.11</v>
      </c>
      <c r="P4" s="71">
        <v>177</v>
      </c>
      <c r="Q4" s="89">
        <f>ROUND(SUM(M4:P4),2)</f>
        <v>560.99</v>
      </c>
      <c r="R4" s="70">
        <v>0</v>
      </c>
      <c r="S4" s="90">
        <f>L4+IFERROR(VLOOKUP($E:$E,'（居民）工资表-5月'!$E:$S,15,0),0)</f>
        <v>48000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3600.49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14399.51</v>
      </c>
      <c r="AE4" s="96">
        <f>ROUND(MAX((AD4)*{0.03;0.1;0.2;0.25;0.3;0.35;0.45}-{0;2520;16920;31920;52920;85920;181920},0),2)</f>
        <v>431.99</v>
      </c>
      <c r="AF4" s="97">
        <f>IFERROR(VLOOKUP(E:E,'（居民）工资表-5月'!E:AF,28,0)+VLOOKUP(E:E,'（居民）工资表-5月'!E:AG,29,0),0)</f>
        <v>358.82</v>
      </c>
      <c r="AG4" s="97">
        <f>IF((AE4-AF4)&lt;0,0,AE4-AF4)</f>
        <v>73.17</v>
      </c>
      <c r="AH4" s="107">
        <f>ROUND(IF((L4-Q4-AG4)&lt;0,0,(L4-Q4-AG4)),2)</f>
        <v>7365.84</v>
      </c>
      <c r="AI4" s="108"/>
      <c r="AJ4" s="107">
        <f>AH4+AI4</f>
        <v>7365.84</v>
      </c>
      <c r="AK4" s="109"/>
      <c r="AL4" s="107">
        <f>AJ4+AG4+AK4</f>
        <v>7439.01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367.04</v>
      </c>
      <c r="N5" s="71">
        <v>113.48</v>
      </c>
      <c r="O5" s="71">
        <v>4.6</v>
      </c>
      <c r="P5" s="71">
        <v>115</v>
      </c>
      <c r="Q5" s="89">
        <f>ROUND(SUM(M5:P5),2)</f>
        <v>600.12</v>
      </c>
      <c r="R5" s="70">
        <v>0</v>
      </c>
      <c r="S5" s="90">
        <f>L5+IFERROR(VLOOKUP($E:$E,'（居民）工资表-5月'!$E:$S,15,0),0)</f>
        <v>34200</v>
      </c>
      <c r="T5" s="91">
        <f>5000+IFERROR(VLOOKUP($E:$E,'（居民）工资表-5月'!$E:$T,16,0),0)</f>
        <v>30000</v>
      </c>
      <c r="U5" s="91">
        <f>Q5+IFERROR(VLOOKUP($E:$E,'（居民）工资表-5月'!$E:$U,17,0),0)</f>
        <v>3911.32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288.68</v>
      </c>
      <c r="AE5" s="96">
        <f>ROUND(MAX((AD5)*{0.03;0.1;0.2;0.25;0.3;0.35;0.45}-{0;2520;16920;31920;52920;85920;181920},0),2)</f>
        <v>8.66</v>
      </c>
      <c r="AF5" s="97">
        <f>IFERROR(VLOOKUP(E:E,'（居民）工资表-5月'!E:AF,28,0)+VLOOKUP(E:E,'（居民）工资表-5月'!E:AG,29,0),0)</f>
        <v>5.66</v>
      </c>
      <c r="AG5" s="97">
        <f>IF((AE5-AF5)&lt;0,0,AE5-AF5)</f>
        <v>3</v>
      </c>
      <c r="AH5" s="107">
        <f>ROUND(IF((L5-Q5-AG5)&lt;0,0,(L5-Q5-AG5)),2)</f>
        <v>5096.88</v>
      </c>
      <c r="AI5" s="108"/>
      <c r="AJ5" s="107">
        <f>AH5+AI5</f>
        <v>5096.88</v>
      </c>
      <c r="AK5" s="109"/>
      <c r="AL5" s="107">
        <f>AJ5+AG5+AK5</f>
        <v>5099.88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521.6</v>
      </c>
      <c r="N6" s="71">
        <v>130.4</v>
      </c>
      <c r="O6" s="71">
        <v>32.6</v>
      </c>
      <c r="P6" s="71">
        <v>181.3</v>
      </c>
      <c r="Q6" s="89">
        <f>ROUND(SUM(M6:P6),2)</f>
        <v>865.9</v>
      </c>
      <c r="R6" s="70">
        <v>0</v>
      </c>
      <c r="S6" s="90">
        <f>L6+IFERROR(VLOOKUP($E:$E,'（居民）工资表-5月'!$E:$S,15,0),0)</f>
        <v>180360</v>
      </c>
      <c r="T6" s="91">
        <f>5000+IFERROR(VLOOKUP($E:$E,'（居民）工资表-5月'!$E:$T,16,0),0)</f>
        <v>30000</v>
      </c>
      <c r="U6" s="91">
        <f>Q6+IFERROR(VLOOKUP($E:$E,'（居民）工资表-5月'!$E:$U,17,0),0)</f>
        <v>5608.65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144751.35</v>
      </c>
      <c r="AE6" s="96">
        <f>ROUND(MAX((AD6)*{0.03;0.1;0.2;0.25;0.3;0.35;0.45}-{0;2520;16920;31920;52920;85920;181920},0),2)</f>
        <v>12030.27</v>
      </c>
      <c r="AF6" s="97">
        <f>IFERROR(VLOOKUP(E:E,'（居民）工资表-5月'!E:AF,28,0)+VLOOKUP(E:E,'（居民）工资表-5月'!E:AG,29,0),0)</f>
        <v>9535.73</v>
      </c>
      <c r="AG6" s="97">
        <f>IF((AE6-AF6)&lt;0,0,AE6-AF6)</f>
        <v>2494.54</v>
      </c>
      <c r="AH6" s="107">
        <f>ROUND(IF((L6-Q6-AG6)&lt;0,0,(L6-Q6-AG6)),2)</f>
        <v>26699.56</v>
      </c>
      <c r="AI6" s="108"/>
      <c r="AJ6" s="107">
        <f>AH6+AI6</f>
        <v>26699.56</v>
      </c>
      <c r="AK6" s="109"/>
      <c r="AL6" s="107">
        <f>AJ6+AG6+AK6</f>
        <v>29194.1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7000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ref="Q7:Q18" si="0">ROUND(SUM(M7:P7),2)</f>
        <v>507.36</v>
      </c>
      <c r="R7" s="70">
        <v>0</v>
      </c>
      <c r="S7" s="90">
        <f>L7+IFERROR(VLOOKUP($E:$E,'（居民）工资表-5月'!$E:$S,15,0),0)</f>
        <v>48000</v>
      </c>
      <c r="T7" s="91">
        <f>5000+IFERROR(VLOOKUP($E:$E,'（居民）工资表-5月'!$E:$T,16,0),0)</f>
        <v>30000</v>
      </c>
      <c r="U7" s="91">
        <f>Q7+IFERROR(VLOOKUP($E:$E,'（居民）工资表-5月'!$E:$U,17,0),0)</f>
        <v>3145.91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14854.09</v>
      </c>
      <c r="AE7" s="96">
        <f>ROUND(MAX((AD7)*{0.03;0.1;0.2;0.25;0.3;0.35;0.45}-{0;2520;16920;31920;52920;85920;181920},0),2)</f>
        <v>445.62</v>
      </c>
      <c r="AF7" s="97">
        <f>IFERROR(VLOOKUP(E:E,'（居民）工资表-5月'!E:AF,28,0)+VLOOKUP(E:E,'（居民）工资表-5月'!E:AG,29,0),0)</f>
        <v>400.84</v>
      </c>
      <c r="AG7" s="97">
        <f t="shared" ref="AG7:AG18" si="3">IF((AE7-AF7)&lt;0,0,AE7-AF7)</f>
        <v>44.78</v>
      </c>
      <c r="AH7" s="107">
        <f t="shared" ref="AH7:AH18" si="4">ROUND(IF((L7-Q7-AG7)&lt;0,0,(L7-Q7-AG7)),2)</f>
        <v>6447.86</v>
      </c>
      <c r="AI7" s="108"/>
      <c r="AJ7" s="107">
        <f t="shared" ref="AJ7:AJ18" si="5">AH7+AI7</f>
        <v>6447.86</v>
      </c>
      <c r="AK7" s="109"/>
      <c r="AL7" s="107">
        <f t="shared" ref="AL7:AL18" si="6">AJ7+AG7+AK7</f>
        <v>6492.64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9500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L8+IFERROR(VLOOKUP($E:$E,'（居民）工资表-5月'!$E:$S,15,0),0)</f>
        <v>62000</v>
      </c>
      <c r="T8" s="91">
        <f>5000+IFERROR(VLOOKUP($E:$E,'（居民）工资表-5月'!$E:$T,16,0),0)</f>
        <v>30000</v>
      </c>
      <c r="U8" s="91">
        <f>Q8+IFERROR(VLOOKUP($E:$E,'（居民）工资表-5月'!$E:$U,17,0),0)</f>
        <v>4440.36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27559.64</v>
      </c>
      <c r="AE8" s="96">
        <f>ROUND(MAX((AD8)*{0.03;0.1;0.2;0.25;0.3;0.35;0.45}-{0;2520;16920;31920;52920;85920;181920},0),2)</f>
        <v>826.79</v>
      </c>
      <c r="AF8" s="97">
        <f>IFERROR(VLOOKUP(E:E,'（居民）工资表-5月'!E:AF,28,0)+VLOOKUP(E:E,'（居民）工资表-5月'!E:AG,29,0),0)</f>
        <v>709.2</v>
      </c>
      <c r="AG8" s="97">
        <f t="shared" si="3"/>
        <v>117.59</v>
      </c>
      <c r="AH8" s="107">
        <f t="shared" si="4"/>
        <v>8802.05</v>
      </c>
      <c r="AI8" s="108"/>
      <c r="AJ8" s="107">
        <f t="shared" si="5"/>
        <v>8802.05</v>
      </c>
      <c r="AK8" s="109"/>
      <c r="AL8" s="107">
        <f t="shared" si="6"/>
        <v>8919.64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L9+IFERROR(VLOOKUP($E:$E,'（居民）工资表-5月'!$E:$S,15,0),0)</f>
        <v>39000</v>
      </c>
      <c r="T9" s="91">
        <f>5000+IFERROR(VLOOKUP($E:$E,'（居民）工资表-5月'!$E:$T,16,0),0)</f>
        <v>30000</v>
      </c>
      <c r="U9" s="91">
        <f>Q9+IFERROR(VLOOKUP($E:$E,'（居民）工资表-5月'!$E:$U,17,0),0)</f>
        <v>3171.65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5828.35</v>
      </c>
      <c r="AE9" s="96">
        <f>ROUND(MAX((AD9)*{0.03;0.1;0.2;0.25;0.3;0.35;0.45}-{0;2520;16920;31920;52920;85920;181920},0),2)</f>
        <v>174.85</v>
      </c>
      <c r="AF9" s="97">
        <f>IFERROR(VLOOKUP(E:E,'（居民）工资表-5月'!E:AF,28,0)+VLOOKUP(E:E,'（居民）工资表-5月'!E:AG,29,0),0)</f>
        <v>145.28</v>
      </c>
      <c r="AG9" s="97">
        <f t="shared" si="3"/>
        <v>29.57</v>
      </c>
      <c r="AH9" s="107">
        <f t="shared" si="4"/>
        <v>5956.27</v>
      </c>
      <c r="AI9" s="108"/>
      <c r="AJ9" s="107">
        <f t="shared" si="5"/>
        <v>5956.27</v>
      </c>
      <c r="AK9" s="109"/>
      <c r="AL9" s="107">
        <f t="shared" si="6"/>
        <v>5985.84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316.56</v>
      </c>
      <c r="N10" s="71">
        <v>84.14</v>
      </c>
      <c r="O10" s="71">
        <v>19.79</v>
      </c>
      <c r="P10" s="71">
        <v>105</v>
      </c>
      <c r="Q10" s="89">
        <f t="shared" si="0"/>
        <v>525.49</v>
      </c>
      <c r="R10" s="70">
        <v>0</v>
      </c>
      <c r="S10" s="90">
        <f>L10+IFERROR(VLOOKUP($E:$E,'（居民）工资表-5月'!$E:$S,15,0),0)</f>
        <v>5500</v>
      </c>
      <c r="T10" s="91">
        <f>5000+IFERROR(VLOOKUP($E:$E,'（居民）工资表-5月'!$E:$T,16,0),0)</f>
        <v>5000</v>
      </c>
      <c r="U10" s="91">
        <f>Q10+IFERROR(VLOOKUP($E:$E,'（居民）工资表-5月'!$E:$U,17,0),0)</f>
        <v>525.49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-25.49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4974.51</v>
      </c>
      <c r="AI10" s="108"/>
      <c r="AJ10" s="107">
        <f t="shared" si="5"/>
        <v>4974.51</v>
      </c>
      <c r="AK10" s="109"/>
      <c r="AL10" s="107">
        <f t="shared" si="6"/>
        <v>4974.51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L11+IFERROR(VLOOKUP($E:$E,'（居民）工资表-5月'!$E:$S,15,0),0)</f>
        <v>27228</v>
      </c>
      <c r="T11" s="91">
        <f>5000+IFERROR(VLOOKUP($E:$E,'（居民）工资表-5月'!$E:$T,16,0),0)</f>
        <v>30000</v>
      </c>
      <c r="U11" s="91">
        <f>Q11+IFERROR(VLOOKUP($E:$E,'（居民）工资表-5月'!$E:$U,17,0),0)</f>
        <v>3742.3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-6514.3</v>
      </c>
      <c r="AE11" s="96">
        <f>ROUND(MAX((AD11)*{0.03;0.1;0.2;0.25;0.3;0.35;0.45}-{0;2520;16920;31920;52920;85920;181920},0),2)</f>
        <v>0</v>
      </c>
      <c r="AF11" s="97">
        <f>IFERROR(VLOOKUP(E:E,'（居民）工资表-5月'!E:AF,28,0)+VLOOKUP(E:E,'（居民）工资表-5月'!E:AG,29,0),0)</f>
        <v>0</v>
      </c>
      <c r="AG11" s="97">
        <f t="shared" si="3"/>
        <v>0</v>
      </c>
      <c r="AH11" s="107">
        <f t="shared" si="4"/>
        <v>4005.8</v>
      </c>
      <c r="AI11" s="108"/>
      <c r="AJ11" s="107">
        <f t="shared" si="5"/>
        <v>4005.8</v>
      </c>
      <c r="AK11" s="109"/>
      <c r="AL11" s="107">
        <f t="shared" si="6"/>
        <v>4005.8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 t="s">
        <v>171</v>
      </c>
      <c r="AV11" s="12" t="s">
        <v>172</v>
      </c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7000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L12+IFERROR(VLOOKUP($E:$E,'（居民）工资表-5月'!$E:$S,15,0),0)</f>
        <v>49500</v>
      </c>
      <c r="T12" s="91">
        <f>5000+IFERROR(VLOOKUP($E:$E,'（居民）工资表-5月'!$E:$T,16,0),0)</f>
        <v>30000</v>
      </c>
      <c r="U12" s="91">
        <f>Q12+IFERROR(VLOOKUP($E:$E,'（居民）工资表-5月'!$E:$U,17,0),0)</f>
        <v>3330.21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16169.79</v>
      </c>
      <c r="AE12" s="96">
        <f>ROUND(MAX((AD12)*{0.03;0.1;0.2;0.25;0.3;0.35;0.45}-{0;2520;16920;31920;52920;85920;181920},0),2)</f>
        <v>485.09</v>
      </c>
      <c r="AF12" s="97">
        <f>IFERROR(VLOOKUP(E:E,'（居民）工资表-5月'!E:AF,28,0)+VLOOKUP(E:E,'（居民）工资表-5月'!E:AG,29,0),0)</f>
        <v>441.15</v>
      </c>
      <c r="AG12" s="97">
        <f t="shared" si="3"/>
        <v>43.94</v>
      </c>
      <c r="AH12" s="107">
        <f t="shared" si="4"/>
        <v>6420.85</v>
      </c>
      <c r="AI12" s="108"/>
      <c r="AJ12" s="107">
        <f t="shared" si="5"/>
        <v>6420.85</v>
      </c>
      <c r="AK12" s="109"/>
      <c r="AL12" s="107">
        <f t="shared" si="6"/>
        <v>6464.79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L13+IFERROR(VLOOKUP($E:$E,'（居民）工资表-5月'!$E:$S,15,0),0)</f>
        <v>42000</v>
      </c>
      <c r="T13" s="91">
        <f>5000+IFERROR(VLOOKUP($E:$E,'（居民）工资表-5月'!$E:$T,16,0),0)</f>
        <v>30000</v>
      </c>
      <c r="U13" s="91">
        <f>Q13+IFERROR(VLOOKUP($E:$E,'（居民）工资表-5月'!$E:$U,17,0),0)</f>
        <v>4440.36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7559.64</v>
      </c>
      <c r="AE13" s="96">
        <f>ROUND(MAX((AD13)*{0.03;0.1;0.2;0.25;0.3;0.35;0.45}-{0;2520;16920;31920;52920;85920;181920},0),2)</f>
        <v>226.79</v>
      </c>
      <c r="AF13" s="97">
        <f>IFERROR(VLOOKUP(E:E,'（居民）工资表-5月'!E:AF,28,0)+VLOOKUP(E:E,'（居民）工资表-5月'!E:AG,29,0),0)</f>
        <v>184.2</v>
      </c>
      <c r="AG13" s="97">
        <f t="shared" si="3"/>
        <v>42.59</v>
      </c>
      <c r="AH13" s="107">
        <f t="shared" si="4"/>
        <v>6377.05</v>
      </c>
      <c r="AI13" s="108"/>
      <c r="AJ13" s="107">
        <f t="shared" si="5"/>
        <v>6377.05</v>
      </c>
      <c r="AK13" s="109"/>
      <c r="AL13" s="107">
        <f t="shared" si="6"/>
        <v>6419.64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L14+IFERROR(VLOOKUP($E:$E,'（居民）工资表-5月'!$E:$S,15,0),0)</f>
        <v>42608.7</v>
      </c>
      <c r="T14" s="91">
        <f>5000+IFERROR(VLOOKUP($E:$E,'（居民）工资表-5月'!$E:$T,16,0),0)</f>
        <v>30000</v>
      </c>
      <c r="U14" s="91">
        <f>Q14+IFERROR(VLOOKUP($E:$E,'（居民）工资表-5月'!$E:$U,17,0),0)</f>
        <v>4440.36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8168.34</v>
      </c>
      <c r="AE14" s="96">
        <f>ROUND(MAX((AD14)*{0.03;0.1;0.2;0.25;0.3;0.35;0.45}-{0;2520;16920;31920;52920;85920;181920},0),2)</f>
        <v>245.05</v>
      </c>
      <c r="AF14" s="97">
        <f>IFERROR(VLOOKUP(E:E,'（居民）工资表-5月'!E:AF,28,0)+VLOOKUP(E:E,'（居民）工资表-5月'!E:AG,29,0),0)</f>
        <v>202.46</v>
      </c>
      <c r="AG14" s="97">
        <f t="shared" si="3"/>
        <v>42.59</v>
      </c>
      <c r="AH14" s="107">
        <f t="shared" si="4"/>
        <v>6377.05</v>
      </c>
      <c r="AI14" s="108"/>
      <c r="AJ14" s="107">
        <f t="shared" si="5"/>
        <v>6377.05</v>
      </c>
      <c r="AK14" s="109"/>
      <c r="AL14" s="107">
        <f t="shared" si="6"/>
        <v>6419.64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7000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L15+IFERROR(VLOOKUP($E:$E,'（居民）工资表-5月'!$E:$S,15,0),0)</f>
        <v>42000</v>
      </c>
      <c r="T15" s="91">
        <f>5000+IFERROR(VLOOKUP($E:$E,'（居民）工资表-5月'!$E:$T,16,0),0)</f>
        <v>30000</v>
      </c>
      <c r="U15" s="91">
        <f>Q15+IFERROR(VLOOKUP($E:$E,'（居民）工资表-5月'!$E:$U,17,0),0)</f>
        <v>3330.21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8669.79</v>
      </c>
      <c r="AE15" s="96">
        <f>ROUND(MAX((AD15)*{0.03;0.1;0.2;0.25;0.3;0.35;0.45}-{0;2520;16920;31920;52920;85920;181920},0),2)</f>
        <v>260.09</v>
      </c>
      <c r="AF15" s="97">
        <f>IFERROR(VLOOKUP(E:E,'（居民）工资表-5月'!E:AF,28,0)+VLOOKUP(E:E,'（居民）工资表-5月'!E:AG,29,0),0)</f>
        <v>216.15</v>
      </c>
      <c r="AG15" s="97">
        <f t="shared" si="3"/>
        <v>43.94</v>
      </c>
      <c r="AH15" s="107">
        <f t="shared" si="4"/>
        <v>6420.85</v>
      </c>
      <c r="AI15" s="108"/>
      <c r="AJ15" s="107">
        <f t="shared" si="5"/>
        <v>6420.85</v>
      </c>
      <c r="AK15" s="109"/>
      <c r="AL15" s="107">
        <f t="shared" si="6"/>
        <v>6464.79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L16+IFERROR(VLOOKUP($E:$E,'（居民）工资表-5月'!$E:$S,15,0),0)</f>
        <v>37121.74</v>
      </c>
      <c r="T16" s="91">
        <f>5000+IFERROR(VLOOKUP($E:$E,'（居民）工资表-5月'!$E:$T,16,0),0)</f>
        <v>30000</v>
      </c>
      <c r="U16" s="91">
        <f>Q16+IFERROR(VLOOKUP($E:$E,'（居民）工资表-5月'!$E:$U,17,0),0)</f>
        <v>3145.91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3975.83</v>
      </c>
      <c r="AE16" s="96">
        <f>ROUND(MAX((AD16)*{0.03;0.1;0.2;0.25;0.3;0.35;0.45}-{0;2520;16920;31920;52920;85920;181920},0),2)</f>
        <v>119.27</v>
      </c>
      <c r="AF16" s="97">
        <f>IFERROR(VLOOKUP(E:E,'（居民）工资表-5月'!E:AF,28,0)+VLOOKUP(E:E,'（居民）工资表-5月'!E:AG,29,0),0)</f>
        <v>102.7</v>
      </c>
      <c r="AG16" s="97">
        <f t="shared" si="3"/>
        <v>16.57</v>
      </c>
      <c r="AH16" s="107">
        <f t="shared" si="4"/>
        <v>5536.07</v>
      </c>
      <c r="AI16" s="108"/>
      <c r="AJ16" s="107">
        <f t="shared" si="5"/>
        <v>5536.07</v>
      </c>
      <c r="AK16" s="109"/>
      <c r="AL16" s="107">
        <f t="shared" si="6"/>
        <v>5552.64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L17+IFERROR(VLOOKUP($E:$E,'（居民）工资表-5月'!$E:$S,15,0),0)</f>
        <v>6560</v>
      </c>
      <c r="T17" s="91">
        <f>5000+IFERROR(VLOOKUP($E:$E,'（居民）工资表-5月'!$E:$T,16,0),0)</f>
        <v>5000</v>
      </c>
      <c r="U17" s="91">
        <f>Q17+IFERROR(VLOOKUP($E:$E,'（居民）工资表-5月'!$E:$U,17,0),0)</f>
        <v>589.16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970.84</v>
      </c>
      <c r="AE17" s="96">
        <f>ROUND(MAX((AD17)*{0.03;0.1;0.2;0.25;0.3;0.35;0.45}-{0;2520;16920;31920;52920;85920;181920},0),2)</f>
        <v>29.13</v>
      </c>
      <c r="AF17" s="97">
        <f>IFERROR(VLOOKUP(E:E,'（居民）工资表-5月'!E:AF,28,0)+VLOOKUP(E:E,'（居民）工资表-5月'!E:AG,29,0),0)</f>
        <v>0</v>
      </c>
      <c r="AG17" s="97">
        <f t="shared" si="3"/>
        <v>29.13</v>
      </c>
      <c r="AH17" s="107">
        <f t="shared" si="4"/>
        <v>5941.71</v>
      </c>
      <c r="AI17" s="108"/>
      <c r="AJ17" s="107">
        <f t="shared" si="5"/>
        <v>5941.71</v>
      </c>
      <c r="AK17" s="109"/>
      <c r="AL17" s="107">
        <f t="shared" si="6"/>
        <v>5970.84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4800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L18+IFERROR(VLOOKUP($E:$E,'（居民）工资表-5月'!$E:$S,15,0),0)</f>
        <v>34800</v>
      </c>
      <c r="T18" s="91">
        <f>5000+IFERROR(VLOOKUP($E:$E,'（居民）工资表-5月'!$E:$T,16,0),0)</f>
        <v>30000</v>
      </c>
      <c r="U18" s="91">
        <f>Q18+IFERROR(VLOOKUP($E:$E,'（居民）工资表-5月'!$E:$U,17,0),0)</f>
        <v>3130.36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1669.64</v>
      </c>
      <c r="AE18" s="96">
        <f>ROUND(MAX((AD18)*{0.03;0.1;0.2;0.25;0.3;0.35;0.45}-{0;2520;16920;31920;52920;85920;181920},0),2)</f>
        <v>50.09</v>
      </c>
      <c r="AF18" s="97">
        <f>IFERROR(VLOOKUP(E:E,'（居民）工资表-5月'!E:AF,28,0)+VLOOKUP(E:E,'（居民）工资表-5月'!E:AG,29,0),0)</f>
        <v>71.25</v>
      </c>
      <c r="AG18" s="97">
        <f t="shared" si="3"/>
        <v>0</v>
      </c>
      <c r="AH18" s="107">
        <f t="shared" si="4"/>
        <v>4294.64</v>
      </c>
      <c r="AI18" s="108"/>
      <c r="AJ18" s="107">
        <f t="shared" si="5"/>
        <v>4294.64</v>
      </c>
      <c r="AK18" s="109"/>
      <c r="AL18" s="107">
        <f t="shared" si="6"/>
        <v>4294.64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122278.8</v>
      </c>
      <c r="M20" s="74">
        <f t="shared" si="10"/>
        <v>4937.14</v>
      </c>
      <c r="N20" s="74">
        <f t="shared" si="10"/>
        <v>1406.9</v>
      </c>
      <c r="O20" s="74">
        <f t="shared" si="10"/>
        <v>267.06</v>
      </c>
      <c r="P20" s="74">
        <f t="shared" si="10"/>
        <v>1969.3</v>
      </c>
      <c r="Q20" s="74">
        <f t="shared" si="10"/>
        <v>8580.4</v>
      </c>
      <c r="R20" s="74">
        <f t="shared" si="10"/>
        <v>0</v>
      </c>
      <c r="S20" s="74">
        <f t="shared" si="10"/>
        <v>698878.44</v>
      </c>
      <c r="T20" s="74">
        <f t="shared" si="10"/>
        <v>400000</v>
      </c>
      <c r="U20" s="74">
        <f t="shared" si="10"/>
        <v>50552.74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248325.7</v>
      </c>
      <c r="AE20" s="74">
        <f t="shared" si="10"/>
        <v>15333.69</v>
      </c>
      <c r="AF20" s="74">
        <f t="shared" si="10"/>
        <v>12373.44</v>
      </c>
      <c r="AG20" s="74">
        <f t="shared" si="10"/>
        <v>2981.41</v>
      </c>
      <c r="AH20" s="74">
        <f t="shared" si="10"/>
        <v>110716.99</v>
      </c>
      <c r="AI20" s="126">
        <f t="shared" si="10"/>
        <v>0</v>
      </c>
      <c r="AJ20" s="74">
        <f t="shared" si="10"/>
        <v>110716.99</v>
      </c>
      <c r="AK20" s="74">
        <f t="shared" si="10"/>
        <v>0</v>
      </c>
      <c r="AL20" s="74">
        <f t="shared" si="10"/>
        <v>113698.4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193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110716.99</v>
      </c>
      <c r="C25" s="48">
        <f>AG20</f>
        <v>2981.41</v>
      </c>
      <c r="D25" s="48">
        <f>AK20</f>
        <v>0</v>
      </c>
      <c r="E25" s="48">
        <f>B25+C25+D25</f>
        <v>113698.4</v>
      </c>
    </row>
    <row r="26" spans="2:5">
      <c r="B26" s="49"/>
      <c r="C26" s="49"/>
      <c r="D26" s="49"/>
      <c r="E26" s="49"/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342.66</v>
      </c>
      <c r="N4" s="71">
        <v>76.62</v>
      </c>
      <c r="O4" s="71">
        <v>12.85</v>
      </c>
      <c r="P4" s="71">
        <v>177</v>
      </c>
      <c r="Q4" s="89">
        <f>ROUND(SUM(M4:P4),2)</f>
        <v>609.13</v>
      </c>
      <c r="R4" s="70">
        <v>0</v>
      </c>
      <c r="S4" s="90">
        <f>L4+IFERROR(VLOOKUP($E:$E,'（居民）工资表-7月'!$E:$S,15,0),0)</f>
        <v>64000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4770.61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19229.39</v>
      </c>
      <c r="AE4" s="96">
        <f>ROUND(MAX((AD4)*{0.03;0.1;0.2;0.25;0.3;0.35;0.45}-{0;2520;16920;31920;52920;85920;181920},0),2)</f>
        <v>576.88</v>
      </c>
      <c r="AF4" s="97">
        <f>IFERROR(VLOOKUP(E:E,'（居民）工资表-7月'!E:AF,28,0)+VLOOKUP(E:E,'（居民）工资表-7月'!E:AG,29,0),0)</f>
        <v>431.99</v>
      </c>
      <c r="AG4" s="97">
        <f>IF((AE4-AF4)&lt;0,0,AE4-AF4)</f>
        <v>144.89</v>
      </c>
      <c r="AH4" s="107">
        <f>ROUND(IF((L4-Q4-AG4)&lt;0,0,(L4-Q4-AG4)),2)</f>
        <v>7245.98</v>
      </c>
      <c r="AI4" s="108"/>
      <c r="AJ4" s="107">
        <f>AH4+AI4</f>
        <v>7245.98</v>
      </c>
      <c r="AK4" s="109"/>
      <c r="AL4" s="107">
        <f>AJ4+AG4+AK4</f>
        <v>7390.87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478.4</v>
      </c>
      <c r="N5" s="71">
        <v>113.48</v>
      </c>
      <c r="O5" s="71">
        <v>4.6</v>
      </c>
      <c r="P5" s="71">
        <v>115</v>
      </c>
      <c r="Q5" s="89">
        <f>ROUND(SUM(M5:P5),2)</f>
        <v>711.48</v>
      </c>
      <c r="R5" s="70">
        <v>0</v>
      </c>
      <c r="S5" s="90">
        <f>L5+IFERROR(VLOOKUP($E:$E,'（居民）工资表-7月'!$E:$S,15,0),0)</f>
        <v>45600</v>
      </c>
      <c r="T5" s="91">
        <f>5000+IFERROR(VLOOKUP($E:$E,'（居民）工资表-7月'!$E:$T,16,0),0)</f>
        <v>40000</v>
      </c>
      <c r="U5" s="91">
        <f>Q5+IFERROR(VLOOKUP($E:$E,'（居民）工资表-7月'!$E:$U,17,0),0)</f>
        <v>5222.92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377.08</v>
      </c>
      <c r="AE5" s="96">
        <f>ROUND(MAX((AD5)*{0.03;0.1;0.2;0.25;0.3;0.35;0.45}-{0;2520;16920;31920;52920;85920;181920},0),2)</f>
        <v>11.31</v>
      </c>
      <c r="AF5" s="97">
        <f>IFERROR(VLOOKUP(E:E,'（居民）工资表-7月'!E:AF,28,0)+VLOOKUP(E:E,'（居民）工资表-7月'!E:AG,29,0),0)</f>
        <v>8.66</v>
      </c>
      <c r="AG5" s="97">
        <f>IF((AE5-AF5)&lt;0,0,AE5-AF5)</f>
        <v>2.65</v>
      </c>
      <c r="AH5" s="107">
        <f>ROUND(IF((L5-Q5-AG5)&lt;0,0,(L5-Q5-AG5)),2)</f>
        <v>4985.87</v>
      </c>
      <c r="AI5" s="108"/>
      <c r="AJ5" s="107">
        <f>AH5+AI5</f>
        <v>4985.87</v>
      </c>
      <c r="AK5" s="109"/>
      <c r="AL5" s="107">
        <f>AJ5+AG5+AK5</f>
        <v>4988.52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181.3</v>
      </c>
      <c r="Q6" s="89">
        <f t="shared" ref="Q6:Q19" si="0">ROUND(SUM(M6:P6),2)</f>
        <v>948.85</v>
      </c>
      <c r="R6" s="70">
        <v>0</v>
      </c>
      <c r="S6" s="90">
        <f>L6+IFERROR(VLOOKUP($E:$E,'（居民）工资表-7月'!$E:$S,15,0),0)</f>
        <v>242480</v>
      </c>
      <c r="T6" s="91">
        <f>5000+IFERROR(VLOOKUP($E:$E,'（居民）工资表-7月'!$E:$T,16,0),0)</f>
        <v>40000</v>
      </c>
      <c r="U6" s="91">
        <f>Q6+IFERROR(VLOOKUP($E:$E,'（居民）工资表-7月'!$E:$U,17,0),0)</f>
        <v>7506.35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194973.65</v>
      </c>
      <c r="AE6" s="96">
        <f>ROUND(MAX((AD6)*{0.03;0.1;0.2;0.25;0.3;0.35;0.45}-{0;2520;16920;31920;52920;85920;181920},0),2)</f>
        <v>22074.73</v>
      </c>
      <c r="AF6" s="97">
        <f>IFERROR(VLOOKUP(E:E,'（居民）工资表-7月'!E:AF,28,0)+VLOOKUP(E:E,'（居民）工资表-7月'!E:AG,29,0),0)</f>
        <v>14852.5</v>
      </c>
      <c r="AG6" s="97">
        <f t="shared" ref="AG6:AG19" si="3">IF((AE6-AF6)&lt;0,0,AE6-AF6)</f>
        <v>7222.23</v>
      </c>
      <c r="AH6" s="107">
        <f t="shared" ref="AH6:AH19" si="4">ROUND(IF((L6-Q6-AG6)&lt;0,0,(L6-Q6-AG6)),2)</f>
        <v>23388.92</v>
      </c>
      <c r="AI6" s="108"/>
      <c r="AJ6" s="107">
        <f t="shared" ref="AJ6:AJ19" si="5">AH6+AI6</f>
        <v>23388.92</v>
      </c>
      <c r="AK6" s="109"/>
      <c r="AL6" s="107">
        <f t="shared" ref="AL6:AL19" si="6">AJ6+AG6+AK6</f>
        <v>30611.15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8500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si="0"/>
        <v>507.36</v>
      </c>
      <c r="R7" s="70">
        <v>0</v>
      </c>
      <c r="S7" s="90">
        <f>L7+IFERROR(VLOOKUP($E:$E,'（居民）工资表-7月'!$E:$S,15,0),0)</f>
        <v>65600</v>
      </c>
      <c r="T7" s="91">
        <f>5000+IFERROR(VLOOKUP($E:$E,'（居民）工资表-7月'!$E:$T,16,0),0)</f>
        <v>40000</v>
      </c>
      <c r="U7" s="91">
        <f>Q7+IFERROR(VLOOKUP($E:$E,'（居民）工资表-7月'!$E:$U,17,0),0)</f>
        <v>4160.63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21439.37</v>
      </c>
      <c r="AE7" s="96">
        <f>ROUND(MAX((AD7)*{0.03;0.1;0.2;0.25;0.3;0.35;0.45}-{0;2520;16920;31920;52920;85920;181920},0),2)</f>
        <v>643.18</v>
      </c>
      <c r="AF7" s="97">
        <f>IFERROR(VLOOKUP(E:E,'（居民）工资表-7月'!E:AF,28,0)+VLOOKUP(E:E,'（居民）工资表-7月'!E:AG,29,0),0)</f>
        <v>445.62</v>
      </c>
      <c r="AG7" s="97">
        <f t="shared" si="3"/>
        <v>197.56</v>
      </c>
      <c r="AH7" s="107">
        <f t="shared" si="4"/>
        <v>7795.08</v>
      </c>
      <c r="AI7" s="108"/>
      <c r="AJ7" s="107">
        <f t="shared" si="5"/>
        <v>7795.08</v>
      </c>
      <c r="AK7" s="109"/>
      <c r="AL7" s="107">
        <f t="shared" si="6"/>
        <v>7992.64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11800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L8+IFERROR(VLOOKUP($E:$E,'（居民）工资表-7月'!$E:$S,15,0),0)</f>
        <v>84100</v>
      </c>
      <c r="T8" s="91">
        <f>5000+IFERROR(VLOOKUP($E:$E,'（居民）工资表-7月'!$E:$T,16,0),0)</f>
        <v>40000</v>
      </c>
      <c r="U8" s="91">
        <f>Q8+IFERROR(VLOOKUP($E:$E,'（居民）工资表-7月'!$E:$U,17,0),0)</f>
        <v>5601.08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38498.92</v>
      </c>
      <c r="AE8" s="96">
        <f>ROUND(MAX((AD8)*{0.03;0.1;0.2;0.25;0.3;0.35;0.45}-{0;2520;16920;31920;52920;85920;181920},0),2)</f>
        <v>1329.89</v>
      </c>
      <c r="AF8" s="97">
        <f>IFERROR(VLOOKUP(E:E,'（居民）工资表-7月'!E:AF,28,0)+VLOOKUP(E:E,'（居民）工资表-7月'!E:AG,29,0),0)</f>
        <v>968.38</v>
      </c>
      <c r="AG8" s="97">
        <f t="shared" si="3"/>
        <v>361.51</v>
      </c>
      <c r="AH8" s="107">
        <f t="shared" si="4"/>
        <v>10858.13</v>
      </c>
      <c r="AI8" s="108"/>
      <c r="AJ8" s="107">
        <f t="shared" si="5"/>
        <v>10858.13</v>
      </c>
      <c r="AK8" s="109"/>
      <c r="AL8" s="107">
        <f t="shared" si="6"/>
        <v>11219.64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L9+IFERROR(VLOOKUP($E:$E,'（居民）工资表-7月'!$E:$S,15,0),0)</f>
        <v>52000</v>
      </c>
      <c r="T9" s="91">
        <f>5000+IFERROR(VLOOKUP($E:$E,'（居民）工资表-7月'!$E:$T,16,0),0)</f>
        <v>40000</v>
      </c>
      <c r="U9" s="91">
        <f>Q9+IFERROR(VLOOKUP($E:$E,'（居民）工资表-7月'!$E:$U,17,0),0)</f>
        <v>4199.97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7800.03</v>
      </c>
      <c r="AE9" s="96">
        <f>ROUND(MAX((AD9)*{0.03;0.1;0.2;0.25;0.3;0.35;0.45}-{0;2520;16920;31920;52920;85920;181920},0),2)</f>
        <v>234</v>
      </c>
      <c r="AF9" s="97">
        <f>IFERROR(VLOOKUP(E:E,'（居民）工资表-7月'!E:AF,28,0)+VLOOKUP(E:E,'（居民）工资表-7月'!E:AG,29,0),0)</f>
        <v>204.43</v>
      </c>
      <c r="AG9" s="97">
        <f t="shared" si="3"/>
        <v>29.57</v>
      </c>
      <c r="AH9" s="107">
        <f t="shared" si="4"/>
        <v>5956.27</v>
      </c>
      <c r="AI9" s="108"/>
      <c r="AJ9" s="107">
        <f t="shared" si="5"/>
        <v>5956.27</v>
      </c>
      <c r="AK9" s="109"/>
      <c r="AL9" s="107">
        <f t="shared" si="6"/>
        <v>5985.84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316.56</v>
      </c>
      <c r="N10" s="71">
        <v>84.14</v>
      </c>
      <c r="O10" s="71">
        <v>19.79</v>
      </c>
      <c r="P10" s="71">
        <v>105</v>
      </c>
      <c r="Q10" s="89">
        <f t="shared" si="0"/>
        <v>525.49</v>
      </c>
      <c r="R10" s="70">
        <v>0</v>
      </c>
      <c r="S10" s="90">
        <f>L10+IFERROR(VLOOKUP($E:$E,'（居民）工资表-7月'!$E:$S,15,0),0)</f>
        <v>16500</v>
      </c>
      <c r="T10" s="91">
        <f>5000+IFERROR(VLOOKUP($E:$E,'（居民）工资表-7月'!$E:$T,16,0),0)</f>
        <v>15000</v>
      </c>
      <c r="U10" s="91">
        <f>Q10+IFERROR(VLOOKUP($E:$E,'（居民）工资表-7月'!$E:$U,17,0),0)</f>
        <v>1576.47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-76.47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4974.51</v>
      </c>
      <c r="AI10" s="108"/>
      <c r="AJ10" s="107">
        <f t="shared" si="5"/>
        <v>4974.51</v>
      </c>
      <c r="AK10" s="109"/>
      <c r="AL10" s="107">
        <f t="shared" si="6"/>
        <v>4974.51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L11+IFERROR(VLOOKUP($E:$E,'（居民）工资表-7月'!$E:$S,15,0),0)</f>
        <v>36425.6</v>
      </c>
      <c r="T11" s="91">
        <f>5000+IFERROR(VLOOKUP($E:$E,'（居民）工资表-7月'!$E:$T,16,0),0)</f>
        <v>40000</v>
      </c>
      <c r="U11" s="91">
        <f>Q11+IFERROR(VLOOKUP($E:$E,'（居民）工资表-7月'!$E:$U,17,0),0)</f>
        <v>4928.3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-8502.7</v>
      </c>
      <c r="AE11" s="96">
        <f>ROUND(MAX((AD11)*{0.03;0.1;0.2;0.25;0.3;0.35;0.45}-{0;2520;16920;31920;52920;85920;181920},0),2)</f>
        <v>0</v>
      </c>
      <c r="AF11" s="97">
        <f>IFERROR(VLOOKUP(E:E,'（居民）工资表-7月'!E:AF,28,0)+VLOOKUP(E:E,'（居民）工资表-7月'!E:AG,29,0),0)</f>
        <v>0</v>
      </c>
      <c r="AG11" s="97">
        <f t="shared" si="3"/>
        <v>0</v>
      </c>
      <c r="AH11" s="107">
        <f t="shared" si="4"/>
        <v>4005.8</v>
      </c>
      <c r="AI11" s="108"/>
      <c r="AJ11" s="107">
        <f t="shared" si="5"/>
        <v>4005.8</v>
      </c>
      <c r="AK11" s="109"/>
      <c r="AL11" s="107">
        <f t="shared" si="6"/>
        <v>4005.8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 t="s">
        <v>171</v>
      </c>
      <c r="AV11" s="12" t="s">
        <v>172</v>
      </c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11300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L12+IFERROR(VLOOKUP($E:$E,'（居民）工资表-7月'!$E:$S,15,0),0)</f>
        <v>71100</v>
      </c>
      <c r="T12" s="91">
        <f>5000+IFERROR(VLOOKUP($E:$E,'（居民）工资表-7月'!$E:$T,16,0),0)</f>
        <v>40000</v>
      </c>
      <c r="U12" s="91">
        <f>Q12+IFERROR(VLOOKUP($E:$E,'（居民）工资表-7月'!$E:$U,17,0),0)</f>
        <v>4400.63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26699.37</v>
      </c>
      <c r="AE12" s="96">
        <f>ROUND(MAX((AD12)*{0.03;0.1;0.2;0.25;0.3;0.35;0.45}-{0;2520;16920;31920;52920;85920;181920},0),2)</f>
        <v>800.98</v>
      </c>
      <c r="AF12" s="97">
        <f>IFERROR(VLOOKUP(E:E,'（居民）工资表-7月'!E:AF,28,0)+VLOOKUP(E:E,'（居民）工资表-7月'!E:AG,29,0),0)</f>
        <v>628.04</v>
      </c>
      <c r="AG12" s="97">
        <f t="shared" si="3"/>
        <v>172.94</v>
      </c>
      <c r="AH12" s="107">
        <f t="shared" si="4"/>
        <v>10591.85</v>
      </c>
      <c r="AI12" s="108"/>
      <c r="AJ12" s="107">
        <f t="shared" si="5"/>
        <v>10591.85</v>
      </c>
      <c r="AK12" s="109"/>
      <c r="AL12" s="107">
        <f t="shared" si="6"/>
        <v>10764.79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8227.27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L13+IFERROR(VLOOKUP($E:$E,'（居民）工资表-7月'!$E:$S,15,0),0)</f>
        <v>59227.27</v>
      </c>
      <c r="T13" s="91">
        <f>5000+IFERROR(VLOOKUP($E:$E,'（居民）工资表-7月'!$E:$T,16,0),0)</f>
        <v>40000</v>
      </c>
      <c r="U13" s="91">
        <f>Q13+IFERROR(VLOOKUP($E:$E,'（居民）工资表-7月'!$E:$U,17,0),0)</f>
        <v>5601.08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13626.19</v>
      </c>
      <c r="AE13" s="96">
        <f>ROUND(MAX((AD13)*{0.03;0.1;0.2;0.25;0.3;0.35;0.45}-{0;2520;16920;31920;52920;85920;181920},0),2)</f>
        <v>408.79</v>
      </c>
      <c r="AF13" s="97">
        <f>IFERROR(VLOOKUP(E:E,'（居民）工资表-7月'!E:AF,28,0)+VLOOKUP(E:E,'（居民）工资表-7月'!E:AG,29,0),0)</f>
        <v>329.38</v>
      </c>
      <c r="AG13" s="97">
        <f t="shared" si="3"/>
        <v>79.41</v>
      </c>
      <c r="AH13" s="107">
        <f t="shared" si="4"/>
        <v>7567.5</v>
      </c>
      <c r="AI13" s="108"/>
      <c r="AJ13" s="107">
        <f t="shared" si="5"/>
        <v>7567.5</v>
      </c>
      <c r="AK13" s="109"/>
      <c r="AL13" s="107">
        <f t="shared" si="6"/>
        <v>7646.91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11000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L14+IFERROR(VLOOKUP($E:$E,'（居民）工资表-7月'!$E:$S,15,0),0)</f>
        <v>62608.7</v>
      </c>
      <c r="T14" s="91">
        <f>5000+IFERROR(VLOOKUP($E:$E,'（居民）工资表-7月'!$E:$T,16,0),0)</f>
        <v>40000</v>
      </c>
      <c r="U14" s="91">
        <f>Q14+IFERROR(VLOOKUP($E:$E,'（居民）工资表-7月'!$E:$U,17,0),0)</f>
        <v>5601.08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17007.62</v>
      </c>
      <c r="AE14" s="96">
        <f>ROUND(MAX((AD14)*{0.03;0.1;0.2;0.25;0.3;0.35;0.45}-{0;2520;16920;31920;52920;85920;181920},0),2)</f>
        <v>510.23</v>
      </c>
      <c r="AF14" s="97">
        <f>IFERROR(VLOOKUP(E:E,'（居民）工资表-7月'!E:AF,28,0)+VLOOKUP(E:E,'（居民）工资表-7月'!E:AG,29,0),0)</f>
        <v>347.64</v>
      </c>
      <c r="AG14" s="97">
        <f t="shared" si="3"/>
        <v>162.59</v>
      </c>
      <c r="AH14" s="107">
        <f t="shared" si="4"/>
        <v>10257.05</v>
      </c>
      <c r="AI14" s="108"/>
      <c r="AJ14" s="107">
        <f t="shared" si="5"/>
        <v>10257.05</v>
      </c>
      <c r="AK14" s="109"/>
      <c r="AL14" s="107">
        <f t="shared" si="6"/>
        <v>10419.64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7900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L15+IFERROR(VLOOKUP($E:$E,'（居民）工资表-7月'!$E:$S,15,0),0)</f>
        <v>58700</v>
      </c>
      <c r="T15" s="91">
        <f>5000+IFERROR(VLOOKUP($E:$E,'（居民）工资表-7月'!$E:$T,16,0),0)</f>
        <v>40000</v>
      </c>
      <c r="U15" s="91">
        <f>Q15+IFERROR(VLOOKUP($E:$E,'（居民）工资表-7月'!$E:$U,17,0),0)</f>
        <v>4400.63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14299.37</v>
      </c>
      <c r="AE15" s="96">
        <f>ROUND(MAX((AD15)*{0.03;0.1;0.2;0.25;0.3;0.35;0.45}-{0;2520;16920;31920;52920;85920;181920},0),2)</f>
        <v>428.98</v>
      </c>
      <c r="AF15" s="97">
        <f>IFERROR(VLOOKUP(E:E,'（居民）工资表-7月'!E:AF,28,0)+VLOOKUP(E:E,'（居民）工资表-7月'!E:AG,29,0),0)</f>
        <v>358.04</v>
      </c>
      <c r="AG15" s="97">
        <f t="shared" si="3"/>
        <v>70.94</v>
      </c>
      <c r="AH15" s="107">
        <f t="shared" si="4"/>
        <v>7293.85</v>
      </c>
      <c r="AI15" s="108"/>
      <c r="AJ15" s="107">
        <f t="shared" si="5"/>
        <v>7293.85</v>
      </c>
      <c r="AK15" s="109"/>
      <c r="AL15" s="107">
        <f t="shared" si="6"/>
        <v>7364.79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7860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L16+IFERROR(VLOOKUP($E:$E,'（居民）工资表-7月'!$E:$S,15,0),0)</f>
        <v>52341.74</v>
      </c>
      <c r="T16" s="91">
        <f>5000+IFERROR(VLOOKUP($E:$E,'（居民）工资表-7月'!$E:$T,16,0),0)</f>
        <v>40000</v>
      </c>
      <c r="U16" s="91">
        <f>Q16+IFERROR(VLOOKUP($E:$E,'（居民）工资表-7月'!$E:$U,17,0),0)</f>
        <v>4160.63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8181.11</v>
      </c>
      <c r="AE16" s="96">
        <f>ROUND(MAX((AD16)*{0.03;0.1;0.2;0.25;0.3;0.35;0.45}-{0;2520;16920;31920;52920;85920;181920},0),2)</f>
        <v>245.43</v>
      </c>
      <c r="AF16" s="97">
        <f>IFERROR(VLOOKUP(E:E,'（居民）工资表-7月'!E:AF,28,0)+VLOOKUP(E:E,'（居民）工资表-7月'!E:AG,29,0),0)</f>
        <v>174.85</v>
      </c>
      <c r="AG16" s="97">
        <f t="shared" si="3"/>
        <v>70.58</v>
      </c>
      <c r="AH16" s="107">
        <f t="shared" si="4"/>
        <v>7282.06</v>
      </c>
      <c r="AI16" s="108"/>
      <c r="AJ16" s="107">
        <f t="shared" si="5"/>
        <v>7282.06</v>
      </c>
      <c r="AK16" s="109"/>
      <c r="AL16" s="107">
        <f t="shared" si="6"/>
        <v>7352.64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L17+IFERROR(VLOOKUP($E:$E,'（居民）工资表-7月'!$E:$S,15,0),0)</f>
        <v>20180</v>
      </c>
      <c r="T17" s="91">
        <f>5000+IFERROR(VLOOKUP($E:$E,'（居民）工资表-7月'!$E:$T,16,0),0)</f>
        <v>15000</v>
      </c>
      <c r="U17" s="91">
        <f>Q17+IFERROR(VLOOKUP($E:$E,'（居民）工资表-7月'!$E:$U,17,0),0)</f>
        <v>1767.48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3412.52</v>
      </c>
      <c r="AE17" s="96">
        <f>ROUND(MAX((AD17)*{0.03;0.1;0.2;0.25;0.3;0.35;0.45}-{0;2520;16920;31920;52920;85920;181920},0),2)</f>
        <v>102.38</v>
      </c>
      <c r="AF17" s="97">
        <f>IFERROR(VLOOKUP(E:E,'（居民）工资表-7月'!E:AF,28,0)+VLOOKUP(E:E,'（居民）工资表-7月'!E:AG,29,0),0)</f>
        <v>73.25</v>
      </c>
      <c r="AG17" s="97">
        <f t="shared" si="3"/>
        <v>29.13</v>
      </c>
      <c r="AH17" s="107">
        <f t="shared" si="4"/>
        <v>5941.71</v>
      </c>
      <c r="AI17" s="108"/>
      <c r="AJ17" s="107">
        <f t="shared" si="5"/>
        <v>5941.71</v>
      </c>
      <c r="AK17" s="109"/>
      <c r="AL17" s="107">
        <f t="shared" si="6"/>
        <v>5970.84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7800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L18+IFERROR(VLOOKUP($E:$E,'（居民）工资表-7月'!$E:$S,15,0),0)</f>
        <v>48000</v>
      </c>
      <c r="T18" s="91">
        <f>5000+IFERROR(VLOOKUP($E:$E,'（居民）工资表-7月'!$E:$T,16,0),0)</f>
        <v>40000</v>
      </c>
      <c r="U18" s="91">
        <f>Q18+IFERROR(VLOOKUP($E:$E,'（居民）工资表-7月'!$E:$U,17,0),0)</f>
        <v>4141.08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3858.92</v>
      </c>
      <c r="AE18" s="96">
        <f>ROUND(MAX((AD18)*{0.03;0.1;0.2;0.25;0.3;0.35;0.45}-{0;2520;16920;31920;52920;85920;181920},0),2)</f>
        <v>115.77</v>
      </c>
      <c r="AF18" s="97">
        <f>IFERROR(VLOOKUP(E:E,'（居民）工资表-7月'!E:AF,28,0)+VLOOKUP(E:E,'（居民）工资表-7月'!E:AG,29,0),0)</f>
        <v>71.25</v>
      </c>
      <c r="AG18" s="97">
        <f t="shared" si="3"/>
        <v>44.52</v>
      </c>
      <c r="AH18" s="107">
        <f t="shared" si="4"/>
        <v>7250.12</v>
      </c>
      <c r="AI18" s="108"/>
      <c r="AJ18" s="107">
        <f t="shared" si="5"/>
        <v>7250.12</v>
      </c>
      <c r="AK18" s="109"/>
      <c r="AL18" s="107">
        <f t="shared" si="6"/>
        <v>7294.64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3800</v>
      </c>
      <c r="M19" s="71">
        <v>326.16</v>
      </c>
      <c r="N19" s="71">
        <v>88.54</v>
      </c>
      <c r="O19" s="71">
        <v>12.23</v>
      </c>
      <c r="P19" s="71">
        <v>100.5</v>
      </c>
      <c r="Q19" s="89">
        <f t="shared" si="0"/>
        <v>527.43</v>
      </c>
      <c r="R19" s="70">
        <v>0</v>
      </c>
      <c r="S19" s="90">
        <f>L19+IFERROR(VLOOKUP($E:$E,'（居民）工资表-7月'!$E:$S,15,0),0)</f>
        <v>5266.67</v>
      </c>
      <c r="T19" s="91">
        <f>5000+IFERROR(VLOOKUP($E:$E,'（居民）工资表-7月'!$E:$T,16,0),0)</f>
        <v>10000</v>
      </c>
      <c r="U19" s="91">
        <f>Q19+IFERROR(VLOOKUP($E:$E,'（居民）工资表-7月'!$E:$U,17,0),0)</f>
        <v>1575.29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R19+IFERROR(VLOOKUP($E:$E,'（居民）工资表-7月'!$E:$AC,25,0),0)</f>
        <v>0</v>
      </c>
      <c r="AD19" s="95">
        <f t="shared" si="2"/>
        <v>-6308.62</v>
      </c>
      <c r="AE19" s="96">
        <f>ROUND(MAX((AD19)*{0.03;0.1;0.2;0.25;0.3;0.35;0.45}-{0;2520;16920;31920;52920;85920;181920},0),2)</f>
        <v>0</v>
      </c>
      <c r="AF19" s="97">
        <f>IFERROR(VLOOKUP(E:E,'（居民）工资表-7月'!E:AF,28,0)+VLOOKUP(E:E,'（居民）工资表-7月'!E:AG,29,0),0)</f>
        <v>0</v>
      </c>
      <c r="AG19" s="97">
        <f t="shared" si="3"/>
        <v>0</v>
      </c>
      <c r="AH19" s="107">
        <f t="shared" si="4"/>
        <v>3272.57</v>
      </c>
      <c r="AI19" s="108"/>
      <c r="AJ19" s="107">
        <f t="shared" si="5"/>
        <v>3272.57</v>
      </c>
      <c r="AK19" s="109"/>
      <c r="AL19" s="107">
        <f t="shared" si="6"/>
        <v>3272.57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IF(SUMPRODUCT(N(E$1:E$18=E19))&gt;1,"重复","不")</f>
        <v>不</v>
      </c>
      <c r="AT19" s="116" t="str">
        <f>IF(SUMPRODUCT(N(AO$1:AO$18=AO19))&gt;1,"重复","不")</f>
        <v>重复</v>
      </c>
      <c r="AU19" s="12" t="s">
        <v>190</v>
      </c>
      <c r="AV19" s="12" t="s">
        <v>191</v>
      </c>
    </row>
    <row r="20" s="13" customFormat="1" ht="18" customHeight="1" spans="1:46">
      <c r="A20" s="41"/>
      <c r="B20" s="42" t="s">
        <v>192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146606.07</v>
      </c>
      <c r="M20" s="74">
        <f>SUM(M4:M19)</f>
        <v>5484.26</v>
      </c>
      <c r="N20" s="74">
        <f>SUM(N4:N19)</f>
        <v>1511.24</v>
      </c>
      <c r="O20" s="74">
        <f t="shared" ref="O20:AL20" si="10">SUM(O4:O19)</f>
        <v>284.98</v>
      </c>
      <c r="P20" s="74">
        <f t="shared" si="10"/>
        <v>2069.8</v>
      </c>
      <c r="Q20" s="74">
        <f t="shared" si="10"/>
        <v>9350.28</v>
      </c>
      <c r="R20" s="74">
        <f t="shared" si="10"/>
        <v>0</v>
      </c>
      <c r="S20" s="74">
        <f t="shared" si="10"/>
        <v>984129.98</v>
      </c>
      <c r="T20" s="74">
        <f t="shared" si="10"/>
        <v>560000</v>
      </c>
      <c r="U20" s="74">
        <f t="shared" si="10"/>
        <v>69614.23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354515.75</v>
      </c>
      <c r="AE20" s="74">
        <f t="shared" si="10"/>
        <v>27482.55</v>
      </c>
      <c r="AF20" s="74">
        <f t="shared" si="10"/>
        <v>18894.03</v>
      </c>
      <c r="AG20" s="74">
        <f t="shared" si="10"/>
        <v>8588.52</v>
      </c>
      <c r="AH20" s="74">
        <f t="shared" si="10"/>
        <v>128667.27</v>
      </c>
      <c r="AI20" s="74">
        <f t="shared" si="10"/>
        <v>0</v>
      </c>
      <c r="AJ20" s="74">
        <f t="shared" si="10"/>
        <v>128667.27</v>
      </c>
      <c r="AK20" s="74">
        <f t="shared" si="10"/>
        <v>0</v>
      </c>
      <c r="AL20" s="74">
        <f t="shared" si="10"/>
        <v>137255.79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193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128667.27</v>
      </c>
      <c r="C25" s="48">
        <f>AG20</f>
        <v>8588.52</v>
      </c>
      <c r="D25" s="48">
        <f>AK20</f>
        <v>0</v>
      </c>
      <c r="E25" s="48">
        <f>B25+C25+D25</f>
        <v>137255.79</v>
      </c>
    </row>
    <row r="26" spans="2:5">
      <c r="B26" s="49"/>
      <c r="C26" s="49"/>
      <c r="D26" s="49"/>
      <c r="E26" s="49" t="e">
        <f>#REF!</f>
        <v>#REF!</v>
      </c>
    </row>
    <row r="27" s="14" customFormat="1" spans="1:35">
      <c r="A27" s="51" t="s">
        <v>194</v>
      </c>
      <c r="B27" s="52" t="s">
        <v>195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196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200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201</v>
      </c>
    </row>
    <row r="35" spans="2:2">
      <c r="B35" s="59" t="s">
        <v>202</v>
      </c>
    </row>
    <row r="36" spans="2:2">
      <c r="B36" s="59" t="s">
        <v>203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A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86.35</v>
      </c>
      <c r="O4" s="71">
        <v>11.98</v>
      </c>
      <c r="P4" s="71">
        <v>177</v>
      </c>
      <c r="Q4" s="89">
        <f>ROUND(SUM(M4:P4),2)</f>
        <v>594.79</v>
      </c>
      <c r="R4" s="70">
        <v>0</v>
      </c>
      <c r="S4" s="90">
        <f>L4+IFERROR(VLOOKUP($E:$E,'（居民）工资表-8月'!$E:$S,15,0),0)</f>
        <v>72000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5365.4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21634.6</v>
      </c>
      <c r="AE4" s="96">
        <f>ROUND(MAX((AD4)*{0.03;0.1;0.2;0.25;0.3;0.35;0.45}-{0;2520;16920;31920;52920;85920;181920},0),2)</f>
        <v>649.04</v>
      </c>
      <c r="AF4" s="97">
        <f>IFERROR(VLOOKUP(E:E,'（居民）工资表-8月'!E:AF,28,0)+VLOOKUP(E:E,'（居民）工资表-8月'!E:AG,29,0),0)</f>
        <v>576.88</v>
      </c>
      <c r="AG4" s="97">
        <f>AE4-AF4</f>
        <v>72.16</v>
      </c>
      <c r="AH4" s="107">
        <f>ROUND(IF((L4-Q4-AG4)&lt;0,0,(L4-Q4-AG4)),2)</f>
        <v>7333.05</v>
      </c>
      <c r="AI4" s="108"/>
      <c r="AJ4" s="107">
        <f>AH4+AI4</f>
        <v>7333.05</v>
      </c>
      <c r="AK4" s="109"/>
      <c r="AL4" s="107">
        <f>AJ4+AG4+AK4</f>
        <v>7405.21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ref="Q5:Q19" si="0">ROUND(SUM(M5:P5),2)</f>
        <v>655.8</v>
      </c>
      <c r="R5" s="70">
        <v>0</v>
      </c>
      <c r="S5" s="90">
        <f>L5+IFERROR(VLOOKUP($E:$E,'（居民）工资表-8月'!$E:$S,15,0),0)</f>
        <v>51300</v>
      </c>
      <c r="T5" s="91">
        <f>5000+IFERROR(VLOOKUP($E:$E,'（居民）工资表-8月'!$E:$T,16,0),0)</f>
        <v>45000</v>
      </c>
      <c r="U5" s="91">
        <f>Q5+IFERROR(VLOOKUP($E:$E,'（居民）工资表-8月'!$E:$U,17,0),0)</f>
        <v>5878.72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421.28</v>
      </c>
      <c r="AE5" s="96">
        <f>ROUND(MAX((AD5)*{0.03;0.1;0.2;0.25;0.3;0.35;0.45}-{0;2520;16920;31920;52920;85920;181920},0),2)</f>
        <v>12.64</v>
      </c>
      <c r="AF5" s="97">
        <f>IFERROR(VLOOKUP(E:E,'（居民）工资表-8月'!E:AF,28,0)+VLOOKUP(E:E,'（居民）工资表-8月'!E:AG,29,0),0)</f>
        <v>11.31</v>
      </c>
      <c r="AG5" s="97">
        <f t="shared" ref="AG5:AG19" si="3">AE5-AF5</f>
        <v>1.33</v>
      </c>
      <c r="AH5" s="107">
        <f t="shared" ref="AH5:AH19" si="4">ROUND(IF((L5-Q5-AG5)&lt;0,0,(L5-Q5-AG5)),2)</f>
        <v>5042.87</v>
      </c>
      <c r="AI5" s="108"/>
      <c r="AJ5" s="107">
        <f t="shared" ref="AJ5:AJ19" si="5">AH5+AI5</f>
        <v>5042.87</v>
      </c>
      <c r="AK5" s="109"/>
      <c r="AL5" s="107">
        <f t="shared" ref="AL5:AL19" si="6">AJ5+AG5+AK5</f>
        <v>5044.2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181.3</v>
      </c>
      <c r="Q6" s="89">
        <f t="shared" si="0"/>
        <v>948.85</v>
      </c>
      <c r="R6" s="70">
        <v>0</v>
      </c>
      <c r="S6" s="90">
        <f>L6+IFERROR(VLOOKUP($E:$E,'（居民）工资表-8月'!$E:$S,15,0),0)</f>
        <v>274040</v>
      </c>
      <c r="T6" s="91">
        <f>5000+IFERROR(VLOOKUP($E:$E,'（居民）工资表-8月'!$E:$T,16,0),0)</f>
        <v>45000</v>
      </c>
      <c r="U6" s="91">
        <f>Q6+IFERROR(VLOOKUP($E:$E,'（居民）工资表-8月'!$E:$U,17,0),0)</f>
        <v>8455.2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220584.8</v>
      </c>
      <c r="AE6" s="96">
        <f>ROUND(MAX((AD6)*{0.03;0.1;0.2;0.25;0.3;0.35;0.45}-{0;2520;16920;31920;52920;85920;181920},0),2)</f>
        <v>27196.96</v>
      </c>
      <c r="AF6" s="97">
        <f>IFERROR(VLOOKUP(E:E,'（居民）工资表-8月'!E:AF,28,0)+VLOOKUP(E:E,'（居民）工资表-8月'!E:AG,29,0),0)</f>
        <v>22074.73</v>
      </c>
      <c r="AG6" s="97">
        <f t="shared" si="3"/>
        <v>5122.23</v>
      </c>
      <c r="AH6" s="107">
        <f t="shared" si="4"/>
        <v>25488.92</v>
      </c>
      <c r="AI6" s="108"/>
      <c r="AJ6" s="107">
        <f t="shared" si="5"/>
        <v>25488.92</v>
      </c>
      <c r="AK6" s="109"/>
      <c r="AL6" s="107">
        <f t="shared" si="6"/>
        <v>30611.15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9600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si="0"/>
        <v>507.36</v>
      </c>
      <c r="R7" s="70">
        <v>0</v>
      </c>
      <c r="S7" s="90">
        <f>L7+IFERROR(VLOOKUP($E:$E,'（居民）工资表-8月'!$E:$S,15,0),0)</f>
        <v>75200</v>
      </c>
      <c r="T7" s="91">
        <f>5000+IFERROR(VLOOKUP($E:$E,'（居民）工资表-8月'!$E:$T,16,0),0)</f>
        <v>45000</v>
      </c>
      <c r="U7" s="91">
        <f>Q7+IFERROR(VLOOKUP($E:$E,'（居民）工资表-8月'!$E:$U,17,0),0)</f>
        <v>4667.99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25532.01</v>
      </c>
      <c r="AE7" s="96">
        <f>ROUND(MAX((AD7)*{0.03;0.1;0.2;0.25;0.3;0.35;0.45}-{0;2520;16920;31920;52920;85920;181920},0),2)</f>
        <v>765.96</v>
      </c>
      <c r="AF7" s="97">
        <f>IFERROR(VLOOKUP(E:E,'（居民）工资表-8月'!E:AF,28,0)+VLOOKUP(E:E,'（居民）工资表-8月'!E:AG,29,0),0)</f>
        <v>643.18</v>
      </c>
      <c r="AG7" s="97">
        <f t="shared" si="3"/>
        <v>122.78</v>
      </c>
      <c r="AH7" s="107">
        <f t="shared" si="4"/>
        <v>8969.86</v>
      </c>
      <c r="AI7" s="108"/>
      <c r="AJ7" s="107">
        <f t="shared" si="5"/>
        <v>8969.86</v>
      </c>
      <c r="AK7" s="109"/>
      <c r="AL7" s="107">
        <f t="shared" si="6"/>
        <v>9092.64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11100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L8+IFERROR(VLOOKUP($E:$E,'（居民）工资表-8月'!$E:$S,15,0),0)</f>
        <v>95200</v>
      </c>
      <c r="T8" s="91">
        <f>5000+IFERROR(VLOOKUP($E:$E,'（居民）工资表-8月'!$E:$T,16,0),0)</f>
        <v>45000</v>
      </c>
      <c r="U8" s="91">
        <f>Q8+IFERROR(VLOOKUP($E:$E,'（居民）工资表-8月'!$E:$U,17,0),0)</f>
        <v>6181.44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44018.56</v>
      </c>
      <c r="AE8" s="96">
        <f>ROUND(MAX((AD8)*{0.03;0.1;0.2;0.25;0.3;0.35;0.45}-{0;2520;16920;31920;52920;85920;181920},0),2)</f>
        <v>1881.86</v>
      </c>
      <c r="AF8" s="97">
        <f>IFERROR(VLOOKUP(E:E,'（居民）工资表-8月'!E:AF,28,0)+VLOOKUP(E:E,'（居民）工资表-8月'!E:AG,29,0),0)</f>
        <v>1329.89</v>
      </c>
      <c r="AG8" s="97">
        <f t="shared" si="3"/>
        <v>551.97</v>
      </c>
      <c r="AH8" s="107">
        <f t="shared" si="4"/>
        <v>9967.67</v>
      </c>
      <c r="AI8" s="108"/>
      <c r="AJ8" s="107">
        <f t="shared" si="5"/>
        <v>9967.67</v>
      </c>
      <c r="AK8" s="109"/>
      <c r="AL8" s="107">
        <f t="shared" si="6"/>
        <v>10519.64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L9+IFERROR(VLOOKUP($E:$E,'（居民）工资表-8月'!$E:$S,15,0),0)</f>
        <v>58500</v>
      </c>
      <c r="T9" s="91">
        <f>5000+IFERROR(VLOOKUP($E:$E,'（居民）工资表-8月'!$E:$T,16,0),0)</f>
        <v>45000</v>
      </c>
      <c r="U9" s="91">
        <f>Q9+IFERROR(VLOOKUP($E:$E,'（居民）工资表-8月'!$E:$U,17,0),0)</f>
        <v>4714.13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8785.87</v>
      </c>
      <c r="AE9" s="96">
        <f>ROUND(MAX((AD9)*{0.03;0.1;0.2;0.25;0.3;0.35;0.45}-{0;2520;16920;31920;52920;85920;181920},0),2)</f>
        <v>263.58</v>
      </c>
      <c r="AF9" s="97">
        <f>IFERROR(VLOOKUP(E:E,'（居民）工资表-8月'!E:AF,28,0)+VLOOKUP(E:E,'（居民）工资表-8月'!E:AG,29,0),0)</f>
        <v>234</v>
      </c>
      <c r="AG9" s="97">
        <f t="shared" si="3"/>
        <v>29.58</v>
      </c>
      <c r="AH9" s="107">
        <f t="shared" si="4"/>
        <v>5956.26</v>
      </c>
      <c r="AI9" s="108"/>
      <c r="AJ9" s="107">
        <f t="shared" si="5"/>
        <v>5956.26</v>
      </c>
      <c r="AK9" s="109"/>
      <c r="AL9" s="107">
        <f t="shared" si="6"/>
        <v>5985.84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445.36</v>
      </c>
      <c r="N10" s="71">
        <v>116.34</v>
      </c>
      <c r="O10" s="71">
        <v>27.84</v>
      </c>
      <c r="P10" s="71">
        <v>105</v>
      </c>
      <c r="Q10" s="89">
        <f t="shared" si="0"/>
        <v>694.54</v>
      </c>
      <c r="R10" s="70">
        <v>0</v>
      </c>
      <c r="S10" s="90">
        <f>L10+IFERROR(VLOOKUP($E:$E,'（居民）工资表-8月'!$E:$S,15,0),0)</f>
        <v>22000</v>
      </c>
      <c r="T10" s="91">
        <f>5000+IFERROR(VLOOKUP($E:$E,'（居民）工资表-8月'!$E:$T,16,0),0)</f>
        <v>20000</v>
      </c>
      <c r="U10" s="91">
        <f>Q10+IFERROR(VLOOKUP($E:$E,'（居民）工资表-8月'!$E:$U,17,0),0)</f>
        <v>2271.01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-271.01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4805.46</v>
      </c>
      <c r="AI10" s="108"/>
      <c r="AJ10" s="107">
        <f t="shared" si="5"/>
        <v>4805.46</v>
      </c>
      <c r="AK10" s="109"/>
      <c r="AL10" s="107">
        <f t="shared" si="6"/>
        <v>4805.46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109</v>
      </c>
      <c r="O11" s="71">
        <v>22</v>
      </c>
      <c r="P11" s="71">
        <v>109</v>
      </c>
      <c r="Q11" s="89">
        <f t="shared" si="0"/>
        <v>592</v>
      </c>
      <c r="R11" s="70">
        <v>0</v>
      </c>
      <c r="S11" s="90">
        <f>L11+IFERROR(VLOOKUP($E:$E,'（居民）工资表-8月'!$E:$S,15,0),0)</f>
        <v>41024.4</v>
      </c>
      <c r="T11" s="91">
        <f>5000+IFERROR(VLOOKUP($E:$E,'（居民）工资表-8月'!$E:$T,16,0),0)</f>
        <v>45000</v>
      </c>
      <c r="U11" s="91">
        <f>Q11+IFERROR(VLOOKUP($E:$E,'（居民）工资表-8月'!$E:$U,17,0),0)</f>
        <v>5520.3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-9495.9</v>
      </c>
      <c r="AE11" s="96">
        <f>ROUND(MAX((AD11)*{0.03;0.1;0.2;0.25;0.3;0.35;0.45}-{0;2520;16920;31920;52920;85920;181920},0),2)</f>
        <v>0</v>
      </c>
      <c r="AF11" s="97">
        <f>IFERROR(VLOOKUP(E:E,'（居民）工资表-8月'!E:AF,28,0)+VLOOKUP(E:E,'（居民）工资表-8月'!E:AG,29,0),0)</f>
        <v>0</v>
      </c>
      <c r="AG11" s="97">
        <f t="shared" si="3"/>
        <v>0</v>
      </c>
      <c r="AH11" s="107">
        <f t="shared" si="4"/>
        <v>4006.8</v>
      </c>
      <c r="AI11" s="108"/>
      <c r="AJ11" s="107">
        <f t="shared" si="5"/>
        <v>4006.8</v>
      </c>
      <c r="AK11" s="109"/>
      <c r="AL11" s="107">
        <f t="shared" si="6"/>
        <v>4006.8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11000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L12+IFERROR(VLOOKUP($E:$E,'（居民）工资表-8月'!$E:$S,15,0),0)</f>
        <v>82100</v>
      </c>
      <c r="T12" s="91">
        <f>5000+IFERROR(VLOOKUP($E:$E,'（居民）工资表-8月'!$E:$T,16,0),0)</f>
        <v>45000</v>
      </c>
      <c r="U12" s="91">
        <f>Q12+IFERROR(VLOOKUP($E:$E,'（居民）工资表-8月'!$E:$U,17,0),0)</f>
        <v>4935.84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32164.16</v>
      </c>
      <c r="AE12" s="96">
        <f>ROUND(MAX((AD12)*{0.03;0.1;0.2;0.25;0.3;0.35;0.45}-{0;2520;16920;31920;52920;85920;181920},0),2)</f>
        <v>964.92</v>
      </c>
      <c r="AF12" s="97">
        <f>IFERROR(VLOOKUP(E:E,'（居民）工资表-8月'!E:AF,28,0)+VLOOKUP(E:E,'（居民）工资表-8月'!E:AG,29,0),0)</f>
        <v>800.98</v>
      </c>
      <c r="AG12" s="97">
        <f t="shared" si="3"/>
        <v>163.94</v>
      </c>
      <c r="AH12" s="107">
        <f t="shared" si="4"/>
        <v>10300.85</v>
      </c>
      <c r="AI12" s="108"/>
      <c r="AJ12" s="107">
        <f t="shared" si="5"/>
        <v>10300.85</v>
      </c>
      <c r="AK12" s="109"/>
      <c r="AL12" s="107">
        <f t="shared" si="6"/>
        <v>10464.79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8434.78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L13+IFERROR(VLOOKUP($E:$E,'（居民）工资表-8月'!$E:$S,15,0),0)</f>
        <v>67662.05</v>
      </c>
      <c r="T13" s="91">
        <f>5000+IFERROR(VLOOKUP($E:$E,'（居民）工资表-8月'!$E:$T,16,0),0)</f>
        <v>45000</v>
      </c>
      <c r="U13" s="91">
        <f>Q13+IFERROR(VLOOKUP($E:$E,'（居民）工资表-8月'!$E:$U,17,0),0)</f>
        <v>6181.44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16480.61</v>
      </c>
      <c r="AE13" s="96">
        <f>ROUND(MAX((AD13)*{0.03;0.1;0.2;0.25;0.3;0.35;0.45}-{0;2520;16920;31920;52920;85920;181920},0),2)</f>
        <v>494.42</v>
      </c>
      <c r="AF13" s="97">
        <f>IFERROR(VLOOKUP(E:E,'（居民）工资表-8月'!E:AF,28,0)+VLOOKUP(E:E,'（居民）工资表-8月'!E:AG,29,0),0)</f>
        <v>408.79</v>
      </c>
      <c r="AG13" s="97">
        <f t="shared" si="3"/>
        <v>85.63</v>
      </c>
      <c r="AH13" s="107">
        <f t="shared" si="4"/>
        <v>7768.79</v>
      </c>
      <c r="AI13" s="108"/>
      <c r="AJ13" s="107">
        <f t="shared" si="5"/>
        <v>7768.79</v>
      </c>
      <c r="AK13" s="109"/>
      <c r="AL13" s="107">
        <f t="shared" si="6"/>
        <v>7854.42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9800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L14+IFERROR(VLOOKUP($E:$E,'（居民）工资表-8月'!$E:$S,15,0),0)</f>
        <v>72408.7</v>
      </c>
      <c r="T14" s="91">
        <f>5000+IFERROR(VLOOKUP($E:$E,'（居民）工资表-8月'!$E:$T,16,0),0)</f>
        <v>45000</v>
      </c>
      <c r="U14" s="91">
        <f>Q14+IFERROR(VLOOKUP($E:$E,'（居民）工资表-8月'!$E:$U,17,0),0)</f>
        <v>6181.44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21227.26</v>
      </c>
      <c r="AE14" s="96">
        <f>ROUND(MAX((AD14)*{0.03;0.1;0.2;0.25;0.3;0.35;0.45}-{0;2520;16920;31920;52920;85920;181920},0),2)</f>
        <v>636.82</v>
      </c>
      <c r="AF14" s="97">
        <f>IFERROR(VLOOKUP(E:E,'（居民）工资表-8月'!E:AF,28,0)+VLOOKUP(E:E,'（居民）工资表-8月'!E:AG,29,0),0)</f>
        <v>510.23</v>
      </c>
      <c r="AG14" s="97">
        <f t="shared" si="3"/>
        <v>126.59</v>
      </c>
      <c r="AH14" s="107">
        <f t="shared" si="4"/>
        <v>9093.05</v>
      </c>
      <c r="AI14" s="108"/>
      <c r="AJ14" s="107">
        <f t="shared" si="5"/>
        <v>9093.05</v>
      </c>
      <c r="AK14" s="109"/>
      <c r="AL14" s="107">
        <f t="shared" si="6"/>
        <v>9219.64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7900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L15+IFERROR(VLOOKUP($E:$E,'（居民）工资表-8月'!$E:$S,15,0),0)</f>
        <v>66600</v>
      </c>
      <c r="T15" s="91">
        <f>5000+IFERROR(VLOOKUP($E:$E,'（居民）工资表-8月'!$E:$T,16,0),0)</f>
        <v>45000</v>
      </c>
      <c r="U15" s="91">
        <f>Q15+IFERROR(VLOOKUP($E:$E,'（居民）工资表-8月'!$E:$U,17,0),0)</f>
        <v>4935.84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16664.16</v>
      </c>
      <c r="AE15" s="96">
        <f>ROUND(MAX((AD15)*{0.03;0.1;0.2;0.25;0.3;0.35;0.45}-{0;2520;16920;31920;52920;85920;181920},0),2)</f>
        <v>499.92</v>
      </c>
      <c r="AF15" s="97">
        <f>IFERROR(VLOOKUP(E:E,'（居民）工资表-8月'!E:AF,28,0)+VLOOKUP(E:E,'（居民）工资表-8月'!E:AG,29,0),0)</f>
        <v>428.98</v>
      </c>
      <c r="AG15" s="97">
        <f t="shared" si="3"/>
        <v>70.94</v>
      </c>
      <c r="AH15" s="107">
        <f t="shared" si="4"/>
        <v>7293.85</v>
      </c>
      <c r="AI15" s="108"/>
      <c r="AJ15" s="107">
        <f t="shared" si="5"/>
        <v>7293.85</v>
      </c>
      <c r="AK15" s="109"/>
      <c r="AL15" s="107">
        <f t="shared" si="6"/>
        <v>7364.79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7060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L16+IFERROR(VLOOKUP($E:$E,'（居民）工资表-8月'!$E:$S,15,0),0)</f>
        <v>59401.74</v>
      </c>
      <c r="T16" s="91">
        <f>5000+IFERROR(VLOOKUP($E:$E,'（居民）工资表-8月'!$E:$T,16,0),0)</f>
        <v>45000</v>
      </c>
      <c r="U16" s="91">
        <f>Q16+IFERROR(VLOOKUP($E:$E,'（居民）工资表-8月'!$E:$U,17,0),0)</f>
        <v>4667.99</v>
      </c>
      <c r="V16" s="70"/>
      <c r="W16" s="129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R16+IFERROR(VLOOKUP($E:$E,'（居民）工资表-8月'!$E:$AC,25,0),0)</f>
        <v>0</v>
      </c>
      <c r="AD16" s="95">
        <f t="shared" si="2"/>
        <v>9733.75</v>
      </c>
      <c r="AE16" s="96">
        <f>ROUND(MAX((AD16)*{0.03;0.1;0.2;0.25;0.3;0.35;0.45}-{0;2520;16920;31920;52920;85920;181920},0),2)</f>
        <v>292.01</v>
      </c>
      <c r="AF16" s="97">
        <f>IFERROR(VLOOKUP(E:E,'（居民）工资表-8月'!E:AF,28,0)+VLOOKUP(E:E,'（居民）工资表-8月'!E:AG,29,0),0)</f>
        <v>245.43</v>
      </c>
      <c r="AG16" s="97">
        <f t="shared" si="3"/>
        <v>46.58</v>
      </c>
      <c r="AH16" s="107">
        <f t="shared" si="4"/>
        <v>6506.06</v>
      </c>
      <c r="AI16" s="108"/>
      <c r="AJ16" s="107">
        <f t="shared" si="5"/>
        <v>6506.06</v>
      </c>
      <c r="AK16" s="109"/>
      <c r="AL16" s="107">
        <f t="shared" si="6"/>
        <v>6552.64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8060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L17+IFERROR(VLOOKUP($E:$E,'（居民）工资表-8月'!$E:$S,15,0),0)</f>
        <v>28240</v>
      </c>
      <c r="T17" s="91">
        <f>5000+IFERROR(VLOOKUP($E:$E,'（居民）工资表-8月'!$E:$T,16,0),0)</f>
        <v>20000</v>
      </c>
      <c r="U17" s="91">
        <f>Q17+IFERROR(VLOOKUP($E:$E,'（居民）工资表-8月'!$E:$U,17,0),0)</f>
        <v>2356.64</v>
      </c>
      <c r="V17" s="70"/>
      <c r="W17" s="129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R17+IFERROR(VLOOKUP($E:$E,'（居民）工资表-8月'!$E:$AC,25,0),0)</f>
        <v>0</v>
      </c>
      <c r="AD17" s="95">
        <f t="shared" si="2"/>
        <v>5883.36</v>
      </c>
      <c r="AE17" s="96">
        <f>ROUND(MAX((AD17)*{0.03;0.1;0.2;0.25;0.3;0.35;0.45}-{0;2520;16920;31920;52920;85920;181920},0),2)</f>
        <v>176.5</v>
      </c>
      <c r="AF17" s="97">
        <f>IFERROR(VLOOKUP(E:E,'（居民）工资表-8月'!E:AF,28,0)+VLOOKUP(E:E,'（居民）工资表-8月'!E:AG,29,0),0)</f>
        <v>102.38</v>
      </c>
      <c r="AG17" s="97">
        <f t="shared" si="3"/>
        <v>74.12</v>
      </c>
      <c r="AH17" s="107">
        <f t="shared" si="4"/>
        <v>7396.72</v>
      </c>
      <c r="AI17" s="108"/>
      <c r="AJ17" s="107">
        <f t="shared" si="5"/>
        <v>7396.72</v>
      </c>
      <c r="AK17" s="109"/>
      <c r="AL17" s="107">
        <f t="shared" si="6"/>
        <v>7470.84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6600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L18+IFERROR(VLOOKUP($E:$E,'（居民）工资表-8月'!$E:$S,15,0),0)</f>
        <v>54600</v>
      </c>
      <c r="T18" s="91">
        <f>5000+IFERROR(VLOOKUP($E:$E,'（居民）工资表-8月'!$E:$T,16,0),0)</f>
        <v>45000</v>
      </c>
      <c r="U18" s="91">
        <f>Q18+IFERROR(VLOOKUP($E:$E,'（居民）工资表-8月'!$E:$U,17,0),0)</f>
        <v>4646.44</v>
      </c>
      <c r="V18" s="70"/>
      <c r="W18" s="129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R18+IFERROR(VLOOKUP($E:$E,'（居民）工资表-8月'!$E:$AC,25,0),0)</f>
        <v>0</v>
      </c>
      <c r="AD18" s="95">
        <f t="shared" si="2"/>
        <v>4953.56</v>
      </c>
      <c r="AE18" s="96">
        <f>ROUND(MAX((AD18)*{0.03;0.1;0.2;0.25;0.3;0.35;0.45}-{0;2520;16920;31920;52920;85920;181920},0),2)</f>
        <v>148.61</v>
      </c>
      <c r="AF18" s="97">
        <f>IFERROR(VLOOKUP(E:E,'（居民）工资表-8月'!E:AF,28,0)+VLOOKUP(E:E,'（居民）工资表-8月'!E:AG,29,0),0)</f>
        <v>115.77</v>
      </c>
      <c r="AG18" s="97">
        <f t="shared" si="3"/>
        <v>32.84</v>
      </c>
      <c r="AH18" s="107">
        <f t="shared" si="4"/>
        <v>6061.8</v>
      </c>
      <c r="AI18" s="108"/>
      <c r="AJ18" s="107">
        <f t="shared" si="5"/>
        <v>6061.8</v>
      </c>
      <c r="AK18" s="109"/>
      <c r="AL18" s="107">
        <f t="shared" si="6"/>
        <v>6094.64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 t="shared" si="8"/>
        <v>不</v>
      </c>
      <c r="AT18" s="116" t="str">
        <f t="shared" si="9"/>
        <v>重复</v>
      </c>
    </row>
    <row r="19" s="12" customFormat="1" ht="18" customHeight="1" spans="1:46">
      <c r="A19" s="36">
        <v>16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4377.04</v>
      </c>
      <c r="M19" s="71">
        <v>326.16</v>
      </c>
      <c r="N19" s="71">
        <v>88.54</v>
      </c>
      <c r="O19" s="71">
        <v>12.23</v>
      </c>
      <c r="P19" s="71">
        <v>100.5</v>
      </c>
      <c r="Q19" s="89">
        <f t="shared" si="0"/>
        <v>527.43</v>
      </c>
      <c r="R19" s="70">
        <v>0</v>
      </c>
      <c r="S19" s="90">
        <f>L19+IFERROR(VLOOKUP($E:$E,'（居民）工资表-8月'!$E:$S,15,0),0)</f>
        <v>9643.71</v>
      </c>
      <c r="T19" s="91">
        <f>5000+IFERROR(VLOOKUP($E:$E,'（居民）工资表-8月'!$E:$T,16,0),0)</f>
        <v>15000</v>
      </c>
      <c r="U19" s="91">
        <f>Q19+IFERROR(VLOOKUP($E:$E,'（居民）工资表-8月'!$E:$U,17,0),0)</f>
        <v>2102.72</v>
      </c>
      <c r="V19" s="70"/>
      <c r="W19" s="129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R19+IFERROR(VLOOKUP($E:$E,'（居民）工资表-8月'!$E:$AC,25,0),0)</f>
        <v>0</v>
      </c>
      <c r="AD19" s="95">
        <f t="shared" si="2"/>
        <v>-7459.01</v>
      </c>
      <c r="AE19" s="96">
        <f>ROUND(MAX((AD19)*{0.03;0.1;0.2;0.25;0.3;0.35;0.45}-{0;2520;16920;31920;52920;85920;181920},0),2)</f>
        <v>0</v>
      </c>
      <c r="AF19" s="97">
        <f>IFERROR(VLOOKUP(E:E,'（居民）工资表-8月'!E:AF,28,0)+VLOOKUP(E:E,'（居民）工资表-8月'!E:AG,29,0),0)</f>
        <v>0</v>
      </c>
      <c r="AG19" s="97">
        <f t="shared" si="3"/>
        <v>0</v>
      </c>
      <c r="AH19" s="107">
        <f t="shared" si="4"/>
        <v>3849.61</v>
      </c>
      <c r="AI19" s="108"/>
      <c r="AJ19" s="107">
        <f t="shared" si="5"/>
        <v>3849.61</v>
      </c>
      <c r="AK19" s="109"/>
      <c r="AL19" s="107">
        <f t="shared" si="6"/>
        <v>3849.61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 t="shared" si="8"/>
        <v>不</v>
      </c>
      <c r="AT19" s="116" t="str">
        <f t="shared" si="9"/>
        <v>重复</v>
      </c>
    </row>
    <row r="20" s="12" customFormat="1" ht="19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9" customHeight="1" spans="1:46">
      <c r="A21" s="41"/>
      <c r="B21" s="42" t="s">
        <v>192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SUM(L4:L20)</f>
        <v>145790.62</v>
      </c>
      <c r="M21" s="74">
        <f>SUM(M4:M20)</f>
        <v>5534.18</v>
      </c>
      <c r="N21" s="74">
        <f>SUM(N4:N20)</f>
        <v>1552.17</v>
      </c>
      <c r="O21" s="74">
        <f t="shared" ref="O21:AL21" si="10">SUM(O4:O20)</f>
        <v>292.16</v>
      </c>
      <c r="P21" s="74">
        <f t="shared" si="10"/>
        <v>2069.8</v>
      </c>
      <c r="Q21" s="74">
        <f t="shared" si="10"/>
        <v>9448.31</v>
      </c>
      <c r="R21" s="74">
        <f t="shared" si="10"/>
        <v>0</v>
      </c>
      <c r="S21" s="74">
        <f t="shared" si="10"/>
        <v>1129920.6</v>
      </c>
      <c r="T21" s="74">
        <f t="shared" si="10"/>
        <v>640000</v>
      </c>
      <c r="U21" s="74">
        <f t="shared" si="10"/>
        <v>79062.54</v>
      </c>
      <c r="V21" s="74">
        <f t="shared" si="10"/>
        <v>0</v>
      </c>
      <c r="W21" s="74">
        <f t="shared" si="10"/>
        <v>0</v>
      </c>
      <c r="X21" s="74">
        <f t="shared" si="10"/>
        <v>0</v>
      </c>
      <c r="Y21" s="74">
        <f t="shared" si="10"/>
        <v>0</v>
      </c>
      <c r="Z21" s="74">
        <f t="shared" si="10"/>
        <v>0</v>
      </c>
      <c r="AA21" s="74">
        <f t="shared" si="10"/>
        <v>0</v>
      </c>
      <c r="AB21" s="74">
        <f t="shared" si="10"/>
        <v>0</v>
      </c>
      <c r="AC21" s="74">
        <f t="shared" si="10"/>
        <v>0</v>
      </c>
      <c r="AD21" s="74">
        <f t="shared" si="10"/>
        <v>410858.06</v>
      </c>
      <c r="AE21" s="74">
        <f t="shared" si="10"/>
        <v>33983.24</v>
      </c>
      <c r="AF21" s="74">
        <f t="shared" si="10"/>
        <v>27482.55</v>
      </c>
      <c r="AG21" s="74">
        <f t="shared" si="10"/>
        <v>6500.69</v>
      </c>
      <c r="AH21" s="74">
        <f t="shared" si="10"/>
        <v>129841.62</v>
      </c>
      <c r="AI21" s="74">
        <f t="shared" si="10"/>
        <v>0</v>
      </c>
      <c r="AJ21" s="74">
        <f t="shared" si="10"/>
        <v>129841.62</v>
      </c>
      <c r="AK21" s="74">
        <f t="shared" si="10"/>
        <v>0</v>
      </c>
      <c r="AL21" s="74">
        <f t="shared" si="10"/>
        <v>136342.31</v>
      </c>
      <c r="AM21" s="110"/>
      <c r="AN21" s="110"/>
      <c r="AO21" s="110"/>
      <c r="AP21" s="110"/>
      <c r="AQ21" s="110"/>
      <c r="AR21" s="45"/>
      <c r="AS21" s="45"/>
      <c r="AT21" s="118"/>
    </row>
    <row r="22" ht="19" customHeight="1"/>
    <row r="23" ht="19" customHeight="1"/>
    <row r="24" ht="19" customHeight="1" spans="30:30">
      <c r="AD24" s="101"/>
    </row>
    <row r="25" ht="19" customHeight="1" spans="2:30">
      <c r="B25" s="47" t="s">
        <v>131</v>
      </c>
      <c r="C25" s="47" t="s">
        <v>193</v>
      </c>
      <c r="D25" s="47" t="s">
        <v>22</v>
      </c>
      <c r="E25" s="47" t="s">
        <v>23</v>
      </c>
      <c r="AD25" s="10"/>
    </row>
    <row r="26" ht="19" customHeight="1" spans="2:5">
      <c r="B26" s="48">
        <f>AJ21</f>
        <v>129841.62</v>
      </c>
      <c r="C26" s="48">
        <f>AG21</f>
        <v>6500.69</v>
      </c>
      <c r="D26" s="48">
        <f>AK21</f>
        <v>0</v>
      </c>
      <c r="E26" s="48">
        <f>B26+C26+D26</f>
        <v>136342.31</v>
      </c>
    </row>
    <row r="27" ht="19" customHeight="1" spans="2:5">
      <c r="B27" s="49"/>
      <c r="C27" s="49"/>
      <c r="D27" s="49"/>
      <c r="E27" s="49"/>
    </row>
    <row r="28" s="14" customFormat="1" ht="19" customHeight="1" spans="1:35">
      <c r="A28" s="51" t="s">
        <v>194</v>
      </c>
      <c r="B28" s="52" t="s">
        <v>195</v>
      </c>
      <c r="C28" s="50"/>
      <c r="D28" s="50"/>
      <c r="E28" s="50"/>
      <c r="G28" s="53"/>
      <c r="J28" s="75"/>
      <c r="M28" s="76"/>
      <c r="AI28" s="112"/>
    </row>
    <row r="29" s="14" customFormat="1" ht="19" customHeight="1" spans="1:35">
      <c r="A29" s="54"/>
      <c r="B29" s="55" t="s">
        <v>196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197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198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199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200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201</v>
      </c>
    </row>
    <row r="36" spans="2:2">
      <c r="B36" s="59" t="s">
        <v>202</v>
      </c>
    </row>
    <row r="37" spans="2:2">
      <c r="B37" s="59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G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1" si="0">ROUND(SUM(M4:P4),2)</f>
        <v>588.3</v>
      </c>
      <c r="R4" s="70">
        <v>0</v>
      </c>
      <c r="S4" s="90">
        <f>L4+IFERROR(VLOOKUP($E:$E,'（居民）工资表-9月'!$E:$S,15,0),0)</f>
        <v>80000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5953.7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46.3</v>
      </c>
      <c r="AE4" s="96">
        <f>ROUND(MAX((AD4)*{0.03;0.1;0.2;0.25;0.3;0.35;0.45}-{0;2520;16920;31920;52920;85920;181920},0),2)</f>
        <v>1.39</v>
      </c>
      <c r="AF4" s="97">
        <f>IFERROR(VLOOKUP(E:E,'（居民）工资表-9月'!E:AF,28,0)+VLOOKUP(E:E,'（居民）工资表-9月'!E:AG,29,0),0)</f>
        <v>649.04</v>
      </c>
      <c r="AG4" s="97">
        <f t="shared" ref="AG4:AG11" si="3">IF((AE4-AF4)&lt;0,0,AE4-AF4)</f>
        <v>0</v>
      </c>
      <c r="AH4" s="107">
        <f t="shared" ref="AH4:AH11" si="4">ROUND(IF((L4-Q4-AG4)&lt;0,0,(L4-Q4-AG4)),2)</f>
        <v>7411.7</v>
      </c>
      <c r="AI4" s="108"/>
      <c r="AJ4" s="107">
        <f t="shared" ref="AJ4:AJ11" si="5">AH4+AI4</f>
        <v>7411.7</v>
      </c>
      <c r="AK4" s="109"/>
      <c r="AL4" s="107">
        <f t="shared" ref="AL4:AL11" si="6">AJ4+AG4+AK4</f>
        <v>7411.7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L5+IFERROR(VLOOKUP($E:$E,'（居民）工资表-9月'!$E:$S,15,0),0)</f>
        <v>57000</v>
      </c>
      <c r="T5" s="91">
        <f>5000+IFERROR(VLOOKUP($E:$E,'（居民）工资表-9月'!$E:$T,16,0),0)</f>
        <v>50000</v>
      </c>
      <c r="U5" s="91">
        <f>Q5+IFERROR(VLOOKUP($E:$E,'（居民）工资表-9月'!$E:$U,17,0),0)</f>
        <v>6534.52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465.48</v>
      </c>
      <c r="AE5" s="96">
        <f>ROUND(MAX((AD5)*{0.03;0.1;0.2;0.25;0.3;0.35;0.45}-{0;2520;16920;31920;52920;85920;181920},0),2)</f>
        <v>13.96</v>
      </c>
      <c r="AF5" s="97">
        <f>IFERROR(VLOOKUP(E:E,'（居民）工资表-9月'!E:AF,28,0)+VLOOKUP(E:E,'（居民）工资表-9月'!E:AG,29,0),0)</f>
        <v>12.64</v>
      </c>
      <c r="AG5" s="97">
        <f t="shared" si="3"/>
        <v>1.32</v>
      </c>
      <c r="AH5" s="107">
        <f t="shared" si="4"/>
        <v>5042.88</v>
      </c>
      <c r="AI5" s="108"/>
      <c r="AJ5" s="107">
        <f t="shared" si="5"/>
        <v>5042.88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L6+IFERROR(VLOOKUP($E:$E,'（居民）工资表-9月'!$E:$S,15,0),0)</f>
        <v>305600</v>
      </c>
      <c r="T6" s="91">
        <f>5000+IFERROR(VLOOKUP($E:$E,'（居民）工资表-9月'!$E:$T,16,0),0)</f>
        <v>50000</v>
      </c>
      <c r="U6" s="91">
        <f>Q6+IFERROR(VLOOKUP($E:$E,'（居民）工资表-9月'!$E:$U,17,0),0)</f>
        <v>9403.75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246196.25</v>
      </c>
      <c r="AE6" s="96">
        <f>ROUND(MAX((AD6)*{0.03;0.1;0.2;0.25;0.3;0.35;0.45}-{0;2520;16920;31920;52920;85920;181920},0),2)</f>
        <v>32319.25</v>
      </c>
      <c r="AF6" s="97">
        <f>IFERROR(VLOOKUP(E:E,'（居民）工资表-9月'!E:AF,28,0)+VLOOKUP(E:E,'（居民）工资表-9月'!E:AG,29,0),0)</f>
        <v>27196.96</v>
      </c>
      <c r="AG6" s="97">
        <f t="shared" si="3"/>
        <v>5122.29</v>
      </c>
      <c r="AH6" s="107">
        <f t="shared" si="4"/>
        <v>25489.16</v>
      </c>
      <c r="AI6" s="108"/>
      <c r="AJ6" s="107">
        <f t="shared" si="5"/>
        <v>25489.16</v>
      </c>
      <c r="AK6" s="109"/>
      <c r="AL6" s="107">
        <f t="shared" si="6"/>
        <v>30611.45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9500</v>
      </c>
      <c r="M7" s="71">
        <v>471.12</v>
      </c>
      <c r="N7" s="71">
        <v>125.78</v>
      </c>
      <c r="O7" s="71">
        <v>29.45</v>
      </c>
      <c r="P7" s="71">
        <v>97</v>
      </c>
      <c r="Q7" s="89">
        <f t="shared" si="0"/>
        <v>723.35</v>
      </c>
      <c r="R7" s="70">
        <v>0</v>
      </c>
      <c r="S7" s="90">
        <f>L7+IFERROR(VLOOKUP($E:$E,'（居民）工资表-9月'!$E:$S,15,0),0)</f>
        <v>84700</v>
      </c>
      <c r="T7" s="91">
        <f>5000+IFERROR(VLOOKUP($E:$E,'（居民）工资表-9月'!$E:$T,16,0),0)</f>
        <v>50000</v>
      </c>
      <c r="U7" s="91">
        <f>Q7+IFERROR(VLOOKUP($E:$E,'（居民）工资表-9月'!$E:$U,17,0),0)</f>
        <v>5391.34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29308.66</v>
      </c>
      <c r="AE7" s="96">
        <f>ROUND(MAX((AD7)*{0.03;0.1;0.2;0.25;0.3;0.35;0.45}-{0;2520;16920;31920;52920;85920;181920},0),2)</f>
        <v>879.26</v>
      </c>
      <c r="AF7" s="97">
        <f>IFERROR(VLOOKUP(E:E,'（居民）工资表-9月'!E:AF,28,0)+VLOOKUP(E:E,'（居民）工资表-9月'!E:AG,29,0),0)</f>
        <v>765.96</v>
      </c>
      <c r="AG7" s="97">
        <f t="shared" si="3"/>
        <v>113.3</v>
      </c>
      <c r="AH7" s="107">
        <f t="shared" si="4"/>
        <v>8663.35</v>
      </c>
      <c r="AI7" s="108"/>
      <c r="AJ7" s="107">
        <f t="shared" si="5"/>
        <v>8663.35</v>
      </c>
      <c r="AK7" s="109"/>
      <c r="AL7" s="107">
        <f t="shared" si="6"/>
        <v>8776.65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11100</v>
      </c>
      <c r="M8" s="71">
        <v>471.12</v>
      </c>
      <c r="N8" s="71">
        <v>123.78</v>
      </c>
      <c r="O8" s="71">
        <v>29.45</v>
      </c>
      <c r="P8" s="71">
        <v>172</v>
      </c>
      <c r="Q8" s="89">
        <f t="shared" si="0"/>
        <v>796.35</v>
      </c>
      <c r="R8" s="70">
        <v>0</v>
      </c>
      <c r="S8" s="90">
        <f>L8+IFERROR(VLOOKUP($E:$E,'（居民）工资表-9月'!$E:$S,15,0),0)</f>
        <v>106300</v>
      </c>
      <c r="T8" s="91">
        <f>5000+IFERROR(VLOOKUP($E:$E,'（居民）工资表-9月'!$E:$T,16,0),0)</f>
        <v>50000</v>
      </c>
      <c r="U8" s="91">
        <f>Q8+IFERROR(VLOOKUP($E:$E,'（居民）工资表-9月'!$E:$U,17,0),0)</f>
        <v>6977.79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49322.21</v>
      </c>
      <c r="AE8" s="96">
        <f>ROUND(MAX((AD8)*{0.03;0.1;0.2;0.25;0.3;0.35;0.45}-{0;2520;16920;31920;52920;85920;181920},0),2)</f>
        <v>2412.22</v>
      </c>
      <c r="AF8" s="97">
        <f>IFERROR(VLOOKUP(E:E,'（居民）工资表-9月'!E:AF,28,0)+VLOOKUP(E:E,'（居民）工资表-9月'!E:AG,29,0),0)</f>
        <v>1881.86</v>
      </c>
      <c r="AG8" s="97">
        <f t="shared" si="3"/>
        <v>530.36</v>
      </c>
      <c r="AH8" s="107">
        <f t="shared" si="4"/>
        <v>9773.29</v>
      </c>
      <c r="AI8" s="108"/>
      <c r="AJ8" s="107">
        <f t="shared" si="5"/>
        <v>9773.29</v>
      </c>
      <c r="AK8" s="109"/>
      <c r="AL8" s="107">
        <f t="shared" si="6"/>
        <v>10303.65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97.76</v>
      </c>
      <c r="O9" s="71">
        <v>11.84</v>
      </c>
      <c r="P9" s="71">
        <v>100</v>
      </c>
      <c r="Q9" s="89">
        <f t="shared" si="0"/>
        <v>525.2</v>
      </c>
      <c r="R9" s="70">
        <v>0</v>
      </c>
      <c r="S9" s="90">
        <f>L9+IFERROR(VLOOKUP($E:$E,'（居民）工资表-9月'!$E:$S,15,0),0)</f>
        <v>65000</v>
      </c>
      <c r="T9" s="91">
        <f>5000+IFERROR(VLOOKUP($E:$E,'（居民）工资表-9月'!$E:$T,16,0),0)</f>
        <v>50000</v>
      </c>
      <c r="U9" s="91">
        <f>Q9+IFERROR(VLOOKUP($E:$E,'（居民）工资表-9月'!$E:$U,17,0),0)</f>
        <v>5239.33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9760.67</v>
      </c>
      <c r="AE9" s="96">
        <f>ROUND(MAX((AD9)*{0.03;0.1;0.2;0.25;0.3;0.35;0.45}-{0;2520;16920;31920;52920;85920;181920},0),2)</f>
        <v>292.82</v>
      </c>
      <c r="AF9" s="97">
        <f>IFERROR(VLOOKUP(E:E,'（居民）工资表-9月'!E:AF,28,0)+VLOOKUP(E:E,'（居民）工资表-9月'!E:AG,29,0),0)</f>
        <v>263.58</v>
      </c>
      <c r="AG9" s="97">
        <f t="shared" si="3"/>
        <v>29.24</v>
      </c>
      <c r="AH9" s="107">
        <f t="shared" si="4"/>
        <v>5945.56</v>
      </c>
      <c r="AI9" s="108"/>
      <c r="AJ9" s="107">
        <f t="shared" si="5"/>
        <v>5945.56</v>
      </c>
      <c r="AK9" s="109"/>
      <c r="AL9" s="107">
        <f t="shared" si="6"/>
        <v>5974.8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L10+IFERROR(VLOOKUP($E:$E,'（居民）工资表-9月'!$E:$S,15,0),0)</f>
        <v>27500</v>
      </c>
      <c r="T10" s="91">
        <f>5000+IFERROR(VLOOKUP($E:$E,'（居民）工资表-9月'!$E:$T,16,0),0)</f>
        <v>25000</v>
      </c>
      <c r="U10" s="91">
        <f>Q10+IFERROR(VLOOKUP($E:$E,'（居民）工资表-9月'!$E:$U,17,0),0)</f>
        <v>2813.4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-313.4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216</v>
      </c>
    </row>
    <row r="11" s="12" customFormat="1" ht="18" customHeight="1" spans="1:49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ref="Q11:Q19" si="10">ROUND(SUM(M11:P11),2)</f>
        <v>593</v>
      </c>
      <c r="R11" s="70">
        <v>0</v>
      </c>
      <c r="S11" s="90">
        <f>L11+IFERROR(VLOOKUP($E:$E,'（居民）工资表-9月'!$E:$S,15,0),0)</f>
        <v>45623.2</v>
      </c>
      <c r="T11" s="91">
        <f>5000+IFERROR(VLOOKUP($E:$E,'（居民）工资表-9月'!$E:$T,16,0),0)</f>
        <v>50000</v>
      </c>
      <c r="U11" s="91">
        <f>Q11+IFERROR(VLOOKUP($E:$E,'（居民）工资表-9月'!$E:$U,17,0),0)</f>
        <v>6113.3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-10490.1</v>
      </c>
      <c r="AE11" s="96">
        <f>ROUND(MAX((AD11)*{0.03;0.1;0.2;0.25;0.3;0.35;0.45}-{0;2520;16920;31920;52920;85920;181920},0),2)</f>
        <v>0</v>
      </c>
      <c r="AF11" s="97">
        <f>IFERROR(VLOOKUP(E:E,'（居民）工资表-9月'!E:AF,28,0)+VLOOKUP(E:E,'（居民）工资表-9月'!E:AG,29,0),0)</f>
        <v>0</v>
      </c>
      <c r="AG11" s="97">
        <f t="shared" ref="AG11:AG19" si="13">IF((AE11-AF11)&lt;0,0,AE11-AF11)</f>
        <v>0</v>
      </c>
      <c r="AH11" s="107">
        <f t="shared" ref="AH11:AH19" si="14">ROUND(IF((L11-Q11-AG11)&lt;0,0,(L11-Q11-AG11)),2)</f>
        <v>4005.8</v>
      </c>
      <c r="AI11" s="108"/>
      <c r="AJ11" s="107">
        <f t="shared" ref="AJ11:AJ19" si="15">AH11+AI11</f>
        <v>4005.8</v>
      </c>
      <c r="AK11" s="109"/>
      <c r="AL11" s="107">
        <f t="shared" ref="AL11:AL19" si="16">AJ11+AG11+AK11</f>
        <v>4005.8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171</v>
      </c>
      <c r="AW11" s="12" t="s">
        <v>172</v>
      </c>
    </row>
    <row r="12" s="12" customFormat="1" ht="18" customHeight="1" spans="1:49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11000</v>
      </c>
      <c r="M12" s="71">
        <v>471.12</v>
      </c>
      <c r="N12" s="71">
        <v>153.63</v>
      </c>
      <c r="O12" s="71">
        <v>29.45</v>
      </c>
      <c r="P12" s="71">
        <v>97</v>
      </c>
      <c r="Q12" s="89">
        <f t="shared" si="10"/>
        <v>751.2</v>
      </c>
      <c r="R12" s="70">
        <v>0</v>
      </c>
      <c r="S12" s="90">
        <f>L12+IFERROR(VLOOKUP($E:$E,'（居民）工资表-9月'!$E:$S,15,0),0)</f>
        <v>93100</v>
      </c>
      <c r="T12" s="91">
        <f>5000+IFERROR(VLOOKUP($E:$E,'（居民）工资表-9月'!$E:$T,16,0),0)</f>
        <v>50000</v>
      </c>
      <c r="U12" s="91">
        <f>Q12+IFERROR(VLOOKUP($E:$E,'（居民）工资表-9月'!$E:$U,17,0),0)</f>
        <v>5687.04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37412.96</v>
      </c>
      <c r="AE12" s="96">
        <f>ROUND(MAX((AD12)*{0.03;0.1;0.2;0.25;0.3;0.35;0.45}-{0;2520;16920;31920;52920;85920;181920},0),2)</f>
        <v>1221.3</v>
      </c>
      <c r="AF12" s="97">
        <f>IFERROR(VLOOKUP(E:E,'（居民）工资表-9月'!E:AF,28,0)+VLOOKUP(E:E,'（居民）工资表-9月'!E:AG,29,0),0)</f>
        <v>964.92</v>
      </c>
      <c r="AG12" s="97">
        <f t="shared" si="13"/>
        <v>256.38</v>
      </c>
      <c r="AH12" s="107">
        <f t="shared" si="14"/>
        <v>9992.42</v>
      </c>
      <c r="AI12" s="108"/>
      <c r="AJ12" s="107">
        <f t="shared" si="15"/>
        <v>9992.42</v>
      </c>
      <c r="AK12" s="109"/>
      <c r="AL12" s="107">
        <f t="shared" si="16"/>
        <v>10248.8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9200</v>
      </c>
      <c r="M13" s="71">
        <v>471.12</v>
      </c>
      <c r="N13" s="71">
        <v>123.78</v>
      </c>
      <c r="O13" s="71">
        <v>29.45</v>
      </c>
      <c r="P13" s="71">
        <v>172</v>
      </c>
      <c r="Q13" s="89">
        <f t="shared" si="10"/>
        <v>796.35</v>
      </c>
      <c r="R13" s="70">
        <v>0</v>
      </c>
      <c r="S13" s="90">
        <f>L13+IFERROR(VLOOKUP($E:$E,'（居民）工资表-9月'!$E:$S,15,0),0)</f>
        <v>76862.05</v>
      </c>
      <c r="T13" s="91">
        <f>5000+IFERROR(VLOOKUP($E:$E,'（居民）工资表-9月'!$E:$T,16,0),0)</f>
        <v>50000</v>
      </c>
      <c r="U13" s="91">
        <f>Q13+IFERROR(VLOOKUP($E:$E,'（居民）工资表-9月'!$E:$U,17,0),0)</f>
        <v>6977.79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19884.26</v>
      </c>
      <c r="AE13" s="96">
        <f>ROUND(MAX((AD13)*{0.03;0.1;0.2;0.25;0.3;0.35;0.45}-{0;2520;16920;31920;52920;85920;181920},0),2)</f>
        <v>596.53</v>
      </c>
      <c r="AF13" s="97">
        <f>IFERROR(VLOOKUP(E:E,'（居民）工资表-9月'!E:AF,28,0)+VLOOKUP(E:E,'（居民）工资表-9月'!E:AG,29,0),0)</f>
        <v>494.42</v>
      </c>
      <c r="AG13" s="97">
        <f t="shared" si="13"/>
        <v>102.11</v>
      </c>
      <c r="AH13" s="107">
        <f t="shared" si="14"/>
        <v>8301.54</v>
      </c>
      <c r="AI13" s="108"/>
      <c r="AJ13" s="107">
        <f t="shared" si="15"/>
        <v>8301.54</v>
      </c>
      <c r="AK13" s="109"/>
      <c r="AL13" s="107">
        <f t="shared" si="16"/>
        <v>8403.65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9800</v>
      </c>
      <c r="M14" s="71">
        <v>471.12</v>
      </c>
      <c r="N14" s="71">
        <v>123.78</v>
      </c>
      <c r="O14" s="71">
        <v>29.45</v>
      </c>
      <c r="P14" s="71">
        <v>172</v>
      </c>
      <c r="Q14" s="89">
        <f t="shared" si="10"/>
        <v>796.35</v>
      </c>
      <c r="R14" s="70">
        <v>0</v>
      </c>
      <c r="S14" s="90">
        <f>L14+IFERROR(VLOOKUP($E:$E,'（居民）工资表-9月'!$E:$S,15,0),0)</f>
        <v>82208.7</v>
      </c>
      <c r="T14" s="91">
        <f>5000+IFERROR(VLOOKUP($E:$E,'（居民）工资表-9月'!$E:$T,16,0),0)</f>
        <v>50000</v>
      </c>
      <c r="U14" s="91">
        <f>Q14+IFERROR(VLOOKUP($E:$E,'（居民）工资表-9月'!$E:$U,17,0),0)</f>
        <v>6977.79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25230.91</v>
      </c>
      <c r="AE14" s="96">
        <f>ROUND(MAX((AD14)*{0.03;0.1;0.2;0.25;0.3;0.35;0.45}-{0;2520;16920;31920;52920;85920;181920},0),2)</f>
        <v>756.93</v>
      </c>
      <c r="AF14" s="97">
        <f>IFERROR(VLOOKUP(E:E,'（居民）工资表-9月'!E:AF,28,0)+VLOOKUP(E:E,'（居民）工资表-9月'!E:AG,29,0),0)</f>
        <v>636.82</v>
      </c>
      <c r="AG14" s="97">
        <f t="shared" si="13"/>
        <v>120.11</v>
      </c>
      <c r="AH14" s="107">
        <f t="shared" si="14"/>
        <v>8883.54</v>
      </c>
      <c r="AI14" s="108"/>
      <c r="AJ14" s="107">
        <f t="shared" si="15"/>
        <v>8883.54</v>
      </c>
      <c r="AK14" s="109"/>
      <c r="AL14" s="107">
        <f t="shared" si="16"/>
        <v>9003.65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7900</v>
      </c>
      <c r="M15" s="71">
        <v>471.12</v>
      </c>
      <c r="N15" s="71">
        <v>153.63</v>
      </c>
      <c r="O15" s="71">
        <v>29.45</v>
      </c>
      <c r="P15" s="71">
        <v>97</v>
      </c>
      <c r="Q15" s="89">
        <f t="shared" si="10"/>
        <v>751.2</v>
      </c>
      <c r="R15" s="70">
        <v>0</v>
      </c>
      <c r="S15" s="90">
        <f>L15+IFERROR(VLOOKUP($E:$E,'（居民）工资表-9月'!$E:$S,15,0),0)</f>
        <v>74500</v>
      </c>
      <c r="T15" s="91">
        <f>5000+IFERROR(VLOOKUP($E:$E,'（居民）工资表-9月'!$E:$T,16,0),0)</f>
        <v>50000</v>
      </c>
      <c r="U15" s="91">
        <f>Q15+IFERROR(VLOOKUP($E:$E,'（居民）工资表-9月'!$E:$U,17,0),0)</f>
        <v>5687.04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18812.96</v>
      </c>
      <c r="AE15" s="96">
        <f>ROUND(MAX((AD15)*{0.03;0.1;0.2;0.25;0.3;0.35;0.45}-{0;2520;16920;31920;52920;85920;181920},0),2)</f>
        <v>564.39</v>
      </c>
      <c r="AF15" s="97">
        <f>IFERROR(VLOOKUP(E:E,'（居民）工资表-9月'!E:AF,28,0)+VLOOKUP(E:E,'（居民）工资表-9月'!E:AG,29,0),0)</f>
        <v>499.92</v>
      </c>
      <c r="AG15" s="97">
        <f t="shared" si="13"/>
        <v>64.47</v>
      </c>
      <c r="AH15" s="107">
        <f t="shared" si="14"/>
        <v>7084.33</v>
      </c>
      <c r="AI15" s="108"/>
      <c r="AJ15" s="107">
        <f t="shared" si="15"/>
        <v>7084.33</v>
      </c>
      <c r="AK15" s="109"/>
      <c r="AL15" s="107">
        <f t="shared" si="16"/>
        <v>7148.8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6860</v>
      </c>
      <c r="M16" s="71">
        <v>471.12</v>
      </c>
      <c r="N16" s="71">
        <v>125.78</v>
      </c>
      <c r="O16" s="71">
        <v>29.45</v>
      </c>
      <c r="P16" s="71">
        <v>97</v>
      </c>
      <c r="Q16" s="89">
        <f t="shared" si="10"/>
        <v>723.35</v>
      </c>
      <c r="R16" s="70">
        <v>0</v>
      </c>
      <c r="S16" s="90">
        <f>L16+IFERROR(VLOOKUP($E:$E,'（居民）工资表-9月'!$E:$S,15,0),0)</f>
        <v>66261.74</v>
      </c>
      <c r="T16" s="91">
        <f>5000+IFERROR(VLOOKUP($E:$E,'（居民）工资表-9月'!$E:$T,16,0),0)</f>
        <v>50000</v>
      </c>
      <c r="U16" s="91">
        <f>Q16+IFERROR(VLOOKUP($E:$E,'（居民）工资表-9月'!$E:$U,17,0),0)</f>
        <v>5391.34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10870.4</v>
      </c>
      <c r="AE16" s="96">
        <f>ROUND(MAX((AD16)*{0.03;0.1;0.2;0.25;0.3;0.35;0.45}-{0;2520;16920;31920;52920;85920;181920},0),2)</f>
        <v>326.11</v>
      </c>
      <c r="AF16" s="97">
        <f>IFERROR(VLOOKUP(E:E,'（居民）工资表-9月'!E:AF,28,0)+VLOOKUP(E:E,'（居民）工资表-9月'!E:AG,29,0),0)</f>
        <v>292.01</v>
      </c>
      <c r="AG16" s="97">
        <f t="shared" si="13"/>
        <v>34.1</v>
      </c>
      <c r="AH16" s="107">
        <f t="shared" si="14"/>
        <v>6102.55</v>
      </c>
      <c r="AI16" s="108"/>
      <c r="AJ16" s="107">
        <f t="shared" si="15"/>
        <v>6102.55</v>
      </c>
      <c r="AK16" s="109"/>
      <c r="AL16" s="107">
        <f t="shared" si="16"/>
        <v>6136.65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9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8060</v>
      </c>
      <c r="M17" s="71">
        <v>315.6</v>
      </c>
      <c r="N17" s="71">
        <v>97.76</v>
      </c>
      <c r="O17" s="71">
        <v>11.84</v>
      </c>
      <c r="P17" s="71">
        <v>175</v>
      </c>
      <c r="Q17" s="89">
        <f t="shared" si="10"/>
        <v>600.2</v>
      </c>
      <c r="R17" s="70">
        <v>0</v>
      </c>
      <c r="S17" s="90">
        <f>L17+IFERROR(VLOOKUP($E:$E,'（居民）工资表-9月'!$E:$S,15,0),0)</f>
        <v>36300</v>
      </c>
      <c r="T17" s="91">
        <f>5000+IFERROR(VLOOKUP($E:$E,'（居民）工资表-9月'!$E:$T,16,0),0)</f>
        <v>25000</v>
      </c>
      <c r="U17" s="91">
        <f>Q17+IFERROR(VLOOKUP($E:$E,'（居民）工资表-9月'!$E:$U,17,0),0)</f>
        <v>2956.84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R17+IFERROR(VLOOKUP($E:$E,'（居民）工资表-9月'!$E:$AC,25,0),0)</f>
        <v>0</v>
      </c>
      <c r="AD17" s="95">
        <f t="shared" si="12"/>
        <v>8343.16</v>
      </c>
      <c r="AE17" s="96">
        <f>ROUND(MAX((AD17)*{0.03;0.1;0.2;0.25;0.3;0.35;0.45}-{0;2520;16920;31920;52920;85920;181920},0),2)</f>
        <v>250.29</v>
      </c>
      <c r="AF17" s="97">
        <f>IFERROR(VLOOKUP(E:E,'（居民）工资表-9月'!E:AF,28,0)+VLOOKUP(E:E,'（居民）工资表-9月'!E:AG,29,0),0)</f>
        <v>176.5</v>
      </c>
      <c r="AG17" s="97">
        <f t="shared" si="13"/>
        <v>73.79</v>
      </c>
      <c r="AH17" s="107">
        <f t="shared" si="14"/>
        <v>7386.01</v>
      </c>
      <c r="AI17" s="108"/>
      <c r="AJ17" s="107">
        <f t="shared" si="15"/>
        <v>7386.01</v>
      </c>
      <c r="AK17" s="109"/>
      <c r="AL17" s="107">
        <f t="shared" si="16"/>
        <v>7459.8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V17" s="12" t="s">
        <v>157</v>
      </c>
      <c r="AW17" s="12" t="s">
        <v>51</v>
      </c>
    </row>
    <row r="18" s="12" customFormat="1" ht="18" customHeight="1" spans="1:49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6800</v>
      </c>
      <c r="M18" s="71">
        <v>411.28</v>
      </c>
      <c r="N18" s="71">
        <v>102.82</v>
      </c>
      <c r="O18" s="71">
        <v>25.71</v>
      </c>
      <c r="P18" s="71">
        <v>103</v>
      </c>
      <c r="Q18" s="89">
        <f t="shared" si="10"/>
        <v>642.81</v>
      </c>
      <c r="R18" s="70">
        <v>0</v>
      </c>
      <c r="S18" s="90">
        <f>L18+IFERROR(VLOOKUP($E:$E,'（居民）工资表-9月'!$E:$S,15,0),0)</f>
        <v>61400</v>
      </c>
      <c r="T18" s="91">
        <f>5000+IFERROR(VLOOKUP($E:$E,'（居民）工资表-9月'!$E:$T,16,0),0)</f>
        <v>50000</v>
      </c>
      <c r="U18" s="91">
        <f>Q18+IFERROR(VLOOKUP($E:$E,'（居民）工资表-9月'!$E:$U,17,0),0)</f>
        <v>5289.25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R18+IFERROR(VLOOKUP($E:$E,'（居民）工资表-9月'!$E:$AC,25,0),0)</f>
        <v>0</v>
      </c>
      <c r="AD18" s="95">
        <f t="shared" si="12"/>
        <v>6110.75</v>
      </c>
      <c r="AE18" s="96">
        <f>ROUND(MAX((AD18)*{0.03;0.1;0.2;0.25;0.3;0.35;0.45}-{0;2520;16920;31920;52920;85920;181920},0),2)</f>
        <v>183.32</v>
      </c>
      <c r="AF18" s="97">
        <f>IFERROR(VLOOKUP(E:E,'（居民）工资表-9月'!E:AF,28,0)+VLOOKUP(E:E,'（居民）工资表-9月'!E:AG,29,0),0)</f>
        <v>148.61</v>
      </c>
      <c r="AG18" s="97">
        <f t="shared" si="13"/>
        <v>34.71</v>
      </c>
      <c r="AH18" s="107">
        <f t="shared" si="14"/>
        <v>6122.48</v>
      </c>
      <c r="AI18" s="108"/>
      <c r="AJ18" s="107">
        <f t="shared" si="15"/>
        <v>6122.48</v>
      </c>
      <c r="AK18" s="109"/>
      <c r="AL18" s="107">
        <f t="shared" si="16"/>
        <v>6157.19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V18" s="12" t="s">
        <v>157</v>
      </c>
      <c r="AW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4739.43</v>
      </c>
      <c r="M19" s="71">
        <v>373.2</v>
      </c>
      <c r="N19" s="71">
        <v>94.42</v>
      </c>
      <c r="O19" s="71">
        <v>13.99</v>
      </c>
      <c r="P19" s="71">
        <v>100.5</v>
      </c>
      <c r="Q19" s="89">
        <f t="shared" si="10"/>
        <v>582.11</v>
      </c>
      <c r="R19" s="70">
        <v>0</v>
      </c>
      <c r="S19" s="90">
        <f>L19+IFERROR(VLOOKUP($E:$E,'（居民）工资表-9月'!$E:$S,15,0),0)</f>
        <v>14383.14</v>
      </c>
      <c r="T19" s="91">
        <f>5000+IFERROR(VLOOKUP($E:$E,'（居民）工资表-9月'!$E:$T,16,0),0)</f>
        <v>20000</v>
      </c>
      <c r="U19" s="91">
        <f>Q19+IFERROR(VLOOKUP($E:$E,'（居民）工资表-9月'!$E:$U,17,0),0)</f>
        <v>2684.83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R19+IFERROR(VLOOKUP($E:$E,'（居民）工资表-9月'!$E:$AC,25,0),0)</f>
        <v>0</v>
      </c>
      <c r="AD19" s="95">
        <f t="shared" si="12"/>
        <v>-8301.69</v>
      </c>
      <c r="AE19" s="96">
        <f>ROUND(MAX((AD19)*{0.03;0.1;0.2;0.25;0.3;0.35;0.45}-{0;2520;16920;31920;52920;85920;181920},0),2)</f>
        <v>0</v>
      </c>
      <c r="AF19" s="97">
        <f>IFERROR(VLOOKUP(E:E,'（居民）工资表-9月'!E:AF,28,0)+VLOOKUP(E:E,'（居民）工资表-9月'!E:AG,29,0),0)</f>
        <v>0</v>
      </c>
      <c r="AG19" s="97">
        <f t="shared" si="13"/>
        <v>0</v>
      </c>
      <c r="AH19" s="107">
        <f t="shared" si="14"/>
        <v>4157.32</v>
      </c>
      <c r="AI19" s="108"/>
      <c r="AJ19" s="107">
        <f t="shared" si="15"/>
        <v>4157.32</v>
      </c>
      <c r="AK19" s="109"/>
      <c r="AL19" s="107">
        <f t="shared" si="16"/>
        <v>4157.32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V19" s="12" t="s">
        <v>190</v>
      </c>
    </row>
    <row r="20" s="12" customFormat="1" ht="18" customHeight="1" spans="1:46">
      <c r="A20" s="36"/>
      <c r="B20" s="37"/>
      <c r="C20" s="128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192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SUM(L4:L20)</f>
        <v>146818.23</v>
      </c>
      <c r="M21" s="74">
        <f>SUM(M4:M20)</f>
        <v>6721.94</v>
      </c>
      <c r="N21" s="74">
        <f>SUM(N4:N20)</f>
        <v>1859.82</v>
      </c>
      <c r="O21" s="74">
        <f>SUM(O4:O20)</f>
        <v>365.25</v>
      </c>
      <c r="P21" s="74">
        <f>SUM(P4:P20)</f>
        <v>2069.5</v>
      </c>
      <c r="Q21" s="74">
        <f t="shared" ref="Q21:AL21" si="20">SUM(Q4:Q20)</f>
        <v>11016.51</v>
      </c>
      <c r="R21" s="74">
        <f t="shared" si="20"/>
        <v>0</v>
      </c>
      <c r="S21" s="74">
        <f t="shared" si="20"/>
        <v>1276738.83</v>
      </c>
      <c r="T21" s="74">
        <f t="shared" si="20"/>
        <v>720000</v>
      </c>
      <c r="U21" s="74">
        <f t="shared" si="20"/>
        <v>90079.05</v>
      </c>
      <c r="V21" s="74">
        <f t="shared" si="20"/>
        <v>10000</v>
      </c>
      <c r="W21" s="74">
        <f t="shared" si="20"/>
        <v>0</v>
      </c>
      <c r="X21" s="74">
        <f t="shared" si="20"/>
        <v>10000</v>
      </c>
      <c r="Y21" s="74">
        <f t="shared" si="20"/>
        <v>0</v>
      </c>
      <c r="Z21" s="74">
        <f t="shared" si="20"/>
        <v>4000</v>
      </c>
      <c r="AA21" s="74">
        <f t="shared" si="20"/>
        <v>0</v>
      </c>
      <c r="AB21" s="74">
        <f t="shared" si="20"/>
        <v>24000</v>
      </c>
      <c r="AC21" s="74">
        <f t="shared" si="20"/>
        <v>0</v>
      </c>
      <c r="AD21" s="74">
        <f t="shared" si="20"/>
        <v>442659.78</v>
      </c>
      <c r="AE21" s="74">
        <f t="shared" si="20"/>
        <v>39817.77</v>
      </c>
      <c r="AF21" s="74">
        <f t="shared" si="20"/>
        <v>33983.24</v>
      </c>
      <c r="AG21" s="74">
        <f t="shared" si="20"/>
        <v>6482.18</v>
      </c>
      <c r="AH21" s="74">
        <f t="shared" si="20"/>
        <v>129319.54</v>
      </c>
      <c r="AI21" s="74">
        <f t="shared" si="20"/>
        <v>0</v>
      </c>
      <c r="AJ21" s="74">
        <f t="shared" si="20"/>
        <v>129319.54</v>
      </c>
      <c r="AK21" s="74">
        <f t="shared" si="20"/>
        <v>0</v>
      </c>
      <c r="AL21" s="74">
        <f t="shared" si="20"/>
        <v>135801.72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193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129319.54</v>
      </c>
      <c r="C26" s="48">
        <f>AG21</f>
        <v>6482.18</v>
      </c>
      <c r="D26" s="48">
        <f>AK21</f>
        <v>0</v>
      </c>
      <c r="E26" s="48">
        <f>B26+C26+D26</f>
        <v>135801.72</v>
      </c>
    </row>
    <row r="27" spans="2:5">
      <c r="B27" s="49"/>
      <c r="C27" s="49"/>
      <c r="D27" s="49"/>
      <c r="E27" s="49"/>
    </row>
    <row r="28" s="14" customFormat="1" spans="1:35">
      <c r="A28" s="51" t="s">
        <v>194</v>
      </c>
      <c r="B28" s="52" t="s">
        <v>195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196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197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198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199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200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201</v>
      </c>
    </row>
    <row r="36" spans="2:2">
      <c r="B36" s="59" t="s">
        <v>202</v>
      </c>
    </row>
    <row r="37" spans="2:2">
      <c r="B37" s="59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20">
    <cfRule type="duplicateValues" dxfId="4" priority="1"/>
  </conditionalFormatting>
  <conditionalFormatting sqref="B33">
    <cfRule type="duplicateValues" dxfId="4" priority="3" stopIfTrue="1"/>
  </conditionalFormatting>
  <conditionalFormatting sqref="B28:B32">
    <cfRule type="duplicateValues" dxfId="4" priority="4" stopIfTrue="1"/>
  </conditionalFormatting>
  <conditionalFormatting sqref="B36:B37">
    <cfRule type="duplicateValues" dxfId="4" priority="2" stopIfTrue="1"/>
  </conditionalFormatting>
  <conditionalFormatting sqref="C25:C27">
    <cfRule type="duplicateValues" dxfId="4" priority="5" stopIfTrue="1"/>
    <cfRule type="expression" dxfId="5" priority="6" stopIfTrue="1">
      <formula>AND(COUNTIF($B$21:$B$65457,C25)+COUNTIF($B$1:$B$3,C25)&gt;1,NOT(ISBLANK(C25)))</formula>
    </cfRule>
    <cfRule type="expression" dxfId="5" priority="7" stopIfTrue="1">
      <formula>AND(COUNTIF($B$32:$B$65408,C25)+COUNTIF($B$1:$B$31,C25)&gt;1,NOT(ISBLANK(C25)))</formula>
    </cfRule>
    <cfRule type="expression" dxfId="5" priority="8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204</v>
      </c>
      <c r="AN2" s="29" t="s">
        <v>205</v>
      </c>
      <c r="AO2" s="114" t="s">
        <v>206</v>
      </c>
      <c r="AP2" s="29" t="s">
        <v>207</v>
      </c>
      <c r="AQ2" s="29" t="s">
        <v>208</v>
      </c>
      <c r="AR2" s="30" t="s">
        <v>209</v>
      </c>
      <c r="AS2" s="30" t="s">
        <v>210</v>
      </c>
      <c r="AT2" s="30" t="s">
        <v>211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2" si="0">ROUND(SUM(M4:P4),2)</f>
        <v>588.3</v>
      </c>
      <c r="R4" s="70">
        <v>0</v>
      </c>
      <c r="S4" s="90">
        <f>L4+IFERROR(VLOOKUP($E:$E,'（居民）工资表-10月'!$E:$S,15,0),0)</f>
        <v>88000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6542</v>
      </c>
      <c r="V4" s="70"/>
      <c r="W4" s="70"/>
      <c r="X4" s="70"/>
      <c r="Y4" s="70"/>
      <c r="Z4" s="70"/>
      <c r="AA4" s="70"/>
      <c r="AB4" s="90">
        <f t="shared" ref="AB4:AB12" si="1">ROUND(SUM(V4:AA4),2)</f>
        <v>0</v>
      </c>
      <c r="AC4" s="90">
        <f>R4+IFERROR(VLOOKUP($E:$E,'（居民）工资表-10月'!$E:$AC,25,0),0)</f>
        <v>0</v>
      </c>
      <c r="AD4" s="95">
        <f t="shared" ref="AD4:AD12" si="2">ROUND(S4-T4-U4-AB4-AC4,2)</f>
        <v>26458</v>
      </c>
      <c r="AE4" s="96">
        <f>ROUND(MAX((AD4)*{0.03;0.1;0.2;0.25;0.3;0.35;0.45}-{0;2520;16920;31920;52920;85920;181920},0),2)</f>
        <v>793.74</v>
      </c>
      <c r="AF4" s="97">
        <f>IFERROR(VLOOKUP(E:E,'（居民）工资表-10月'!E:AF,28,0)+VLOOKUP(E:E,'（居民）工资表-10月'!E:AG,29,0),0)</f>
        <v>649.04</v>
      </c>
      <c r="AG4" s="97">
        <f>IF((AE4-AF4)&lt;0,0,AE4-AF4)</f>
        <v>144.7</v>
      </c>
      <c r="AH4" s="107">
        <f t="shared" ref="AH4:AH12" si="3">ROUND(IF((L4-Q4-AG4)&lt;0,0,(L4-Q4-AG4)),2)</f>
        <v>7267</v>
      </c>
      <c r="AI4" s="108"/>
      <c r="AJ4" s="107">
        <f t="shared" ref="AJ4:AJ12" si="4">AH4+AI4</f>
        <v>7267</v>
      </c>
      <c r="AK4" s="109"/>
      <c r="AL4" s="107">
        <f t="shared" ref="AL4:AL12" si="5">AJ4+AG4+AK4</f>
        <v>7411.7</v>
      </c>
      <c r="AM4" s="109"/>
      <c r="AN4" s="109"/>
      <c r="AO4" s="109"/>
      <c r="AP4" s="109"/>
      <c r="AQ4" s="109"/>
      <c r="AR4" s="116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L5+IFERROR(VLOOKUP($E:$E,'（居民）工资表-10月'!$E:$S,15,0),0)</f>
        <v>62700</v>
      </c>
      <c r="T5" s="91">
        <f>5000+IFERROR(VLOOKUP($E:$E,'（居民）工资表-10月'!$E:$T,16,0),0)</f>
        <v>55000</v>
      </c>
      <c r="U5" s="91">
        <f>Q5+IFERROR(VLOOKUP($E:$E,'（居民）工资表-10月'!$E:$U,17,0),0)</f>
        <v>7190.32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509.68</v>
      </c>
      <c r="AE5" s="96">
        <f>ROUND(MAX((AD5)*{0.03;0.1;0.2;0.25;0.3;0.35;0.45}-{0;2520;16920;31920;52920;85920;181920},0),2)</f>
        <v>15.29</v>
      </c>
      <c r="AF5" s="97">
        <f>IFERROR(VLOOKUP(E:E,'（居民）工资表-10月'!E:AF,28,0)+VLOOKUP(E:E,'（居民）工资表-10月'!E:AG,29,0),0)</f>
        <v>13.96</v>
      </c>
      <c r="AG5" s="97">
        <f t="shared" ref="AG5:AG12" si="9">IF((AE5-AF5)&lt;0,0,AE5-AF5)</f>
        <v>1.33</v>
      </c>
      <c r="AH5" s="107">
        <f t="shared" si="3"/>
        <v>5042.87</v>
      </c>
      <c r="AI5" s="108"/>
      <c r="AJ5" s="107">
        <f t="shared" si="4"/>
        <v>5042.87</v>
      </c>
      <c r="AK5" s="109"/>
      <c r="AL5" s="107">
        <f t="shared" si="5"/>
        <v>5044.2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L6+IFERROR(VLOOKUP($E:$E,'（居民）工资表-10月'!$E:$S,15,0),0)</f>
        <v>336160</v>
      </c>
      <c r="T6" s="91">
        <f>5000+IFERROR(VLOOKUP($E:$E,'（居民）工资表-10月'!$E:$T,16,0),0)</f>
        <v>55000</v>
      </c>
      <c r="U6" s="91">
        <f>Q6+IFERROR(VLOOKUP($E:$E,'（居民）工资表-10月'!$E:$U,17,0),0)</f>
        <v>10352.3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270807.7</v>
      </c>
      <c r="AE6" s="96">
        <f>ROUND(MAX((AD6)*{0.03;0.1;0.2;0.25;0.3;0.35;0.45}-{0;2520;16920;31920;52920;85920;181920},0),2)</f>
        <v>37241.54</v>
      </c>
      <c r="AF6" s="97">
        <f>IFERROR(VLOOKUP(E:E,'（居民）工资表-10月'!E:AF,28,0)+VLOOKUP(E:E,'（居民）工资表-10月'!E:AG,29,0),0)</f>
        <v>32319.25</v>
      </c>
      <c r="AG6" s="97">
        <f t="shared" si="9"/>
        <v>4922.29</v>
      </c>
      <c r="AH6" s="107">
        <f t="shared" si="3"/>
        <v>24689.16</v>
      </c>
      <c r="AI6" s="108"/>
      <c r="AJ6" s="107">
        <f t="shared" si="4"/>
        <v>24689.16</v>
      </c>
      <c r="AK6" s="109"/>
      <c r="AL6" s="107">
        <f t="shared" si="5"/>
        <v>29611.45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90.51</v>
      </c>
      <c r="O7" s="71">
        <v>20.1</v>
      </c>
      <c r="P7" s="71">
        <v>97</v>
      </c>
      <c r="Q7" s="89">
        <f t="shared" si="0"/>
        <v>529.13</v>
      </c>
      <c r="R7" s="70">
        <v>0</v>
      </c>
      <c r="S7" s="90">
        <f>L7+IFERROR(VLOOKUP($E:$E,'（居民）工资表-10月'!$E:$S,15,0),0)</f>
        <v>92700</v>
      </c>
      <c r="T7" s="91">
        <f>5000+IFERROR(VLOOKUP($E:$E,'（居民）工资表-10月'!$E:$T,16,0),0)</f>
        <v>55000</v>
      </c>
      <c r="U7" s="91">
        <f>Q7+IFERROR(VLOOKUP($E:$E,'（居民）工资表-10月'!$E:$U,17,0),0)</f>
        <v>5920.47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31779.53</v>
      </c>
      <c r="AE7" s="96">
        <f>ROUND(MAX((AD7)*{0.03;0.1;0.2;0.25;0.3;0.35;0.45}-{0;2520;16920;31920;52920;85920;181920},0),2)</f>
        <v>953.39</v>
      </c>
      <c r="AF7" s="97">
        <f>IFERROR(VLOOKUP(E:E,'（居民）工资表-10月'!E:AF,28,0)+VLOOKUP(E:E,'（居民）工资表-10月'!E:AG,29,0),0)</f>
        <v>879.26</v>
      </c>
      <c r="AG7" s="97">
        <f t="shared" si="9"/>
        <v>74.13</v>
      </c>
      <c r="AH7" s="107">
        <f t="shared" si="3"/>
        <v>7396.74</v>
      </c>
      <c r="AI7" s="108"/>
      <c r="AJ7" s="107">
        <f t="shared" si="4"/>
        <v>7396.74</v>
      </c>
      <c r="AK7" s="109"/>
      <c r="AL7" s="107">
        <f t="shared" si="5"/>
        <v>7470.87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688</v>
      </c>
      <c r="Q8" s="89">
        <f t="shared" si="0"/>
        <v>1116</v>
      </c>
      <c r="R8" s="70">
        <v>0</v>
      </c>
      <c r="S8" s="90">
        <f>L8+IFERROR(VLOOKUP($E:$E,'（居民）工资表-10月'!$E:$S,15,0),0)</f>
        <v>116800</v>
      </c>
      <c r="T8" s="91">
        <f>5000+IFERROR(VLOOKUP($E:$E,'（居民）工资表-10月'!$E:$T,16,0),0)</f>
        <v>55000</v>
      </c>
      <c r="U8" s="91">
        <f>Q8+IFERROR(VLOOKUP($E:$E,'（居民）工资表-10月'!$E:$U,17,0),0)</f>
        <v>8093.79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53706.21</v>
      </c>
      <c r="AE8" s="96">
        <f>ROUND(MAX((AD8)*{0.03;0.1;0.2;0.25;0.3;0.35;0.45}-{0;2520;16920;31920;52920;85920;181920},0),2)</f>
        <v>2850.62</v>
      </c>
      <c r="AF8" s="97">
        <f>IFERROR(VLOOKUP(E:E,'（居民）工资表-10月'!E:AF,28,0)+VLOOKUP(E:E,'（居民）工资表-10月'!E:AG,29,0),0)</f>
        <v>2412.22</v>
      </c>
      <c r="AG8" s="97">
        <f t="shared" si="9"/>
        <v>438.4</v>
      </c>
      <c r="AH8" s="107">
        <f t="shared" si="3"/>
        <v>8945.6</v>
      </c>
      <c r="AI8" s="108"/>
      <c r="AJ8" s="107">
        <f t="shared" si="4"/>
        <v>8945.6</v>
      </c>
      <c r="AK8" s="109"/>
      <c r="AL8" s="107">
        <f t="shared" si="5"/>
        <v>9384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147.6</v>
      </c>
      <c r="N9" s="71">
        <v>90.4</v>
      </c>
      <c r="O9" s="71">
        <v>5.53</v>
      </c>
      <c r="P9" s="71">
        <v>100</v>
      </c>
      <c r="Q9" s="89">
        <f t="shared" si="0"/>
        <v>343.53</v>
      </c>
      <c r="R9" s="70">
        <v>0</v>
      </c>
      <c r="S9" s="90">
        <f>L9+IFERROR(VLOOKUP($E:$E,'（居民）工资表-10月'!$E:$S,15,0),0)</f>
        <v>71500</v>
      </c>
      <c r="T9" s="91">
        <f>5000+IFERROR(VLOOKUP($E:$E,'（居民）工资表-10月'!$E:$T,16,0),0)</f>
        <v>55000</v>
      </c>
      <c r="U9" s="91">
        <f>Q9+IFERROR(VLOOKUP($E:$E,'（居民）工资表-10月'!$E:$U,17,0),0)</f>
        <v>5582.86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10917.14</v>
      </c>
      <c r="AE9" s="96">
        <f>ROUND(MAX((AD9)*{0.03;0.1;0.2;0.25;0.3;0.35;0.45}-{0;2520;16920;31920;52920;85920;181920},0),2)</f>
        <v>327.51</v>
      </c>
      <c r="AF9" s="97">
        <f>IFERROR(VLOOKUP(E:E,'（居民）工资表-10月'!E:AF,28,0)+VLOOKUP(E:E,'（居民）工资表-10月'!E:AG,29,0),0)</f>
        <v>292.82</v>
      </c>
      <c r="AG9" s="97">
        <f t="shared" si="9"/>
        <v>34.69</v>
      </c>
      <c r="AH9" s="107">
        <f t="shared" si="3"/>
        <v>6121.78</v>
      </c>
      <c r="AI9" s="108"/>
      <c r="AJ9" s="107">
        <f t="shared" si="4"/>
        <v>6121.78</v>
      </c>
      <c r="AK9" s="109"/>
      <c r="AL9" s="107">
        <f t="shared" si="5"/>
        <v>6156.47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144</v>
      </c>
      <c r="G10" s="39" t="s">
        <v>165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L10+IFERROR(VLOOKUP($E:$E,'（居民）工资表-10月'!$E:$S,15,0),0)</f>
        <v>33000</v>
      </c>
      <c r="T10" s="91">
        <f>5000+IFERROR(VLOOKUP($E:$E,'（居民）工资表-10月'!$E:$T,16,0),0)</f>
        <v>30000</v>
      </c>
      <c r="U10" s="91">
        <f>Q10+IFERROR(VLOOKUP($E:$E,'（居民）工资表-10月'!$E:$U,17,0),0)</f>
        <v>3355.79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-355.79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4957.61</v>
      </c>
      <c r="AI10" s="108"/>
      <c r="AJ10" s="107">
        <f t="shared" si="4"/>
        <v>4957.61</v>
      </c>
      <c r="AK10" s="109"/>
      <c r="AL10" s="107">
        <f t="shared" si="5"/>
        <v>4957.61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148</v>
      </c>
      <c r="G11" s="39" t="s">
        <v>170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L11+IFERROR(VLOOKUP($E:$E,'（居民）工资表-10月'!$E:$S,15,0),0)</f>
        <v>50222</v>
      </c>
      <c r="T11" s="91">
        <f>5000+IFERROR(VLOOKUP($E:$E,'（居民）工资表-10月'!$E:$T,16,0),0)</f>
        <v>55000</v>
      </c>
      <c r="U11" s="91">
        <f>Q11+IFERROR(VLOOKUP($E:$E,'（居民）工资表-10月'!$E:$U,17,0),0)</f>
        <v>6706.3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-11484.3</v>
      </c>
      <c r="AE11" s="96">
        <f>ROUND(MAX((AD11)*{0.03;0.1;0.2;0.25;0.3;0.35;0.45}-{0;2520;16920;31920;52920;85920;181920},0),2)</f>
        <v>0</v>
      </c>
      <c r="AF11" s="97">
        <f>IFERROR(VLOOKUP(E:E,'（居民）工资表-10月'!E:AF,28,0)+VLOOKUP(E:E,'（居民）工资表-10月'!E:AG,29,0),0)</f>
        <v>0</v>
      </c>
      <c r="AG11" s="97">
        <f t="shared" si="9"/>
        <v>0</v>
      </c>
      <c r="AH11" s="107">
        <f t="shared" si="3"/>
        <v>4005.8</v>
      </c>
      <c r="AI11" s="108"/>
      <c r="AJ11" s="107">
        <f t="shared" si="4"/>
        <v>4005.8</v>
      </c>
      <c r="AK11" s="109"/>
      <c r="AL11" s="107">
        <f t="shared" si="5"/>
        <v>4005.8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173</v>
      </c>
      <c r="D12" s="37" t="s">
        <v>143</v>
      </c>
      <c r="E12" s="326" t="s">
        <v>174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128.68</v>
      </c>
      <c r="O12" s="71">
        <v>20.1</v>
      </c>
      <c r="P12" s="71">
        <v>97</v>
      </c>
      <c r="Q12" s="89">
        <f t="shared" ref="Q12:Q20" si="10">ROUND(SUM(M12:P12),2)</f>
        <v>567.3</v>
      </c>
      <c r="R12" s="70">
        <v>0</v>
      </c>
      <c r="S12" s="90">
        <f>L12+IFERROR(VLOOKUP($E:$E,'（居民）工资表-10月'!$E:$S,15,0),0)</f>
        <v>101600</v>
      </c>
      <c r="T12" s="91">
        <f>5000+IFERROR(VLOOKUP($E:$E,'（居民）工资表-10月'!$E:$T,16,0),0)</f>
        <v>55000</v>
      </c>
      <c r="U12" s="91">
        <f>Q12+IFERROR(VLOOKUP($E:$E,'（居民）工资表-10月'!$E:$U,17,0),0)</f>
        <v>6254.34</v>
      </c>
      <c r="V12" s="70"/>
      <c r="W12" s="70"/>
      <c r="X12" s="70"/>
      <c r="Y12" s="70"/>
      <c r="Z12" s="70"/>
      <c r="AA12" s="70"/>
      <c r="AB12" s="90">
        <f t="shared" ref="AB12:AB20" si="11">ROUND(SUM(V12:AA12),2)</f>
        <v>0</v>
      </c>
      <c r="AC12" s="90">
        <f>R12+IFERROR(VLOOKUP($E:$E,'（居民）工资表-10月'!$E:$AC,25,0),0)</f>
        <v>0</v>
      </c>
      <c r="AD12" s="95">
        <f t="shared" ref="AD12:AD20" si="12">ROUND(S12-T12-U12-AB12-AC12,2)</f>
        <v>40345.66</v>
      </c>
      <c r="AE12" s="96">
        <f>ROUND(MAX((AD12)*{0.03;0.1;0.2;0.25;0.3;0.35;0.45}-{0;2520;16920;31920;52920;85920;181920},0),2)</f>
        <v>1514.57</v>
      </c>
      <c r="AF12" s="97">
        <f>IFERROR(VLOOKUP(E:E,'（居民）工资表-10月'!E:AF,28,0)+VLOOKUP(E:E,'（居民）工资表-10月'!E:AG,29,0),0)</f>
        <v>1221.3</v>
      </c>
      <c r="AG12" s="97">
        <f t="shared" ref="AG12:AG20" si="13">IF((AE12-AF12)&lt;0,0,AE12-AF12)</f>
        <v>293.27</v>
      </c>
      <c r="AH12" s="107">
        <f t="shared" ref="AH12:AH20" si="14">ROUND(IF((L12-Q12-AG12)&lt;0,0,(L12-Q12-AG12)),2)</f>
        <v>7639.43</v>
      </c>
      <c r="AI12" s="108"/>
      <c r="AJ12" s="107">
        <f t="shared" ref="AJ12:AJ20" si="15">AH12+AI12</f>
        <v>7639.43</v>
      </c>
      <c r="AK12" s="109"/>
      <c r="AL12" s="107">
        <f t="shared" ref="AL12:AL20" si="16">AJ12+AG12+AK12</f>
        <v>7932.7</v>
      </c>
      <c r="AM12" s="109"/>
      <c r="AN12" s="109"/>
      <c r="AO12" s="109"/>
      <c r="AP12" s="109"/>
      <c r="AQ12" s="109"/>
      <c r="AR12" s="116" t="str">
        <f t="shared" ref="AR12:AR20" si="17"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AS12" s="116" t="str">
        <f t="shared" ref="AS12:AS20" si="18">IF(SUMPRODUCT(N(E$1:E$6=E12))&gt;1,"重复","不")</f>
        <v>不</v>
      </c>
      <c r="AT12" s="116" t="str">
        <f t="shared" ref="AT12:AT20" si="19"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175</v>
      </c>
      <c r="D13" s="37" t="s">
        <v>143</v>
      </c>
      <c r="E13" s="326" t="s">
        <v>176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688</v>
      </c>
      <c r="Q13" s="89">
        <f t="shared" si="10"/>
        <v>1116</v>
      </c>
      <c r="R13" s="70">
        <v>0</v>
      </c>
      <c r="S13" s="90">
        <f>L13+IFERROR(VLOOKUP($E:$E,'（居民）工资表-10月'!$E:$S,15,0),0)</f>
        <v>83862.05</v>
      </c>
      <c r="T13" s="91">
        <f>5000+IFERROR(VLOOKUP($E:$E,'（居民）工资表-10月'!$E:$T,16,0),0)</f>
        <v>55000</v>
      </c>
      <c r="U13" s="91">
        <f>Q13+IFERROR(VLOOKUP($E:$E,'（居民）工资表-10月'!$E:$U,17,0),0)</f>
        <v>8093.79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R13+IFERROR(VLOOKUP($E:$E,'（居民）工资表-10月'!$E:$AC,25,0),0)</f>
        <v>0</v>
      </c>
      <c r="AD13" s="95">
        <f t="shared" si="12"/>
        <v>20768.26</v>
      </c>
      <c r="AE13" s="96">
        <f>ROUND(MAX((AD13)*{0.03;0.1;0.2;0.25;0.3;0.35;0.45}-{0;2520;16920;31920;52920;85920;181920},0),2)</f>
        <v>623.05</v>
      </c>
      <c r="AF13" s="97">
        <f>IFERROR(VLOOKUP(E:E,'（居民）工资表-10月'!E:AF,28,0)+VLOOKUP(E:E,'（居民）工资表-10月'!E:AG,29,0),0)</f>
        <v>596.53</v>
      </c>
      <c r="AG13" s="97">
        <f t="shared" si="13"/>
        <v>26.52</v>
      </c>
      <c r="AH13" s="107">
        <f t="shared" si="14"/>
        <v>5857.48</v>
      </c>
      <c r="AI13" s="108"/>
      <c r="AJ13" s="107">
        <f t="shared" si="15"/>
        <v>5857.48</v>
      </c>
      <c r="AK13" s="109"/>
      <c r="AL13" s="107">
        <f t="shared" si="16"/>
        <v>5884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177</v>
      </c>
      <c r="D14" s="37" t="s">
        <v>143</v>
      </c>
      <c r="E14" s="326" t="s">
        <v>178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688</v>
      </c>
      <c r="Q14" s="89">
        <f t="shared" si="10"/>
        <v>1116</v>
      </c>
      <c r="R14" s="70">
        <v>0</v>
      </c>
      <c r="S14" s="90">
        <f>L14+IFERROR(VLOOKUP($E:$E,'（居民）工资表-10月'!$E:$S,15,0),0)</f>
        <v>89208.7</v>
      </c>
      <c r="T14" s="91">
        <f>5000+IFERROR(VLOOKUP($E:$E,'（居民）工资表-10月'!$E:$T,16,0),0)</f>
        <v>55000</v>
      </c>
      <c r="U14" s="91">
        <f>Q14+IFERROR(VLOOKUP($E:$E,'（居民）工资表-10月'!$E:$U,17,0),0)</f>
        <v>8093.79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R14+IFERROR(VLOOKUP($E:$E,'（居民）工资表-10月'!$E:$AC,25,0),0)</f>
        <v>0</v>
      </c>
      <c r="AD14" s="95">
        <f t="shared" si="12"/>
        <v>26114.91</v>
      </c>
      <c r="AE14" s="96">
        <f>ROUND(MAX((AD14)*{0.03;0.1;0.2;0.25;0.3;0.35;0.45}-{0;2520;16920;31920;52920;85920;181920},0),2)</f>
        <v>783.45</v>
      </c>
      <c r="AF14" s="97">
        <f>IFERROR(VLOOKUP(E:E,'（居民）工资表-10月'!E:AF,28,0)+VLOOKUP(E:E,'（居民）工资表-10月'!E:AG,29,0),0)</f>
        <v>756.93</v>
      </c>
      <c r="AG14" s="97">
        <f t="shared" si="13"/>
        <v>26.5200000000001</v>
      </c>
      <c r="AH14" s="107">
        <f t="shared" si="14"/>
        <v>5857.48</v>
      </c>
      <c r="AI14" s="108"/>
      <c r="AJ14" s="107">
        <f t="shared" si="15"/>
        <v>5857.48</v>
      </c>
      <c r="AK14" s="109"/>
      <c r="AL14" s="107">
        <f t="shared" si="16"/>
        <v>5884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 t="s">
        <v>181</v>
      </c>
      <c r="H15" s="40"/>
      <c r="I15" s="40"/>
      <c r="J15" s="69"/>
      <c r="K15" s="40"/>
      <c r="L15" s="70">
        <v>7000</v>
      </c>
      <c r="M15" s="71">
        <v>321.52</v>
      </c>
      <c r="N15" s="71">
        <v>128.68</v>
      </c>
      <c r="O15" s="71">
        <v>20.1</v>
      </c>
      <c r="P15" s="71">
        <v>97</v>
      </c>
      <c r="Q15" s="89">
        <f t="shared" si="10"/>
        <v>567.3</v>
      </c>
      <c r="R15" s="70">
        <v>0</v>
      </c>
      <c r="S15" s="90">
        <f>L15+IFERROR(VLOOKUP($E:$E,'（居民）工资表-10月'!$E:$S,15,0),0)</f>
        <v>81500</v>
      </c>
      <c r="T15" s="91">
        <f>5000+IFERROR(VLOOKUP($E:$E,'（居民）工资表-10月'!$E:$T,16,0),0)</f>
        <v>55000</v>
      </c>
      <c r="U15" s="91">
        <f>Q15+IFERROR(VLOOKUP($E:$E,'（居民）工资表-10月'!$E:$U,17,0),0)</f>
        <v>6254.34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R15+IFERROR(VLOOKUP($E:$E,'（居民）工资表-10月'!$E:$AC,25,0),0)</f>
        <v>0</v>
      </c>
      <c r="AD15" s="95">
        <f t="shared" si="12"/>
        <v>20245.66</v>
      </c>
      <c r="AE15" s="96">
        <f>ROUND(MAX((AD15)*{0.03;0.1;0.2;0.25;0.3;0.35;0.45}-{0;2520;16920;31920;52920;85920;181920},0),2)</f>
        <v>607.37</v>
      </c>
      <c r="AF15" s="97">
        <f>IFERROR(VLOOKUP(E:E,'（居民）工资表-10月'!E:AF,28,0)+VLOOKUP(E:E,'（居民）工资表-10月'!E:AG,29,0),0)</f>
        <v>564.39</v>
      </c>
      <c r="AG15" s="97">
        <f t="shared" si="13"/>
        <v>42.98</v>
      </c>
      <c r="AH15" s="107">
        <f t="shared" si="14"/>
        <v>6389.72</v>
      </c>
      <c r="AI15" s="108"/>
      <c r="AJ15" s="107">
        <f t="shared" si="15"/>
        <v>6389.72</v>
      </c>
      <c r="AK15" s="109"/>
      <c r="AL15" s="107">
        <f t="shared" si="16"/>
        <v>6432.7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182</v>
      </c>
      <c r="D16" s="37" t="s">
        <v>143</v>
      </c>
      <c r="E16" s="326" t="s">
        <v>183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90.51</v>
      </c>
      <c r="O16" s="71">
        <v>20.1</v>
      </c>
      <c r="P16" s="71">
        <v>97</v>
      </c>
      <c r="Q16" s="89">
        <f t="shared" si="10"/>
        <v>529.13</v>
      </c>
      <c r="R16" s="70">
        <v>0</v>
      </c>
      <c r="S16" s="90">
        <f>L16+IFERROR(VLOOKUP($E:$E,'（居民）工资表-10月'!$E:$S,15,0),0)</f>
        <v>72321.74</v>
      </c>
      <c r="T16" s="91">
        <f>5000+IFERROR(VLOOKUP($E:$E,'（居民）工资表-10月'!$E:$T,16,0),0)</f>
        <v>55000</v>
      </c>
      <c r="U16" s="91">
        <f>Q16+IFERROR(VLOOKUP($E:$E,'（居民）工资表-10月'!$E:$U,17,0),0)</f>
        <v>5920.47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R16+IFERROR(VLOOKUP($E:$E,'（居民）工资表-10月'!$E:$AC,25,0),0)</f>
        <v>0</v>
      </c>
      <c r="AD16" s="95">
        <f t="shared" si="12"/>
        <v>11401.27</v>
      </c>
      <c r="AE16" s="96">
        <f>ROUND(MAX((AD16)*{0.03;0.1;0.2;0.25;0.3;0.35;0.45}-{0;2520;16920;31920;52920;85920;181920},0),2)</f>
        <v>342.04</v>
      </c>
      <c r="AF16" s="97">
        <f>IFERROR(VLOOKUP(E:E,'（居民）工资表-10月'!E:AF,28,0)+VLOOKUP(E:E,'（居民）工资表-10月'!E:AG,29,0),0)</f>
        <v>326.11</v>
      </c>
      <c r="AG16" s="97">
        <f t="shared" si="13"/>
        <v>15.93</v>
      </c>
      <c r="AH16" s="107">
        <f t="shared" si="14"/>
        <v>5514.94</v>
      </c>
      <c r="AI16" s="108"/>
      <c r="AJ16" s="107">
        <f t="shared" si="15"/>
        <v>5514.94</v>
      </c>
      <c r="AK16" s="109"/>
      <c r="AL16" s="107">
        <f t="shared" si="16"/>
        <v>5530.87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U16" s="11"/>
      <c r="AV16" s="11"/>
    </row>
    <row r="17" s="12" customFormat="1" ht="18" customHeight="1" spans="1:48">
      <c r="A17" s="36">
        <v>14</v>
      </c>
      <c r="B17" s="37" t="s">
        <v>142</v>
      </c>
      <c r="C17" s="37" t="s">
        <v>184</v>
      </c>
      <c r="D17" s="37" t="s">
        <v>143</v>
      </c>
      <c r="E17" s="326" t="s">
        <v>185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147.6</v>
      </c>
      <c r="N17" s="71">
        <v>90.4</v>
      </c>
      <c r="O17" s="71">
        <v>5.53</v>
      </c>
      <c r="P17" s="71">
        <v>175</v>
      </c>
      <c r="Q17" s="89">
        <f t="shared" si="10"/>
        <v>418.53</v>
      </c>
      <c r="R17" s="70">
        <v>0</v>
      </c>
      <c r="S17" s="90">
        <f>L17+IFERROR(VLOOKUP($E:$E,'（居民）工资表-10月'!$E:$S,15,0),0)</f>
        <v>42860</v>
      </c>
      <c r="T17" s="91">
        <f>5000+IFERROR(VLOOKUP($E:$E,'（居民）工资表-10月'!$E:$T,16,0),0)</f>
        <v>30000</v>
      </c>
      <c r="U17" s="91">
        <f>Q17+IFERROR(VLOOKUP($E:$E,'（居民）工资表-10月'!$E:$U,17,0),0)</f>
        <v>3375.37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R17+IFERROR(VLOOKUP($E:$E,'（居民）工资表-10月'!$E:$AC,25,0),0)</f>
        <v>0</v>
      </c>
      <c r="AD17" s="95">
        <f t="shared" si="12"/>
        <v>9484.63</v>
      </c>
      <c r="AE17" s="96">
        <f>ROUND(MAX((AD17)*{0.03;0.1;0.2;0.25;0.3;0.35;0.45}-{0;2520;16920;31920;52920;85920;181920},0),2)</f>
        <v>284.54</v>
      </c>
      <c r="AF17" s="97">
        <f>IFERROR(VLOOKUP(E:E,'（居民）工资表-10月'!E:AF,28,0)+VLOOKUP(E:E,'（居民）工资表-10月'!E:AG,29,0),0)</f>
        <v>250.29</v>
      </c>
      <c r="AG17" s="97">
        <f t="shared" si="13"/>
        <v>34.25</v>
      </c>
      <c r="AH17" s="107">
        <f t="shared" si="14"/>
        <v>6107.22</v>
      </c>
      <c r="AI17" s="108"/>
      <c r="AJ17" s="107">
        <f t="shared" si="15"/>
        <v>6107.22</v>
      </c>
      <c r="AK17" s="109"/>
      <c r="AL17" s="107">
        <f t="shared" si="16"/>
        <v>6141.47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U17" s="11"/>
      <c r="AV17" s="11"/>
    </row>
    <row r="18" s="12" customFormat="1" ht="18" customHeight="1" spans="1:48">
      <c r="A18" s="36">
        <v>15</v>
      </c>
      <c r="B18" s="37" t="s">
        <v>142</v>
      </c>
      <c r="C18" s="37" t="s">
        <v>186</v>
      </c>
      <c r="D18" s="37" t="s">
        <v>143</v>
      </c>
      <c r="E18" s="326" t="s">
        <v>187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10"/>
        <v>525</v>
      </c>
      <c r="R18" s="70">
        <v>0</v>
      </c>
      <c r="S18" s="90">
        <f>L18+IFERROR(VLOOKUP($E:$E,'（居民）工资表-10月'!$E:$S,15,0),0)</f>
        <v>67400</v>
      </c>
      <c r="T18" s="91">
        <f>5000+IFERROR(VLOOKUP($E:$E,'（居民）工资表-10月'!$E:$T,16,0),0)</f>
        <v>55000</v>
      </c>
      <c r="U18" s="91">
        <f>Q18+IFERROR(VLOOKUP($E:$E,'（居民）工资表-10月'!$E:$U,17,0),0)</f>
        <v>5814.25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R18+IFERROR(VLOOKUP($E:$E,'（居民）工资表-10月'!$E:$AC,25,0),0)</f>
        <v>0</v>
      </c>
      <c r="AD18" s="95">
        <f t="shared" si="12"/>
        <v>6585.75</v>
      </c>
      <c r="AE18" s="96">
        <f>ROUND(MAX((AD18)*{0.03;0.1;0.2;0.25;0.3;0.35;0.45}-{0;2520;16920;31920;52920;85920;181920},0),2)</f>
        <v>197.57</v>
      </c>
      <c r="AF18" s="97">
        <f>IFERROR(VLOOKUP(E:E,'（居民）工资表-10月'!E:AF,28,0)+VLOOKUP(E:E,'（居民）工资表-10月'!E:AG,29,0),0)</f>
        <v>183.32</v>
      </c>
      <c r="AG18" s="97">
        <f t="shared" si="13"/>
        <v>14.25</v>
      </c>
      <c r="AH18" s="107">
        <f t="shared" si="14"/>
        <v>5460.75</v>
      </c>
      <c r="AI18" s="108"/>
      <c r="AJ18" s="107">
        <f t="shared" si="15"/>
        <v>5460.75</v>
      </c>
      <c r="AK18" s="109"/>
      <c r="AL18" s="107">
        <f t="shared" si="16"/>
        <v>5475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U18" s="11"/>
      <c r="AV18" s="11"/>
    </row>
    <row r="19" s="12" customFormat="1" ht="18" customHeight="1" spans="1:48">
      <c r="A19" s="36">
        <v>16</v>
      </c>
      <c r="B19" s="37" t="s">
        <v>142</v>
      </c>
      <c r="C19" s="37" t="s">
        <v>188</v>
      </c>
      <c r="D19" s="37" t="s">
        <v>143</v>
      </c>
      <c r="E19" s="326" t="s">
        <v>189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5425</v>
      </c>
      <c r="M19" s="71">
        <v>337.92</v>
      </c>
      <c r="N19" s="71">
        <v>91.48</v>
      </c>
      <c r="O19" s="71">
        <v>12.67</v>
      </c>
      <c r="P19" s="71">
        <v>100.5</v>
      </c>
      <c r="Q19" s="89">
        <f t="shared" si="10"/>
        <v>542.57</v>
      </c>
      <c r="R19" s="70">
        <v>0</v>
      </c>
      <c r="S19" s="90">
        <f>L19+IFERROR(VLOOKUP($E:$E,'（居民）工资表-10月'!$E:$S,15,0),0)</f>
        <v>19808.14</v>
      </c>
      <c r="T19" s="91">
        <f>5000+IFERROR(VLOOKUP($E:$E,'（居民）工资表-10月'!$E:$T,16,0),0)</f>
        <v>25000</v>
      </c>
      <c r="U19" s="91">
        <f>Q19+IFERROR(VLOOKUP($E:$E,'（居民）工资表-10月'!$E:$U,17,0),0)</f>
        <v>3227.4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R19+IFERROR(VLOOKUP($E:$E,'（居民）工资表-10月'!$E:$AC,25,0),0)</f>
        <v>0</v>
      </c>
      <c r="AD19" s="95">
        <f t="shared" si="12"/>
        <v>-8419.26</v>
      </c>
      <c r="AE19" s="96">
        <f>ROUND(MAX((AD19)*{0.03;0.1;0.2;0.25;0.3;0.35;0.45}-{0;2520;16920;31920;52920;85920;181920},0),2)</f>
        <v>0</v>
      </c>
      <c r="AF19" s="97">
        <f>IFERROR(VLOOKUP(E:E,'（居民）工资表-10月'!E:AF,28,0)+VLOOKUP(E:E,'（居民）工资表-10月'!E:AG,29,0),0)</f>
        <v>0</v>
      </c>
      <c r="AG19" s="97">
        <f t="shared" si="13"/>
        <v>0</v>
      </c>
      <c r="AH19" s="107">
        <f t="shared" si="14"/>
        <v>4882.43</v>
      </c>
      <c r="AI19" s="108"/>
      <c r="AJ19" s="107">
        <f t="shared" si="15"/>
        <v>4882.43</v>
      </c>
      <c r="AK19" s="109"/>
      <c r="AL19" s="107">
        <f t="shared" si="16"/>
        <v>4882.43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U19" s="11"/>
      <c r="AV19" s="11"/>
    </row>
    <row r="20" s="12" customFormat="1" ht="18" customHeight="1" spans="1:48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  <c r="AU20" s="11"/>
      <c r="AV20" s="11"/>
    </row>
    <row r="21" s="13" customFormat="1" ht="18" customHeight="1" spans="1:46">
      <c r="A21" s="41"/>
      <c r="B21" s="42" t="s">
        <v>192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SUM(L4:L19)</f>
        <v>132903.8</v>
      </c>
      <c r="M21" s="74">
        <f>SUM(M4:M19)</f>
        <v>5213.7</v>
      </c>
      <c r="N21" s="74">
        <f>SUM(N4:N19)</f>
        <v>1587.08</v>
      </c>
      <c r="O21" s="74">
        <f t="shared" ref="O21:AL21" si="20">SUM(O4:O19)</f>
        <v>280.25</v>
      </c>
      <c r="P21" s="74">
        <f t="shared" si="20"/>
        <v>3617.5</v>
      </c>
      <c r="Q21" s="74">
        <f t="shared" si="20"/>
        <v>10698.53</v>
      </c>
      <c r="R21" s="74">
        <f t="shared" si="20"/>
        <v>0</v>
      </c>
      <c r="S21" s="74">
        <f t="shared" si="20"/>
        <v>1409642.63</v>
      </c>
      <c r="T21" s="74">
        <f t="shared" si="20"/>
        <v>800000</v>
      </c>
      <c r="U21" s="74">
        <f t="shared" si="20"/>
        <v>100777.58</v>
      </c>
      <c r="V21" s="74">
        <f t="shared" si="20"/>
        <v>0</v>
      </c>
      <c r="W21" s="74">
        <f t="shared" si="20"/>
        <v>0</v>
      </c>
      <c r="X21" s="74">
        <f t="shared" si="20"/>
        <v>0</v>
      </c>
      <c r="Y21" s="74">
        <f t="shared" si="20"/>
        <v>0</v>
      </c>
      <c r="Z21" s="74">
        <f t="shared" si="20"/>
        <v>0</v>
      </c>
      <c r="AA21" s="74">
        <f t="shared" si="20"/>
        <v>0</v>
      </c>
      <c r="AB21" s="74">
        <f t="shared" si="20"/>
        <v>0</v>
      </c>
      <c r="AC21" s="74">
        <f t="shared" si="20"/>
        <v>0</v>
      </c>
      <c r="AD21" s="74">
        <f t="shared" si="20"/>
        <v>508865.05</v>
      </c>
      <c r="AE21" s="74">
        <f t="shared" si="20"/>
        <v>46534.68</v>
      </c>
      <c r="AF21" s="74">
        <f t="shared" si="20"/>
        <v>40465.42</v>
      </c>
      <c r="AG21" s="74">
        <f t="shared" si="20"/>
        <v>6069.26</v>
      </c>
      <c r="AH21" s="74">
        <f t="shared" si="20"/>
        <v>116136.01</v>
      </c>
      <c r="AI21" s="74">
        <f t="shared" si="20"/>
        <v>0</v>
      </c>
      <c r="AJ21" s="74">
        <f t="shared" si="20"/>
        <v>116136.01</v>
      </c>
      <c r="AK21" s="74">
        <f t="shared" si="20"/>
        <v>0</v>
      </c>
      <c r="AL21" s="74">
        <f t="shared" si="20"/>
        <v>122205.27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193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116136.01</v>
      </c>
      <c r="C26" s="48">
        <f>AG21</f>
        <v>6069.26</v>
      </c>
      <c r="D26" s="48">
        <f>AK21</f>
        <v>0</v>
      </c>
      <c r="E26" s="48">
        <f>B26+C26+D26</f>
        <v>122205.27</v>
      </c>
    </row>
    <row r="27" spans="2:5">
      <c r="B27" s="49"/>
      <c r="C27" s="49"/>
      <c r="D27" s="49"/>
      <c r="E27" s="49"/>
    </row>
    <row r="28" s="14" customFormat="1" spans="1:35">
      <c r="A28" s="51" t="s">
        <v>194</v>
      </c>
      <c r="B28" s="52" t="s">
        <v>195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196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197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198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199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200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201</v>
      </c>
    </row>
    <row r="36" spans="2:2">
      <c r="B36" s="59" t="s">
        <v>202</v>
      </c>
    </row>
    <row r="37" spans="2:2">
      <c r="B37" s="59" t="s">
        <v>203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2024-05-06T02:29:15Z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2052-12.1.0.16894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