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609" firstSheet="1" activeTab="1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r:id="rId12"/>
    <sheet name="（居民）工资表-3月" sheetId="16" state="hidden" r:id="rId13"/>
    <sheet name="（居民）工资表-4月" sheetId="17" state="hidden" r:id="rId14"/>
    <sheet name="Sheet1" sheetId="14" state="hidden" r:id="rId15"/>
  </sheet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'（居民）工资表-9月'!$A$3:$AT$21</definedName>
    <definedName name="_xlnm._FilterDatabase" localSheetId="7" hidden="1">'（居民）工资表-10月'!$A$3:$AT$21</definedName>
    <definedName name="_xlnm._FilterDatabase" localSheetId="8" hidden="1">'（居民）工资表-11月'!$A$3:$AT$21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'（居民）工资表-3月'!$A$3:$AT$21</definedName>
    <definedName name="_xlnm._FilterDatabase" localSheetId="13" hidden="1">'（居民）工资表-4月'!$A$3:$AT$20</definedName>
    <definedName name="_xlnm._FilterDatabase" localSheetId="5" hidden="1">'（居民）工资表-8月'!$A$3:$AV$20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'（居民）工资表-10月'!$A$1:$AT$27</definedName>
    <definedName name="_xlnm.Print_Area" localSheetId="8">'（居民）工资表-11月'!$A$1:$AT$27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'（居民）工资表-3月'!$A$1:$AT$27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<sst xmlns="http://schemas.openxmlformats.org/spreadsheetml/2006/main" count="2285" uniqueCount="257">
  <si>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</si>
  <si>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</si>
  <si>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</si>
  <si>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</si>
  <si>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</si>
  <si>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</si>
  <si>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</si>
  <si>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</si>
  <si>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</si>
  <si>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</si>
  <si>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</si>
  <si>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</si>
  <si>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</si>
  <si>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</si>
  <si>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</si>
  <si>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</si>
  <si>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</si>
  <si>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</si>
  <si>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</si>
  <si>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</si>
  <si>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</si>
  <si>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</si>
  <si>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</si>
  <si>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</si>
  <si>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</si>
  <si>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</si>
  <si>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</si>
  <si>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</si>
  <si>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</si>
  <si>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</si>
  <si>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</si>
  <si>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</si>
  <si>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</si>
  <si>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</si>
  <si>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</si>
  <si>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</si>
  <si>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</si>
  <si>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</si>
  <si>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</si>
  <si>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</si>
  <si>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</si>
  <si>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</si>
  <si>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</si>
  <si>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</si>
  <si>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</si>
  <si>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</si>
  <si>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</si>
  <si>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</si>
  <si>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</si>
  <si>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</si>
  <si>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</si>
  <si>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</si>
  <si>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</si>
  <si>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</si>
  <si>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</si>
  <si>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</si>
  <si>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</si>
  <si>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</si>
  <si>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</si>
  <si>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</si>
  <si>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</si>
  <si>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</si>
  <si>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</si>
  <si>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</si>
  <si>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</si>
  <si>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</si>
  <si>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</si>
  <si>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</si>
  <si>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</si>
  <si>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根据贵公司与我公司所签订的服务协议，请贵公司在2024年2月8日之前按照下列表格内容支付相关款项.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</si>
  <si>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</si>
  <si>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</si>
  <si>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</si>
  <si>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</si>
  <si>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</si>
  <si>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</si>
  <si>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</si>
  <si>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</si>
  <si>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</si>
  <si>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</si>
  <si>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</si>
  <si>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</si>
  <si>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</si>
  <si>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</si>
  <si>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</si>
  <si>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</si>
  <si>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</si>
  <si>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</si>
  <si>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</si>
  <si>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</si>
  <si>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</si>
  <si>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</si>
  <si>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</si>
  <si>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</si>
  <si>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</si>
  <si>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</si>
  <si>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</si>
  <si>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</si>
  <si>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</si>
  <si>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</si>
  <si>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</si>
  <si>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</si>
  <si>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</si>
  <si>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</si>
  <si>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</si>
  <si>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</si>
  <si>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</si>
  <si>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</si>
  <si>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</si>
  <si>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</si>
  <si>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</si>
  <si>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</si>
  <si>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</si>
  <si>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</si>
  <si>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</si>
  <si>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</si>
  <si>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</si>
  <si>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</si>
  <si>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</si>
  <si>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</si>
  <si>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</si>
  <si>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</si>
  <si>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</si>
  <si>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</si>
  <si>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</si>
  <si>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</si>
  <si>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</si>
  <si>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</si>
  <si>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</si>
  <si>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</si>
  <si>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</si>
  <si>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</si>
  <si>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</si>
  <si>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</si>
  <si>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</si>
  <si>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</si>
  <si>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</si>
  <si>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</si>
  <si>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</si>
  <si>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</si>
  <si>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</si>
  <si>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</si>
  <si>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</si>
  <si>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</si>
  <si>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</si>
  <si>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</si>
  <si>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</si>
  <si>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</si>
  <si>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</si>
  <si>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</si>
  <si>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</si>
  <si>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</si>
  <si>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</si>
  <si>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</si>
  <si>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</si>
  <si>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</si>
  <si>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</si>
  <si>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</si>
  <si>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</si>
  <si>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</si>
  <si>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</si>
  <si>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</si>
  <si>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</si>
  <si>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谭江月</t>
  </si>
  <si>
    <t>500228199607193387</t>
  </si>
  <si>
    <t>18297976577</t>
  </si>
  <si>
    <t>重庆</t>
  </si>
  <si>
    <t>重庆外商</t>
  </si>
  <si>
    <t>孙海娟</t>
  </si>
  <si>
    <t>150428198211155123</t>
  </si>
  <si>
    <t>13875812115</t>
  </si>
  <si>
    <t>天津</t>
  </si>
  <si>
    <t>天津易铭天</t>
  </si>
  <si>
    <t>汤祥文</t>
  </si>
  <si>
    <t>340222198505126017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</si>
  <si>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</si>
  <si>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</si>
  <si>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</si>
  <si>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</si>
  <si>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</si>
  <si>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</si>
  <si>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</si>
  <si>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</si>
  <si>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</si>
  <si>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杨文</t>
  </si>
  <si>
    <t>430902198512287016</t>
  </si>
  <si>
    <t>张莉</t>
  </si>
  <si>
    <t>340122198910212909</t>
  </si>
  <si>
    <t>周兆平</t>
  </si>
  <si>
    <t>420625199902250033</t>
  </si>
  <si>
    <t>武汉</t>
  </si>
  <si>
    <t>武汉乾通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</si>
  <si>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</si>
  <si>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</si>
  <si>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</si>
  <si>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</si>
  <si>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</si>
  <si>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</si>
  <si>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</si>
  <si>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</si>
  <si>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</si>
  <si>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</si>
  <si>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</si>
  <si>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</si>
  <si>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</si>
  <si>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</si>
  <si>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</si>
  <si>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</si>
  <si>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</si>
  <si>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</si>
  <si>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</si>
  <si>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</si>
  <si>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</si>
  <si>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</si>
  <si>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</si>
  <si>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</si>
  <si>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</si>
  <si>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</si>
  <si>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</si>
  <si>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</si>
  <si>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</si>
  <si>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</si>
  <si>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</si>
  <si>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倪绍帅</t>
  </si>
  <si>
    <t>341225199804264377</t>
  </si>
  <si>
    <t>涂志伟</t>
  </si>
  <si>
    <t>36010419751104107X</t>
  </si>
  <si>
    <t>南昌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</si>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</sst>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0" fontId="6" fillId="0" borderId="7" xfId="312" applyNumberFormat="1" applyFill="1" applyBorder="1" applyAlignment="1">
      <alignment horizontal="center"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177" fontId="14" fillId="0" borderId="7" xfId="312" applyNumberFormat="1" applyFont="1" applyFill="1" applyBorder="1">
      <alignment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26" fillId="0" borderId="0" xfId="0" applyNumberFormat="1" applyFont="1" applyFill="1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  <xf numFmtId="0" fontId="26" fillId="0" borderId="0" xfId="0" applyNumberFormat="1" applyFont="1" applyFill="1" applyBorder="1" applyAlignment="1" quotePrefix="1">
      <alignment horizontal="left" vertical="center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4" customWidth="1"/>
    <col min="2" max="2" width="25" style="244" customWidth="1"/>
    <col min="3" max="3" width="7.36666666666667" style="244" customWidth="1"/>
    <col min="4" max="4" width="9.45" style="244" customWidth="1"/>
    <col min="5" max="5" width="8.26666666666667" style="244" customWidth="1"/>
    <col min="6" max="6" width="11.9083333333333" style="244" customWidth="1"/>
    <col min="7" max="7" width="16.3666666666667" style="244" customWidth="1"/>
    <col min="8" max="11" width="8.45" style="244" customWidth="1"/>
    <col min="12" max="12" width="9.09166666666667" style="244" customWidth="1"/>
    <col min="13" max="14" width="9.26666666666667" style="244" customWidth="1"/>
    <col min="15" max="15" width="7.45" style="244" customWidth="1"/>
    <col min="16" max="16" width="11.2666666666667" style="244" customWidth="1"/>
    <col min="17" max="17" width="9.09166666666667" style="244" customWidth="1"/>
    <col min="18" max="21" width="9.26666666666667" style="244" customWidth="1"/>
    <col min="22" max="22" width="9.09166666666667" style="244" customWidth="1"/>
    <col min="23" max="26" width="9.26666666666667" style="244" customWidth="1"/>
    <col min="27" max="28" width="9.09166666666667" style="244" customWidth="1"/>
    <col min="29" max="29" width="9" style="244" customWidth="1"/>
    <col min="30" max="30" width="9.09166666666667" style="244" customWidth="1"/>
    <col min="31" max="31" width="9.26666666666667" style="244" customWidth="1"/>
    <col min="32" max="32" width="8.90833333333333" style="244" customWidth="1"/>
    <col min="33" max="33" width="9.09166666666667" style="244" customWidth="1"/>
    <col min="34" max="34" width="9.26666666666667" style="244" customWidth="1"/>
    <col min="35" max="35" width="11.0916666666667" style="244" customWidth="1"/>
    <col min="36" max="36" width="9.26666666666667" style="244" customWidth="1"/>
    <col min="37" max="37" width="8.45" style="244" customWidth="1"/>
    <col min="38" max="38" width="9.09166666666667" style="244" hidden="1" customWidth="1"/>
    <col min="39" max="42" width="9.26666666666667" style="244" hidden="1" customWidth="1"/>
    <col min="43" max="43" width="9.90833333333333" style="244" customWidth="1"/>
    <col min="44" max="44" width="9.36666666666667" style="244" customWidth="1"/>
    <col min="45" max="45" width="10.2666666666667" style="245" customWidth="1"/>
    <col min="46" max="46" width="10" style="245" customWidth="1"/>
    <col min="47" max="49" width="9.26666666666667" style="245" customWidth="1"/>
    <col min="50" max="50" width="9.26666666666667" style="244" customWidth="1"/>
    <col min="51" max="51" width="5.90833333333333" style="244" customWidth="1"/>
    <col min="52" max="52" width="8.36666666666667" style="244" customWidth="1"/>
    <col min="53" max="53" width="5.90833333333333" style="244" customWidth="1"/>
    <col min="54" max="54" width="8.90833333333333" style="244" customWidth="1"/>
    <col min="55" max="55" width="10.9083333333333" style="244" customWidth="1"/>
    <col min="56" max="56" width="40.2666666666667" style="246" customWidth="1"/>
    <col min="57" max="57" width="10.6333333333333" style="244" customWidth="1"/>
    <col min="58" max="16384" width="9" style="244"/>
  </cols>
  <sheetData>
    <row r="1" s="238" customFormat="1" ht="22.5" customHeight="1" spans="1:56">
      <c r="A1" s="247" t="s">
        <v>0</v>
      </c>
      <c r="B1" s="248" t="s">
        <v>1</v>
      </c>
      <c r="C1" s="248" t="s">
        <v>2</v>
      </c>
      <c r="D1" s="247" t="s">
        <v>3</v>
      </c>
      <c r="E1" s="248" t="s">
        <v>4</v>
      </c>
      <c r="F1" s="248" t="s">
        <v>5</v>
      </c>
      <c r="G1" s="248" t="s">
        <v>6</v>
      </c>
      <c r="H1" s="248" t="s">
        <v>7</v>
      </c>
      <c r="I1" s="248" t="s">
        <v>8</v>
      </c>
      <c r="J1" s="248" t="s">
        <v>9</v>
      </c>
      <c r="K1" s="248" t="s">
        <v>10</v>
      </c>
      <c r="L1" s="281" t="s">
        <v>11</v>
      </c>
      <c r="M1" s="281"/>
      <c r="N1" s="281"/>
      <c r="O1" s="281"/>
      <c r="P1" s="281"/>
      <c r="Q1" s="281" t="s">
        <v>12</v>
      </c>
      <c r="R1" s="281"/>
      <c r="S1" s="281"/>
      <c r="T1" s="281"/>
      <c r="U1" s="281"/>
      <c r="V1" s="281" t="s">
        <v>13</v>
      </c>
      <c r="W1" s="281"/>
      <c r="X1" s="281"/>
      <c r="Y1" s="281"/>
      <c r="Z1" s="281"/>
      <c r="AA1" s="247" t="s">
        <v>14</v>
      </c>
      <c r="AB1" s="247"/>
      <c r="AC1" s="247"/>
      <c r="AD1" s="247" t="s">
        <v>15</v>
      </c>
      <c r="AE1" s="247"/>
      <c r="AF1" s="247"/>
      <c r="AG1" s="281" t="s">
        <v>16</v>
      </c>
      <c r="AH1" s="281"/>
      <c r="AI1" s="281"/>
      <c r="AJ1" s="281"/>
      <c r="AK1" s="281"/>
      <c r="AL1" s="247" t="s">
        <v>17</v>
      </c>
      <c r="AM1" s="247"/>
      <c r="AN1" s="247"/>
      <c r="AO1" s="247"/>
      <c r="AP1" s="247"/>
      <c r="AQ1" s="247" t="s">
        <v>18</v>
      </c>
      <c r="AR1" s="247"/>
      <c r="AS1" s="292" t="s">
        <v>19</v>
      </c>
      <c r="AT1" s="292"/>
      <c r="AU1" s="292"/>
      <c r="AV1" s="292"/>
      <c r="AW1" s="292"/>
      <c r="AX1" s="247" t="s">
        <v>20</v>
      </c>
      <c r="AY1" s="247"/>
      <c r="AZ1" s="247" t="s">
        <v>21</v>
      </c>
      <c r="BA1" s="247"/>
      <c r="BB1" s="247" t="s">
        <v>22</v>
      </c>
      <c r="BC1" s="247" t="s">
        <v>23</v>
      </c>
      <c r="BD1" s="303" t="s">
        <v>24</v>
      </c>
    </row>
    <row r="2" ht="22.5" customHeight="1" spans="1:56">
      <c r="A2" s="247"/>
      <c r="B2" s="249"/>
      <c r="C2" s="248"/>
      <c r="D2" s="247"/>
      <c r="E2" s="248"/>
      <c r="F2" s="250"/>
      <c r="G2" s="250"/>
      <c r="H2" s="248"/>
      <c r="I2" s="248"/>
      <c r="J2" s="248"/>
      <c r="K2" s="248"/>
      <c r="L2" s="282" t="s">
        <v>25</v>
      </c>
      <c r="M2" s="282" t="s">
        <v>26</v>
      </c>
      <c r="N2" s="282" t="s">
        <v>27</v>
      </c>
      <c r="O2" s="282" t="s">
        <v>28</v>
      </c>
      <c r="P2" s="282" t="s">
        <v>29</v>
      </c>
      <c r="Q2" s="282" t="s">
        <v>25</v>
      </c>
      <c r="R2" s="282" t="s">
        <v>26</v>
      </c>
      <c r="S2" s="282" t="s">
        <v>27</v>
      </c>
      <c r="T2" s="282" t="s">
        <v>28</v>
      </c>
      <c r="U2" s="282" t="s">
        <v>29</v>
      </c>
      <c r="V2" s="282" t="s">
        <v>25</v>
      </c>
      <c r="W2" s="282" t="s">
        <v>26</v>
      </c>
      <c r="X2" s="282" t="s">
        <v>27</v>
      </c>
      <c r="Y2" s="282" t="s">
        <v>28</v>
      </c>
      <c r="Z2" s="282" t="s">
        <v>29</v>
      </c>
      <c r="AA2" s="282" t="s">
        <v>25</v>
      </c>
      <c r="AB2" s="282" t="s">
        <v>30</v>
      </c>
      <c r="AC2" s="282" t="s">
        <v>31</v>
      </c>
      <c r="AD2" s="282" t="s">
        <v>25</v>
      </c>
      <c r="AE2" s="282" t="s">
        <v>30</v>
      </c>
      <c r="AF2" s="282" t="s">
        <v>31</v>
      </c>
      <c r="AG2" s="282" t="s">
        <v>25</v>
      </c>
      <c r="AH2" s="282" t="s">
        <v>26</v>
      </c>
      <c r="AI2" s="282" t="s">
        <v>27</v>
      </c>
      <c r="AJ2" s="282" t="s">
        <v>28</v>
      </c>
      <c r="AK2" s="282" t="s">
        <v>29</v>
      </c>
      <c r="AL2" s="282" t="s">
        <v>25</v>
      </c>
      <c r="AM2" s="282" t="s">
        <v>26</v>
      </c>
      <c r="AN2" s="282" t="s">
        <v>27</v>
      </c>
      <c r="AO2" s="282" t="s">
        <v>28</v>
      </c>
      <c r="AP2" s="282" t="s">
        <v>29</v>
      </c>
      <c r="AQ2" s="282" t="s">
        <v>32</v>
      </c>
      <c r="AR2" s="282" t="s">
        <v>33</v>
      </c>
      <c r="AS2" s="293" t="s">
        <v>34</v>
      </c>
      <c r="AT2" s="293" t="s">
        <v>35</v>
      </c>
      <c r="AU2" s="293" t="s">
        <v>36</v>
      </c>
      <c r="AV2" s="293" t="s">
        <v>37</v>
      </c>
      <c r="AW2" s="293" t="s">
        <v>38</v>
      </c>
      <c r="AX2" s="247"/>
      <c r="AY2" s="247"/>
      <c r="AZ2" s="247"/>
      <c r="BA2" s="247"/>
      <c r="BB2" s="247"/>
      <c r="BC2" s="247"/>
      <c r="BD2" s="303"/>
    </row>
    <row r="3" s="239" customFormat="1" ht="18" customHeight="1" spans="1:60">
      <c r="A3" s="251">
        <v>1</v>
      </c>
      <c r="B3" s="252" t="s">
        <v>39</v>
      </c>
      <c r="C3" s="253" t="s">
        <v>40</v>
      </c>
      <c r="D3" s="254" t="s">
        <v>41</v>
      </c>
      <c r="E3" s="252" t="s">
        <v>42</v>
      </c>
      <c r="F3" s="255" t="s">
        <v>43</v>
      </c>
      <c r="G3" s="256" t="s">
        <v>44</v>
      </c>
      <c r="H3" s="254" t="s">
        <v>45</v>
      </c>
      <c r="I3" s="254" t="s">
        <v>45</v>
      </c>
      <c r="J3" s="254" t="s">
        <v>46</v>
      </c>
      <c r="K3" s="254" t="s">
        <v>46</v>
      </c>
      <c r="L3" s="251">
        <v>3300</v>
      </c>
      <c r="M3" s="251">
        <v>0.16</v>
      </c>
      <c r="N3" s="251">
        <f t="shared" ref="N3:N8" si="0">ROUND(L3*M3,2)</f>
        <v>528</v>
      </c>
      <c r="O3" s="251">
        <v>0.08</v>
      </c>
      <c r="P3" s="251">
        <f t="shared" ref="P3:P8" si="1">ROUND(L3*O3,2)</f>
        <v>264</v>
      </c>
      <c r="Q3" s="251">
        <v>3300</v>
      </c>
      <c r="R3" s="251">
        <v>0.08</v>
      </c>
      <c r="S3" s="251">
        <f t="shared" ref="S3:S8" si="2">ROUND(Q3*R3,2)</f>
        <v>264</v>
      </c>
      <c r="T3" s="251">
        <v>0.02</v>
      </c>
      <c r="U3" s="251">
        <f t="shared" ref="U3:U8" si="3">ROUND(Q3*T3,2)</f>
        <v>66</v>
      </c>
      <c r="V3" s="251">
        <v>3300</v>
      </c>
      <c r="W3" s="251">
        <v>0.007</v>
      </c>
      <c r="X3" s="251">
        <f t="shared" ref="X3:X8" si="4">ROUND(V3*W3,2)</f>
        <v>23.1</v>
      </c>
      <c r="Y3" s="251">
        <v>0.003</v>
      </c>
      <c r="Z3" s="251">
        <f t="shared" ref="Z3:Z8" si="5">ROUND(V3*Y3,2)</f>
        <v>9.9</v>
      </c>
      <c r="AA3" s="251"/>
      <c r="AB3" s="251"/>
      <c r="AC3" s="251"/>
      <c r="AD3" s="251">
        <v>3300</v>
      </c>
      <c r="AE3" s="251">
        <v>0.002</v>
      </c>
      <c r="AF3" s="251">
        <f t="shared" ref="AF3:AF15" si="6">ROUND(AD3*AE3,2)</f>
        <v>6.6</v>
      </c>
      <c r="AG3" s="251">
        <v>3000</v>
      </c>
      <c r="AH3" s="251">
        <v>0.1</v>
      </c>
      <c r="AI3" s="251">
        <f>ROUND(AG3*AH3,2)</f>
        <v>300</v>
      </c>
      <c r="AJ3" s="251">
        <v>0.06</v>
      </c>
      <c r="AK3" s="251">
        <f>ROUND(AG3*AJ3,2)</f>
        <v>180</v>
      </c>
      <c r="AL3" s="289"/>
      <c r="AM3" s="251"/>
      <c r="AN3" s="251"/>
      <c r="AO3" s="251"/>
      <c r="AP3" s="252" t="s">
        <v>47</v>
      </c>
      <c r="AQ3" s="294">
        <v>5</v>
      </c>
      <c r="AR3" s="251"/>
      <c r="AS3" s="295">
        <f t="shared" ref="AS3:AS15" si="7">N3+S3+X3+AC3+AF3+AN3+AQ3</f>
        <v>826.7</v>
      </c>
      <c r="AT3" s="295">
        <f t="shared" ref="AT3:AT15" si="8">P3+U3+Z3</f>
        <v>339.9</v>
      </c>
      <c r="AU3" s="295">
        <f t="shared" ref="AU3:AU15" si="9">AI3</f>
        <v>300</v>
      </c>
      <c r="AV3" s="295">
        <f t="shared" ref="AV3:AV15" si="10">AK3</f>
        <v>180</v>
      </c>
      <c r="AW3" s="295">
        <f t="shared" ref="AW3:AW15" si="11">AV3+AS3+AT3+AU3</f>
        <v>1646.6</v>
      </c>
      <c r="AX3" s="304">
        <f t="shared" ref="AX3:AX15" si="12">AS3+AT3</f>
        <v>1166.6</v>
      </c>
      <c r="AY3" s="304"/>
      <c r="AZ3" s="304">
        <f t="shared" ref="AZ3:AZ8" si="13">AU3+AV3</f>
        <v>480</v>
      </c>
      <c r="BA3" s="304"/>
      <c r="BB3" s="305">
        <v>80</v>
      </c>
      <c r="BC3" s="304">
        <f t="shared" ref="BC3:BC15" si="14">AX3+AZ3+BB3</f>
        <v>1726.6</v>
      </c>
      <c r="BD3" s="306"/>
      <c r="BE3" s="320"/>
      <c r="BF3" s="321"/>
      <c r="BG3" s="321"/>
      <c r="BH3" s="322" t="s">
        <v>47</v>
      </c>
    </row>
    <row r="4" s="239" customFormat="1" ht="18" customHeight="1" spans="1:60">
      <c r="A4" s="251"/>
      <c r="B4" s="252" t="s">
        <v>39</v>
      </c>
      <c r="C4" s="253" t="s">
        <v>40</v>
      </c>
      <c r="D4" s="254" t="s">
        <v>41</v>
      </c>
      <c r="E4" s="252" t="s">
        <v>42</v>
      </c>
      <c r="F4" s="255" t="s">
        <v>43</v>
      </c>
      <c r="G4" s="256" t="s">
        <v>44</v>
      </c>
      <c r="H4" s="254" t="s">
        <v>45</v>
      </c>
      <c r="I4" s="254" t="s">
        <v>45</v>
      </c>
      <c r="J4" s="254" t="s">
        <v>48</v>
      </c>
      <c r="K4" s="254" t="s">
        <v>48</v>
      </c>
      <c r="L4" s="251">
        <v>3300</v>
      </c>
      <c r="M4" s="251">
        <v>0.16</v>
      </c>
      <c r="N4" s="251">
        <f t="shared" si="0"/>
        <v>528</v>
      </c>
      <c r="O4" s="251">
        <v>0.08</v>
      </c>
      <c r="P4" s="251">
        <f t="shared" si="1"/>
        <v>264</v>
      </c>
      <c r="Q4" s="251">
        <v>3300</v>
      </c>
      <c r="R4" s="251">
        <v>0.08</v>
      </c>
      <c r="S4" s="251">
        <f t="shared" si="2"/>
        <v>264</v>
      </c>
      <c r="T4" s="251">
        <v>0.02</v>
      </c>
      <c r="U4" s="251">
        <f t="shared" si="3"/>
        <v>66</v>
      </c>
      <c r="V4" s="251">
        <v>3300</v>
      </c>
      <c r="W4" s="251">
        <v>0.007</v>
      </c>
      <c r="X4" s="251">
        <f t="shared" si="4"/>
        <v>23.1</v>
      </c>
      <c r="Y4" s="251">
        <v>0.003</v>
      </c>
      <c r="Z4" s="251">
        <f t="shared" si="5"/>
        <v>9.9</v>
      </c>
      <c r="AA4" s="251"/>
      <c r="AB4" s="251"/>
      <c r="AC4" s="251"/>
      <c r="AD4" s="251">
        <v>3300</v>
      </c>
      <c r="AE4" s="251">
        <v>0.002</v>
      </c>
      <c r="AF4" s="251">
        <f t="shared" si="6"/>
        <v>6.6</v>
      </c>
      <c r="AG4" s="251">
        <v>3000</v>
      </c>
      <c r="AH4" s="251">
        <v>0.1</v>
      </c>
      <c r="AI4" s="251">
        <f>ROUND(AG4*AH4,2)</f>
        <v>300</v>
      </c>
      <c r="AJ4" s="251">
        <v>0.06</v>
      </c>
      <c r="AK4" s="251">
        <f>ROUND(AG4*AJ4,2)</f>
        <v>180</v>
      </c>
      <c r="AL4" s="289"/>
      <c r="AM4" s="251"/>
      <c r="AN4" s="251"/>
      <c r="AO4" s="251"/>
      <c r="AP4" s="252" t="s">
        <v>47</v>
      </c>
      <c r="AQ4" s="294">
        <v>5</v>
      </c>
      <c r="AR4" s="251"/>
      <c r="AS4" s="295">
        <f t="shared" si="7"/>
        <v>826.7</v>
      </c>
      <c r="AT4" s="295">
        <f t="shared" si="8"/>
        <v>339.9</v>
      </c>
      <c r="AU4" s="295">
        <f t="shared" si="9"/>
        <v>300</v>
      </c>
      <c r="AV4" s="295">
        <f t="shared" si="10"/>
        <v>180</v>
      </c>
      <c r="AW4" s="295">
        <f t="shared" si="11"/>
        <v>1646.6</v>
      </c>
      <c r="AX4" s="304">
        <f t="shared" si="12"/>
        <v>1166.6</v>
      </c>
      <c r="AY4" s="304"/>
      <c r="AZ4" s="304">
        <f t="shared" si="13"/>
        <v>480</v>
      </c>
      <c r="BA4" s="304"/>
      <c r="BB4" s="305">
        <v>80</v>
      </c>
      <c r="BC4" s="304">
        <f t="shared" si="14"/>
        <v>1726.6</v>
      </c>
      <c r="BD4" s="306"/>
      <c r="BE4" s="320"/>
      <c r="BF4" s="321"/>
      <c r="BG4" s="321"/>
      <c r="BH4" s="322" t="s">
        <v>47</v>
      </c>
    </row>
    <row r="5" s="239" customFormat="1" ht="18" customHeight="1" spans="1:60">
      <c r="A5" s="251"/>
      <c r="B5" s="252" t="s">
        <v>39</v>
      </c>
      <c r="C5" s="253" t="s">
        <v>40</v>
      </c>
      <c r="D5" s="254" t="s">
        <v>41</v>
      </c>
      <c r="E5" s="252" t="s">
        <v>42</v>
      </c>
      <c r="F5" s="255" t="s">
        <v>43</v>
      </c>
      <c r="G5" s="256" t="s">
        <v>44</v>
      </c>
      <c r="H5" s="254" t="s">
        <v>45</v>
      </c>
      <c r="I5" s="254" t="s">
        <v>45</v>
      </c>
      <c r="J5" s="254" t="s">
        <v>49</v>
      </c>
      <c r="K5" s="254" t="s">
        <v>49</v>
      </c>
      <c r="L5" s="251">
        <v>3300</v>
      </c>
      <c r="M5" s="251">
        <v>0.16</v>
      </c>
      <c r="N5" s="251">
        <f t="shared" si="0"/>
        <v>528</v>
      </c>
      <c r="O5" s="251">
        <v>0.08</v>
      </c>
      <c r="P5" s="251">
        <f t="shared" si="1"/>
        <v>264</v>
      </c>
      <c r="Q5" s="251">
        <v>3300</v>
      </c>
      <c r="R5" s="251">
        <v>0.08</v>
      </c>
      <c r="S5" s="251">
        <f t="shared" si="2"/>
        <v>264</v>
      </c>
      <c r="T5" s="251">
        <v>0.02</v>
      </c>
      <c r="U5" s="251">
        <f t="shared" si="3"/>
        <v>66</v>
      </c>
      <c r="V5" s="251">
        <v>3300</v>
      </c>
      <c r="W5" s="251">
        <v>0.007</v>
      </c>
      <c r="X5" s="251">
        <f t="shared" si="4"/>
        <v>23.1</v>
      </c>
      <c r="Y5" s="251">
        <v>0.003</v>
      </c>
      <c r="Z5" s="251">
        <f t="shared" si="5"/>
        <v>9.9</v>
      </c>
      <c r="AA5" s="251"/>
      <c r="AB5" s="251"/>
      <c r="AC5" s="251"/>
      <c r="AD5" s="251">
        <v>3300</v>
      </c>
      <c r="AE5" s="251">
        <v>0.002</v>
      </c>
      <c r="AF5" s="251">
        <f t="shared" si="6"/>
        <v>6.6</v>
      </c>
      <c r="AG5" s="251">
        <v>3000</v>
      </c>
      <c r="AH5" s="251">
        <v>0.1</v>
      </c>
      <c r="AI5" s="251">
        <f>ROUND(AG5*AH5,2)</f>
        <v>300</v>
      </c>
      <c r="AJ5" s="251">
        <v>0.06</v>
      </c>
      <c r="AK5" s="251">
        <f>ROUND(AG5*AJ5,2)</f>
        <v>180</v>
      </c>
      <c r="AL5" s="289"/>
      <c r="AM5" s="251"/>
      <c r="AN5" s="251"/>
      <c r="AO5" s="251"/>
      <c r="AP5" s="252" t="s">
        <v>47</v>
      </c>
      <c r="AQ5" s="294">
        <v>5</v>
      </c>
      <c r="AR5" s="251"/>
      <c r="AS5" s="295">
        <f t="shared" si="7"/>
        <v>826.7</v>
      </c>
      <c r="AT5" s="295">
        <f t="shared" si="8"/>
        <v>339.9</v>
      </c>
      <c r="AU5" s="295">
        <f t="shared" si="9"/>
        <v>300</v>
      </c>
      <c r="AV5" s="295">
        <f t="shared" si="10"/>
        <v>180</v>
      </c>
      <c r="AW5" s="295">
        <f t="shared" si="11"/>
        <v>1646.6</v>
      </c>
      <c r="AX5" s="304">
        <f t="shared" si="12"/>
        <v>1166.6</v>
      </c>
      <c r="AY5" s="304"/>
      <c r="AZ5" s="304">
        <f t="shared" si="13"/>
        <v>480</v>
      </c>
      <c r="BA5" s="304"/>
      <c r="BB5" s="305">
        <v>80</v>
      </c>
      <c r="BC5" s="304">
        <f t="shared" si="14"/>
        <v>1726.6</v>
      </c>
      <c r="BD5" s="306"/>
      <c r="BE5" s="320"/>
      <c r="BF5" s="321"/>
      <c r="BG5" s="321"/>
      <c r="BH5" s="322" t="s">
        <v>47</v>
      </c>
    </row>
    <row r="6" s="239" customFormat="1" ht="18" customHeight="1" spans="1:60">
      <c r="A6" s="251">
        <v>2</v>
      </c>
      <c r="B6" s="252" t="s">
        <v>39</v>
      </c>
      <c r="C6" s="253" t="s">
        <v>50</v>
      </c>
      <c r="D6" s="254" t="s">
        <v>41</v>
      </c>
      <c r="E6" s="252" t="s">
        <v>51</v>
      </c>
      <c r="F6" s="255" t="s">
        <v>52</v>
      </c>
      <c r="G6" s="325" t="s">
        <v>53</v>
      </c>
      <c r="H6" s="254" t="s">
        <v>45</v>
      </c>
      <c r="I6" s="254" t="s">
        <v>54</v>
      </c>
      <c r="J6" s="254" t="s">
        <v>46</v>
      </c>
      <c r="K6" s="254" t="s">
        <v>54</v>
      </c>
      <c r="L6" s="251">
        <v>3803</v>
      </c>
      <c r="M6" s="251">
        <v>0.14</v>
      </c>
      <c r="N6" s="251">
        <f t="shared" si="0"/>
        <v>532.42</v>
      </c>
      <c r="O6" s="251">
        <v>0.08</v>
      </c>
      <c r="P6" s="251">
        <f t="shared" si="1"/>
        <v>304.24</v>
      </c>
      <c r="Q6" s="251">
        <v>6175</v>
      </c>
      <c r="R6" s="251">
        <v>0.055</v>
      </c>
      <c r="S6" s="251">
        <f t="shared" si="2"/>
        <v>339.63</v>
      </c>
      <c r="T6" s="251">
        <v>0.02</v>
      </c>
      <c r="U6" s="251">
        <f t="shared" si="3"/>
        <v>123.5</v>
      </c>
      <c r="V6" s="251">
        <v>3803</v>
      </c>
      <c r="W6" s="251">
        <v>0.0032</v>
      </c>
      <c r="X6" s="251">
        <f t="shared" si="4"/>
        <v>12.17</v>
      </c>
      <c r="Y6" s="251">
        <v>0.002</v>
      </c>
      <c r="Z6" s="251">
        <f t="shared" si="5"/>
        <v>7.61</v>
      </c>
      <c r="AA6" s="251">
        <v>6175</v>
      </c>
      <c r="AB6" s="251">
        <v>0.0085</v>
      </c>
      <c r="AC6" s="251">
        <f t="shared" ref="AC6:AC8" si="15">ROUND(AA6*AB6,2)</f>
        <v>52.49</v>
      </c>
      <c r="AD6" s="251">
        <v>3803</v>
      </c>
      <c r="AE6" s="251">
        <v>0.0016</v>
      </c>
      <c r="AF6" s="251">
        <f t="shared" si="6"/>
        <v>6.08</v>
      </c>
      <c r="AG6" s="251"/>
      <c r="AH6" s="251"/>
      <c r="AI6" s="251"/>
      <c r="AJ6" s="251"/>
      <c r="AK6" s="251"/>
      <c r="AL6" s="289"/>
      <c r="AM6" s="251"/>
      <c r="AN6" s="251"/>
      <c r="AO6" s="251"/>
      <c r="AP6" s="252"/>
      <c r="AQ6" s="294">
        <v>26.76</v>
      </c>
      <c r="AR6" s="251"/>
      <c r="AS6" s="295">
        <f t="shared" si="7"/>
        <v>969.55</v>
      </c>
      <c r="AT6" s="295">
        <f t="shared" si="8"/>
        <v>435.35</v>
      </c>
      <c r="AU6" s="295">
        <f t="shared" si="9"/>
        <v>0</v>
      </c>
      <c r="AV6" s="295">
        <f t="shared" si="10"/>
        <v>0</v>
      </c>
      <c r="AW6" s="295">
        <f t="shared" si="11"/>
        <v>1404.9</v>
      </c>
      <c r="AX6" s="304">
        <f t="shared" si="12"/>
        <v>1404.9</v>
      </c>
      <c r="AY6" s="304"/>
      <c r="AZ6" s="304">
        <f t="shared" si="13"/>
        <v>0</v>
      </c>
      <c r="BA6" s="304"/>
      <c r="BB6" s="305">
        <v>80</v>
      </c>
      <c r="BC6" s="304">
        <f t="shared" si="14"/>
        <v>1484.9</v>
      </c>
      <c r="BD6" s="306"/>
      <c r="BE6" s="323"/>
      <c r="BF6" s="323"/>
      <c r="BG6" s="323"/>
      <c r="BH6" s="323"/>
    </row>
    <row r="7" s="239" customFormat="1" ht="18" customHeight="1" spans="1:60">
      <c r="A7" s="251"/>
      <c r="B7" s="252" t="s">
        <v>39</v>
      </c>
      <c r="C7" s="253" t="s">
        <v>50</v>
      </c>
      <c r="D7" s="254" t="s">
        <v>41</v>
      </c>
      <c r="E7" s="252" t="s">
        <v>51</v>
      </c>
      <c r="F7" s="255" t="s">
        <v>52</v>
      </c>
      <c r="G7" s="325" t="s">
        <v>53</v>
      </c>
      <c r="H7" s="254" t="s">
        <v>45</v>
      </c>
      <c r="I7" s="254" t="s">
        <v>54</v>
      </c>
      <c r="J7" s="254" t="s">
        <v>48</v>
      </c>
      <c r="K7" s="254" t="s">
        <v>54</v>
      </c>
      <c r="L7" s="251">
        <v>3803</v>
      </c>
      <c r="M7" s="251">
        <v>0.14</v>
      </c>
      <c r="N7" s="251">
        <f t="shared" si="0"/>
        <v>532.42</v>
      </c>
      <c r="O7" s="251">
        <v>0.08</v>
      </c>
      <c r="P7" s="251">
        <f t="shared" si="1"/>
        <v>304.24</v>
      </c>
      <c r="Q7" s="251">
        <v>6175</v>
      </c>
      <c r="R7" s="251">
        <v>0.055</v>
      </c>
      <c r="S7" s="251">
        <f t="shared" si="2"/>
        <v>339.63</v>
      </c>
      <c r="T7" s="251">
        <v>0.02</v>
      </c>
      <c r="U7" s="251">
        <f t="shared" si="3"/>
        <v>123.5</v>
      </c>
      <c r="V7" s="251">
        <v>3803</v>
      </c>
      <c r="W7" s="251">
        <v>0.0032</v>
      </c>
      <c r="X7" s="251">
        <f t="shared" si="4"/>
        <v>12.17</v>
      </c>
      <c r="Y7" s="251">
        <v>0.002</v>
      </c>
      <c r="Z7" s="251">
        <f t="shared" si="5"/>
        <v>7.61</v>
      </c>
      <c r="AA7" s="251">
        <v>6175</v>
      </c>
      <c r="AB7" s="251">
        <v>0.0085</v>
      </c>
      <c r="AC7" s="251">
        <f t="shared" si="15"/>
        <v>52.49</v>
      </c>
      <c r="AD7" s="251">
        <v>3803</v>
      </c>
      <c r="AE7" s="251">
        <v>0.0016</v>
      </c>
      <c r="AF7" s="251">
        <f t="shared" si="6"/>
        <v>6.08</v>
      </c>
      <c r="AG7" s="251"/>
      <c r="AH7" s="251"/>
      <c r="AI7" s="251"/>
      <c r="AJ7" s="251"/>
      <c r="AK7" s="251"/>
      <c r="AL7" s="289"/>
      <c r="AM7" s="251"/>
      <c r="AN7" s="251"/>
      <c r="AO7" s="251"/>
      <c r="AP7" s="252"/>
      <c r="AQ7" s="294">
        <v>26.76</v>
      </c>
      <c r="AR7" s="251"/>
      <c r="AS7" s="295">
        <f t="shared" si="7"/>
        <v>969.55</v>
      </c>
      <c r="AT7" s="295">
        <f t="shared" si="8"/>
        <v>435.35</v>
      </c>
      <c r="AU7" s="295">
        <f t="shared" si="9"/>
        <v>0</v>
      </c>
      <c r="AV7" s="295">
        <f t="shared" si="10"/>
        <v>0</v>
      </c>
      <c r="AW7" s="295">
        <f t="shared" si="11"/>
        <v>1404.9</v>
      </c>
      <c r="AX7" s="304">
        <f t="shared" si="12"/>
        <v>1404.9</v>
      </c>
      <c r="AY7" s="304"/>
      <c r="AZ7" s="304">
        <f t="shared" si="13"/>
        <v>0</v>
      </c>
      <c r="BA7" s="304"/>
      <c r="BB7" s="305">
        <v>80</v>
      </c>
      <c r="BC7" s="304">
        <f t="shared" si="14"/>
        <v>1484.9</v>
      </c>
      <c r="BD7" s="306"/>
      <c r="BE7" s="323"/>
      <c r="BF7" s="323"/>
      <c r="BG7" s="323"/>
      <c r="BH7" s="323"/>
    </row>
    <row r="8" s="239" customFormat="1" ht="18" customHeight="1" spans="1:60">
      <c r="A8" s="251"/>
      <c r="B8" s="252" t="s">
        <v>39</v>
      </c>
      <c r="C8" s="253" t="s">
        <v>50</v>
      </c>
      <c r="D8" s="254" t="s">
        <v>41</v>
      </c>
      <c r="E8" s="252" t="s">
        <v>51</v>
      </c>
      <c r="F8" s="255" t="s">
        <v>52</v>
      </c>
      <c r="G8" s="325" t="s">
        <v>53</v>
      </c>
      <c r="H8" s="254" t="s">
        <v>45</v>
      </c>
      <c r="I8" s="254" t="s">
        <v>54</v>
      </c>
      <c r="J8" s="254" t="s">
        <v>49</v>
      </c>
      <c r="K8" s="254" t="s">
        <v>54</v>
      </c>
      <c r="L8" s="251">
        <v>3803</v>
      </c>
      <c r="M8" s="251">
        <v>0.14</v>
      </c>
      <c r="N8" s="251">
        <f t="shared" si="0"/>
        <v>532.42</v>
      </c>
      <c r="O8" s="251">
        <v>0.08</v>
      </c>
      <c r="P8" s="251">
        <f t="shared" si="1"/>
        <v>304.24</v>
      </c>
      <c r="Q8" s="251">
        <v>6175</v>
      </c>
      <c r="R8" s="251">
        <v>0.055</v>
      </c>
      <c r="S8" s="251">
        <f t="shared" si="2"/>
        <v>339.63</v>
      </c>
      <c r="T8" s="251">
        <v>0.02</v>
      </c>
      <c r="U8" s="251">
        <f t="shared" si="3"/>
        <v>123.5</v>
      </c>
      <c r="V8" s="251">
        <v>3803</v>
      </c>
      <c r="W8" s="251">
        <v>0.0032</v>
      </c>
      <c r="X8" s="251">
        <f t="shared" si="4"/>
        <v>12.17</v>
      </c>
      <c r="Y8" s="251">
        <v>0.002</v>
      </c>
      <c r="Z8" s="251">
        <f t="shared" si="5"/>
        <v>7.61</v>
      </c>
      <c r="AA8" s="251">
        <v>6175</v>
      </c>
      <c r="AB8" s="251">
        <v>0.0085</v>
      </c>
      <c r="AC8" s="251">
        <f t="shared" si="15"/>
        <v>52.49</v>
      </c>
      <c r="AD8" s="251">
        <v>3803</v>
      </c>
      <c r="AE8" s="251">
        <v>0.0016</v>
      </c>
      <c r="AF8" s="251">
        <f t="shared" si="6"/>
        <v>6.08</v>
      </c>
      <c r="AG8" s="251"/>
      <c r="AH8" s="251"/>
      <c r="AI8" s="251"/>
      <c r="AJ8" s="251"/>
      <c r="AK8" s="251"/>
      <c r="AL8" s="289"/>
      <c r="AM8" s="251"/>
      <c r="AN8" s="251"/>
      <c r="AO8" s="251"/>
      <c r="AP8" s="252"/>
      <c r="AQ8" s="294">
        <v>26.76</v>
      </c>
      <c r="AR8" s="251"/>
      <c r="AS8" s="295">
        <f t="shared" si="7"/>
        <v>969.55</v>
      </c>
      <c r="AT8" s="295">
        <f t="shared" si="8"/>
        <v>435.35</v>
      </c>
      <c r="AU8" s="295">
        <f t="shared" si="9"/>
        <v>0</v>
      </c>
      <c r="AV8" s="295">
        <f t="shared" si="10"/>
        <v>0</v>
      </c>
      <c r="AW8" s="295">
        <f t="shared" si="11"/>
        <v>1404.9</v>
      </c>
      <c r="AX8" s="304">
        <f t="shared" si="12"/>
        <v>1404.9</v>
      </c>
      <c r="AY8" s="304"/>
      <c r="AZ8" s="304">
        <f t="shared" si="13"/>
        <v>0</v>
      </c>
      <c r="BA8" s="304"/>
      <c r="BB8" s="305">
        <v>80</v>
      </c>
      <c r="BC8" s="304">
        <f t="shared" si="14"/>
        <v>1484.9</v>
      </c>
      <c r="BD8" s="306"/>
      <c r="BE8" s="323"/>
      <c r="BF8" s="323"/>
      <c r="BG8" s="323"/>
      <c r="BH8" s="323"/>
    </row>
    <row r="9" s="240" customFormat="1" ht="18" customHeight="1" spans="1:60">
      <c r="A9" s="257" t="s">
        <v>55</v>
      </c>
      <c r="B9" s="258" t="s">
        <v>39</v>
      </c>
      <c r="C9" s="259" t="s">
        <v>50</v>
      </c>
      <c r="D9" s="260" t="s">
        <v>41</v>
      </c>
      <c r="E9" s="258" t="s">
        <v>51</v>
      </c>
      <c r="F9" s="261" t="s">
        <v>52</v>
      </c>
      <c r="G9" s="326" t="s">
        <v>53</v>
      </c>
      <c r="H9" s="260" t="s">
        <v>45</v>
      </c>
      <c r="I9" s="260" t="s">
        <v>54</v>
      </c>
      <c r="J9" s="260" t="s">
        <v>56</v>
      </c>
      <c r="K9" s="260" t="s">
        <v>54</v>
      </c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88">
        <f t="shared" ref="AD9:AD11" si="16">3803-3000</f>
        <v>803</v>
      </c>
      <c r="AE9" s="288">
        <v>0.0016</v>
      </c>
      <c r="AF9" s="288">
        <f t="shared" si="6"/>
        <v>1.28</v>
      </c>
      <c r="AG9" s="257"/>
      <c r="AH9" s="257"/>
      <c r="AI9" s="257"/>
      <c r="AJ9" s="257"/>
      <c r="AK9" s="257"/>
      <c r="AL9" s="290"/>
      <c r="AM9" s="257"/>
      <c r="AN9" s="257"/>
      <c r="AO9" s="257"/>
      <c r="AP9" s="258"/>
      <c r="AQ9" s="296"/>
      <c r="AR9" s="257"/>
      <c r="AS9" s="297">
        <f t="shared" si="7"/>
        <v>1.28</v>
      </c>
      <c r="AT9" s="297">
        <f t="shared" si="8"/>
        <v>0</v>
      </c>
      <c r="AU9" s="297">
        <f t="shared" si="9"/>
        <v>0</v>
      </c>
      <c r="AV9" s="297">
        <f t="shared" si="10"/>
        <v>0</v>
      </c>
      <c r="AW9" s="297">
        <f t="shared" si="11"/>
        <v>1.28</v>
      </c>
      <c r="AX9" s="307">
        <f t="shared" si="12"/>
        <v>1.28</v>
      </c>
      <c r="AY9" s="307"/>
      <c r="AZ9" s="307"/>
      <c r="BA9" s="307"/>
      <c r="BB9" s="308"/>
      <c r="BC9" s="307">
        <f t="shared" si="14"/>
        <v>1.28</v>
      </c>
      <c r="BD9" s="309" t="s">
        <v>57</v>
      </c>
      <c r="BE9" s="324"/>
      <c r="BF9" s="324"/>
      <c r="BG9" s="324"/>
      <c r="BH9" s="324"/>
    </row>
    <row r="10" s="240" customFormat="1" ht="18" customHeight="1" spans="1:60">
      <c r="A10" s="257" t="s">
        <v>55</v>
      </c>
      <c r="B10" s="258" t="s">
        <v>39</v>
      </c>
      <c r="C10" s="259" t="s">
        <v>50</v>
      </c>
      <c r="D10" s="260" t="s">
        <v>41</v>
      </c>
      <c r="E10" s="258" t="s">
        <v>51</v>
      </c>
      <c r="F10" s="261" t="s">
        <v>52</v>
      </c>
      <c r="G10" s="326" t="s">
        <v>53</v>
      </c>
      <c r="H10" s="260" t="s">
        <v>45</v>
      </c>
      <c r="I10" s="260" t="s">
        <v>54</v>
      </c>
      <c r="J10" s="260" t="s">
        <v>58</v>
      </c>
      <c r="K10" s="260" t="s">
        <v>54</v>
      </c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88">
        <f t="shared" si="16"/>
        <v>803</v>
      </c>
      <c r="AE10" s="288">
        <v>0.0016</v>
      </c>
      <c r="AF10" s="288">
        <f t="shared" si="6"/>
        <v>1.28</v>
      </c>
      <c r="AG10" s="257"/>
      <c r="AH10" s="257"/>
      <c r="AI10" s="257"/>
      <c r="AJ10" s="257"/>
      <c r="AK10" s="257"/>
      <c r="AL10" s="290"/>
      <c r="AM10" s="257"/>
      <c r="AN10" s="257"/>
      <c r="AO10" s="257"/>
      <c r="AP10" s="258"/>
      <c r="AQ10" s="296"/>
      <c r="AR10" s="257"/>
      <c r="AS10" s="297">
        <f t="shared" si="7"/>
        <v>1.28</v>
      </c>
      <c r="AT10" s="297">
        <f t="shared" si="8"/>
        <v>0</v>
      </c>
      <c r="AU10" s="297">
        <f t="shared" si="9"/>
        <v>0</v>
      </c>
      <c r="AV10" s="297">
        <f t="shared" si="10"/>
        <v>0</v>
      </c>
      <c r="AW10" s="297">
        <f t="shared" si="11"/>
        <v>1.28</v>
      </c>
      <c r="AX10" s="307">
        <f t="shared" si="12"/>
        <v>1.28</v>
      </c>
      <c r="AY10" s="307"/>
      <c r="AZ10" s="307"/>
      <c r="BA10" s="307"/>
      <c r="BB10" s="308"/>
      <c r="BC10" s="307">
        <f t="shared" si="14"/>
        <v>1.28</v>
      </c>
      <c r="BD10" s="309" t="s">
        <v>57</v>
      </c>
      <c r="BE10" s="324"/>
      <c r="BF10" s="324"/>
      <c r="BG10" s="324"/>
      <c r="BH10" s="324"/>
    </row>
    <row r="11" s="240" customFormat="1" ht="18" customHeight="1" spans="1:60">
      <c r="A11" s="257" t="s">
        <v>55</v>
      </c>
      <c r="B11" s="258" t="s">
        <v>39</v>
      </c>
      <c r="C11" s="259" t="s">
        <v>50</v>
      </c>
      <c r="D11" s="260" t="s">
        <v>41</v>
      </c>
      <c r="E11" s="258" t="s">
        <v>51</v>
      </c>
      <c r="F11" s="261" t="s">
        <v>52</v>
      </c>
      <c r="G11" s="326" t="s">
        <v>53</v>
      </c>
      <c r="H11" s="260" t="s">
        <v>45</v>
      </c>
      <c r="I11" s="260" t="s">
        <v>54</v>
      </c>
      <c r="J11" s="260" t="s">
        <v>59</v>
      </c>
      <c r="K11" s="260" t="s">
        <v>54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88">
        <f t="shared" si="16"/>
        <v>803</v>
      </c>
      <c r="AE11" s="288">
        <v>0.0016</v>
      </c>
      <c r="AF11" s="288">
        <f t="shared" si="6"/>
        <v>1.28</v>
      </c>
      <c r="AG11" s="257"/>
      <c r="AH11" s="257"/>
      <c r="AI11" s="257"/>
      <c r="AJ11" s="257"/>
      <c r="AK11" s="257"/>
      <c r="AL11" s="290"/>
      <c r="AM11" s="257"/>
      <c r="AN11" s="257"/>
      <c r="AO11" s="257"/>
      <c r="AP11" s="258"/>
      <c r="AQ11" s="296"/>
      <c r="AR11" s="257"/>
      <c r="AS11" s="297">
        <f t="shared" si="7"/>
        <v>1.28</v>
      </c>
      <c r="AT11" s="297">
        <f t="shared" si="8"/>
        <v>0</v>
      </c>
      <c r="AU11" s="297">
        <f t="shared" si="9"/>
        <v>0</v>
      </c>
      <c r="AV11" s="297">
        <f t="shared" si="10"/>
        <v>0</v>
      </c>
      <c r="AW11" s="297">
        <f t="shared" si="11"/>
        <v>1.28</v>
      </c>
      <c r="AX11" s="307">
        <f t="shared" si="12"/>
        <v>1.28</v>
      </c>
      <c r="AY11" s="307"/>
      <c r="AZ11" s="307"/>
      <c r="BA11" s="307"/>
      <c r="BB11" s="308"/>
      <c r="BC11" s="307">
        <f t="shared" si="14"/>
        <v>1.28</v>
      </c>
      <c r="BD11" s="309" t="s">
        <v>57</v>
      </c>
      <c r="BE11" s="324"/>
      <c r="BF11" s="324"/>
      <c r="BG11" s="324"/>
      <c r="BH11" s="324"/>
    </row>
    <row r="12" s="239" customFormat="1" ht="18" customHeight="1" spans="1:60">
      <c r="A12" s="251">
        <v>3</v>
      </c>
      <c r="B12" s="252" t="s">
        <v>39</v>
      </c>
      <c r="C12" s="253" t="s">
        <v>60</v>
      </c>
      <c r="D12" s="254" t="s">
        <v>41</v>
      </c>
      <c r="E12" s="252" t="s">
        <v>51</v>
      </c>
      <c r="F12" s="255" t="s">
        <v>61</v>
      </c>
      <c r="G12" s="256" t="s">
        <v>62</v>
      </c>
      <c r="H12" s="254" t="s">
        <v>63</v>
      </c>
      <c r="I12" s="254" t="s">
        <v>63</v>
      </c>
      <c r="J12" s="254" t="s">
        <v>48</v>
      </c>
      <c r="K12" s="254" t="s">
        <v>48</v>
      </c>
      <c r="L12" s="251">
        <v>3053.05</v>
      </c>
      <c r="M12" s="251">
        <v>0.16</v>
      </c>
      <c r="N12" s="251">
        <f t="shared" ref="N12:N15" si="17">ROUND(L12*M12,2)</f>
        <v>488.49</v>
      </c>
      <c r="O12" s="251">
        <v>0.08</v>
      </c>
      <c r="P12" s="251">
        <f t="shared" ref="P12:P15" si="18">ROUND(L12*O12,2)</f>
        <v>244.24</v>
      </c>
      <c r="Q12" s="251">
        <v>3053.05</v>
      </c>
      <c r="R12" s="251">
        <v>0.06</v>
      </c>
      <c r="S12" s="251">
        <f t="shared" ref="S12:S15" si="19">ROUND(Q12*R12,2)</f>
        <v>183.18</v>
      </c>
      <c r="T12" s="251">
        <v>0.02</v>
      </c>
      <c r="U12" s="251">
        <f t="shared" ref="U12:U15" si="20">ROUND(Q12*T12,2)</f>
        <v>61.06</v>
      </c>
      <c r="V12" s="251">
        <v>3053.05</v>
      </c>
      <c r="W12" s="251">
        <v>0.007</v>
      </c>
      <c r="X12" s="251">
        <f t="shared" ref="X12:X15" si="21">ROUND(V12*W12,2)</f>
        <v>21.37</v>
      </c>
      <c r="Y12" s="251">
        <v>0.003</v>
      </c>
      <c r="Z12" s="251">
        <f t="shared" ref="Z12:Z15" si="22">ROUND(V12*Y12,2)</f>
        <v>9.16</v>
      </c>
      <c r="AA12" s="251">
        <v>3053.05</v>
      </c>
      <c r="AB12" s="251">
        <v>0.007</v>
      </c>
      <c r="AC12" s="251">
        <f t="shared" ref="AC12:AC15" si="23">ROUND(AA12*AB12,2)</f>
        <v>21.37</v>
      </c>
      <c r="AD12" s="251">
        <v>3053.05</v>
      </c>
      <c r="AE12" s="251">
        <v>0.002</v>
      </c>
      <c r="AF12" s="251">
        <f t="shared" si="6"/>
        <v>6.11</v>
      </c>
      <c r="AG12" s="251" t="s">
        <v>64</v>
      </c>
      <c r="AH12" s="251">
        <v>0.05</v>
      </c>
      <c r="AI12" s="251">
        <f t="shared" ref="AI12:AI15" si="24">ROUND(AG12*AH12,2)</f>
        <v>79</v>
      </c>
      <c r="AJ12" s="251">
        <v>0.05</v>
      </c>
      <c r="AK12" s="251">
        <f t="shared" ref="AK12:AK15" si="25">ROUND(AG12*AJ12,2)</f>
        <v>79</v>
      </c>
      <c r="AL12" s="289"/>
      <c r="AM12" s="251"/>
      <c r="AN12" s="251"/>
      <c r="AO12" s="251"/>
      <c r="AP12" s="252"/>
      <c r="AQ12" s="294"/>
      <c r="AR12" s="251">
        <v>96</v>
      </c>
      <c r="AS12" s="295">
        <f t="shared" si="7"/>
        <v>720.52</v>
      </c>
      <c r="AT12" s="295">
        <f t="shared" si="8"/>
        <v>314.46</v>
      </c>
      <c r="AU12" s="295">
        <f t="shared" si="9"/>
        <v>79</v>
      </c>
      <c r="AV12" s="295">
        <f t="shared" si="10"/>
        <v>79</v>
      </c>
      <c r="AW12" s="295">
        <f t="shared" si="11"/>
        <v>1192.98</v>
      </c>
      <c r="AX12" s="304">
        <f t="shared" si="12"/>
        <v>1034.98</v>
      </c>
      <c r="AY12" s="304"/>
      <c r="AZ12" s="304">
        <f t="shared" ref="AZ12:AZ15" si="26">AU12+AV12</f>
        <v>158</v>
      </c>
      <c r="BA12" s="304"/>
      <c r="BB12" s="305">
        <v>80</v>
      </c>
      <c r="BC12" s="304">
        <f t="shared" si="14"/>
        <v>1272.98</v>
      </c>
      <c r="BD12" s="306"/>
      <c r="BE12" s="323"/>
      <c r="BF12" s="323"/>
      <c r="BG12" s="323"/>
      <c r="BH12" s="323"/>
    </row>
    <row r="13" s="239" customFormat="1" ht="18" customHeight="1" spans="1:60">
      <c r="A13" s="251"/>
      <c r="B13" s="252" t="s">
        <v>39</v>
      </c>
      <c r="C13" s="253" t="s">
        <v>60</v>
      </c>
      <c r="D13" s="254" t="s">
        <v>41</v>
      </c>
      <c r="E13" s="252" t="s">
        <v>51</v>
      </c>
      <c r="F13" s="255" t="s">
        <v>61</v>
      </c>
      <c r="G13" s="256" t="s">
        <v>62</v>
      </c>
      <c r="H13" s="254" t="s">
        <v>63</v>
      </c>
      <c r="I13" s="254" t="s">
        <v>63</v>
      </c>
      <c r="J13" s="254" t="s">
        <v>49</v>
      </c>
      <c r="K13" s="254" t="s">
        <v>49</v>
      </c>
      <c r="L13" s="251">
        <v>3053.05</v>
      </c>
      <c r="M13" s="251">
        <v>0.16</v>
      </c>
      <c r="N13" s="251">
        <f t="shared" si="17"/>
        <v>488.49</v>
      </c>
      <c r="O13" s="251">
        <v>0.08</v>
      </c>
      <c r="P13" s="251">
        <f t="shared" si="18"/>
        <v>244.24</v>
      </c>
      <c r="Q13" s="251">
        <v>3053.05</v>
      </c>
      <c r="R13" s="251">
        <v>0.06</v>
      </c>
      <c r="S13" s="251">
        <f t="shared" si="19"/>
        <v>183.18</v>
      </c>
      <c r="T13" s="251">
        <v>0.02</v>
      </c>
      <c r="U13" s="251">
        <f t="shared" si="20"/>
        <v>61.06</v>
      </c>
      <c r="V13" s="251">
        <v>3053.05</v>
      </c>
      <c r="W13" s="251">
        <v>0.007</v>
      </c>
      <c r="X13" s="251">
        <f t="shared" si="21"/>
        <v>21.37</v>
      </c>
      <c r="Y13" s="251">
        <v>0.003</v>
      </c>
      <c r="Z13" s="251">
        <f t="shared" si="22"/>
        <v>9.16</v>
      </c>
      <c r="AA13" s="251">
        <v>3053.05</v>
      </c>
      <c r="AB13" s="251">
        <v>0.007</v>
      </c>
      <c r="AC13" s="251">
        <f t="shared" si="23"/>
        <v>21.37</v>
      </c>
      <c r="AD13" s="251">
        <v>3053.05</v>
      </c>
      <c r="AE13" s="251">
        <v>0.002</v>
      </c>
      <c r="AF13" s="251">
        <f t="shared" si="6"/>
        <v>6.11</v>
      </c>
      <c r="AG13" s="251" t="s">
        <v>64</v>
      </c>
      <c r="AH13" s="251">
        <v>0.05</v>
      </c>
      <c r="AI13" s="251">
        <f t="shared" si="24"/>
        <v>79</v>
      </c>
      <c r="AJ13" s="251">
        <v>0.05</v>
      </c>
      <c r="AK13" s="251">
        <f t="shared" si="25"/>
        <v>79</v>
      </c>
      <c r="AL13" s="289"/>
      <c r="AM13" s="251"/>
      <c r="AN13" s="251"/>
      <c r="AO13" s="251"/>
      <c r="AP13" s="252"/>
      <c r="AQ13" s="294"/>
      <c r="AR13" s="294"/>
      <c r="AS13" s="295">
        <f t="shared" si="7"/>
        <v>720.52</v>
      </c>
      <c r="AT13" s="295">
        <f t="shared" si="8"/>
        <v>314.46</v>
      </c>
      <c r="AU13" s="295">
        <f t="shared" si="9"/>
        <v>79</v>
      </c>
      <c r="AV13" s="295">
        <f t="shared" si="10"/>
        <v>79</v>
      </c>
      <c r="AW13" s="295">
        <f t="shared" si="11"/>
        <v>1192.98</v>
      </c>
      <c r="AX13" s="304">
        <f t="shared" si="12"/>
        <v>1034.98</v>
      </c>
      <c r="AY13" s="304"/>
      <c r="AZ13" s="304">
        <f t="shared" si="26"/>
        <v>158</v>
      </c>
      <c r="BA13" s="304"/>
      <c r="BB13" s="305">
        <v>80</v>
      </c>
      <c r="BC13" s="304">
        <f t="shared" si="14"/>
        <v>1272.98</v>
      </c>
      <c r="BD13" s="306"/>
      <c r="BE13" s="323"/>
      <c r="BF13" s="323"/>
      <c r="BG13" s="323"/>
      <c r="BH13" s="323"/>
    </row>
    <row r="14" s="239" customFormat="1" ht="18" customHeight="1" spans="1:60">
      <c r="A14" s="251"/>
      <c r="B14" s="252" t="s">
        <v>39</v>
      </c>
      <c r="C14" s="253" t="s">
        <v>60</v>
      </c>
      <c r="D14" s="254" t="s">
        <v>41</v>
      </c>
      <c r="E14" s="252" t="s">
        <v>51</v>
      </c>
      <c r="F14" s="255" t="s">
        <v>61</v>
      </c>
      <c r="G14" s="256" t="s">
        <v>62</v>
      </c>
      <c r="H14" s="254" t="s">
        <v>63</v>
      </c>
      <c r="I14" s="254" t="s">
        <v>63</v>
      </c>
      <c r="J14" s="254" t="s">
        <v>65</v>
      </c>
      <c r="K14" s="254" t="s">
        <v>65</v>
      </c>
      <c r="L14" s="251">
        <v>3053.05</v>
      </c>
      <c r="M14" s="251">
        <v>0.16</v>
      </c>
      <c r="N14" s="251">
        <f t="shared" si="17"/>
        <v>488.49</v>
      </c>
      <c r="O14" s="251">
        <v>0.08</v>
      </c>
      <c r="P14" s="251">
        <f t="shared" si="18"/>
        <v>244.24</v>
      </c>
      <c r="Q14" s="251">
        <v>3053.05</v>
      </c>
      <c r="R14" s="251">
        <v>0.06</v>
      </c>
      <c r="S14" s="251">
        <f t="shared" si="19"/>
        <v>183.18</v>
      </c>
      <c r="T14" s="251">
        <v>0.02</v>
      </c>
      <c r="U14" s="251">
        <f t="shared" si="20"/>
        <v>61.06</v>
      </c>
      <c r="V14" s="251">
        <v>3053.05</v>
      </c>
      <c r="W14" s="251">
        <v>0.007</v>
      </c>
      <c r="X14" s="251">
        <f t="shared" si="21"/>
        <v>21.37</v>
      </c>
      <c r="Y14" s="251">
        <v>0.003</v>
      </c>
      <c r="Z14" s="251">
        <f t="shared" si="22"/>
        <v>9.16</v>
      </c>
      <c r="AA14" s="251">
        <v>3053.05</v>
      </c>
      <c r="AB14" s="251">
        <v>0.007</v>
      </c>
      <c r="AC14" s="251">
        <f t="shared" si="23"/>
        <v>21.37</v>
      </c>
      <c r="AD14" s="251">
        <v>3053.05</v>
      </c>
      <c r="AE14" s="251">
        <v>0.002</v>
      </c>
      <c r="AF14" s="251">
        <f t="shared" si="6"/>
        <v>6.11</v>
      </c>
      <c r="AG14" s="251" t="s">
        <v>64</v>
      </c>
      <c r="AH14" s="251">
        <v>0.05</v>
      </c>
      <c r="AI14" s="251">
        <f t="shared" si="24"/>
        <v>79</v>
      </c>
      <c r="AJ14" s="251">
        <v>0.05</v>
      </c>
      <c r="AK14" s="251">
        <f t="shared" si="25"/>
        <v>79</v>
      </c>
      <c r="AL14" s="289"/>
      <c r="AM14" s="251"/>
      <c r="AN14" s="251"/>
      <c r="AO14" s="251"/>
      <c r="AP14" s="252"/>
      <c r="AQ14" s="294"/>
      <c r="AR14" s="294"/>
      <c r="AS14" s="295">
        <f t="shared" si="7"/>
        <v>720.52</v>
      </c>
      <c r="AT14" s="295">
        <f t="shared" si="8"/>
        <v>314.46</v>
      </c>
      <c r="AU14" s="295">
        <f t="shared" si="9"/>
        <v>79</v>
      </c>
      <c r="AV14" s="295">
        <f t="shared" si="10"/>
        <v>79</v>
      </c>
      <c r="AW14" s="295">
        <f t="shared" si="11"/>
        <v>1192.98</v>
      </c>
      <c r="AX14" s="304">
        <f t="shared" si="12"/>
        <v>1034.98</v>
      </c>
      <c r="AY14" s="304"/>
      <c r="AZ14" s="304">
        <f t="shared" si="26"/>
        <v>158</v>
      </c>
      <c r="BA14" s="304"/>
      <c r="BB14" s="305">
        <v>80</v>
      </c>
      <c r="BC14" s="304">
        <f t="shared" si="14"/>
        <v>1272.98</v>
      </c>
      <c r="BD14" s="306"/>
      <c r="BE14" s="323"/>
      <c r="BF14" s="323"/>
      <c r="BG14" s="323"/>
      <c r="BH14" s="323"/>
    </row>
    <row r="15" s="240" customFormat="1" ht="18" customHeight="1" spans="1:60">
      <c r="A15" s="257" t="s">
        <v>55</v>
      </c>
      <c r="B15" s="258" t="s">
        <v>39</v>
      </c>
      <c r="C15" s="259" t="s">
        <v>60</v>
      </c>
      <c r="D15" s="260" t="s">
        <v>41</v>
      </c>
      <c r="E15" s="258" t="s">
        <v>51</v>
      </c>
      <c r="F15" s="261" t="s">
        <v>61</v>
      </c>
      <c r="G15" s="262" t="s">
        <v>62</v>
      </c>
      <c r="H15" s="260" t="s">
        <v>63</v>
      </c>
      <c r="I15" s="260" t="s">
        <v>63</v>
      </c>
      <c r="J15" s="260" t="s">
        <v>63</v>
      </c>
      <c r="K15" s="260" t="s">
        <v>63</v>
      </c>
      <c r="L15" s="257">
        <v>3053.05</v>
      </c>
      <c r="M15" s="257">
        <v>0.16</v>
      </c>
      <c r="N15" s="257">
        <f t="shared" si="17"/>
        <v>488.49</v>
      </c>
      <c r="O15" s="257">
        <v>0.08</v>
      </c>
      <c r="P15" s="257">
        <f t="shared" si="18"/>
        <v>244.24</v>
      </c>
      <c r="Q15" s="257">
        <v>3053.05</v>
      </c>
      <c r="R15" s="257">
        <v>0.06</v>
      </c>
      <c r="S15" s="257">
        <f t="shared" si="19"/>
        <v>183.18</v>
      </c>
      <c r="T15" s="257">
        <v>0.02</v>
      </c>
      <c r="U15" s="257">
        <f t="shared" si="20"/>
        <v>61.06</v>
      </c>
      <c r="V15" s="257">
        <v>3053.05</v>
      </c>
      <c r="W15" s="257">
        <v>0.007</v>
      </c>
      <c r="X15" s="257">
        <f t="shared" si="21"/>
        <v>21.37</v>
      </c>
      <c r="Y15" s="257">
        <v>0.003</v>
      </c>
      <c r="Z15" s="257">
        <f t="shared" si="22"/>
        <v>9.16</v>
      </c>
      <c r="AA15" s="257">
        <v>3053.05</v>
      </c>
      <c r="AB15" s="257">
        <v>0.007</v>
      </c>
      <c r="AC15" s="257">
        <f t="shared" si="23"/>
        <v>21.37</v>
      </c>
      <c r="AD15" s="257">
        <v>3053.05</v>
      </c>
      <c r="AE15" s="257">
        <v>0.002</v>
      </c>
      <c r="AF15" s="257">
        <f t="shared" si="6"/>
        <v>6.11</v>
      </c>
      <c r="AG15" s="257" t="s">
        <v>64</v>
      </c>
      <c r="AH15" s="257">
        <v>0.05</v>
      </c>
      <c r="AI15" s="257">
        <f t="shared" si="24"/>
        <v>79</v>
      </c>
      <c r="AJ15" s="257">
        <v>0.05</v>
      </c>
      <c r="AK15" s="257">
        <f t="shared" si="25"/>
        <v>79</v>
      </c>
      <c r="AL15" s="290"/>
      <c r="AM15" s="257"/>
      <c r="AN15" s="257"/>
      <c r="AO15" s="257"/>
      <c r="AP15" s="258"/>
      <c r="AQ15" s="296"/>
      <c r="AR15" s="296"/>
      <c r="AS15" s="297">
        <f t="shared" si="7"/>
        <v>720.52</v>
      </c>
      <c r="AT15" s="297">
        <f t="shared" si="8"/>
        <v>314.46</v>
      </c>
      <c r="AU15" s="297">
        <f t="shared" si="9"/>
        <v>79</v>
      </c>
      <c r="AV15" s="297">
        <f t="shared" si="10"/>
        <v>79</v>
      </c>
      <c r="AW15" s="297">
        <f t="shared" si="11"/>
        <v>1192.98</v>
      </c>
      <c r="AX15" s="307">
        <f t="shared" si="12"/>
        <v>1034.98</v>
      </c>
      <c r="AY15" s="307"/>
      <c r="AZ15" s="307">
        <f t="shared" si="26"/>
        <v>158</v>
      </c>
      <c r="BA15" s="307"/>
      <c r="BB15" s="308">
        <v>80</v>
      </c>
      <c r="BC15" s="307">
        <f t="shared" si="14"/>
        <v>1272.98</v>
      </c>
      <c r="BD15" s="309"/>
      <c r="BE15" s="324"/>
      <c r="BF15" s="324"/>
      <c r="BG15" s="324"/>
      <c r="BH15" s="324"/>
    </row>
    <row r="16" s="241" customFormat="1" ht="18" customHeight="1" spans="1:60">
      <c r="A16" s="263"/>
      <c r="B16" s="264"/>
      <c r="C16" s="265"/>
      <c r="D16" s="266"/>
      <c r="E16" s="267"/>
      <c r="F16" s="268"/>
      <c r="G16" s="269"/>
      <c r="H16" s="270"/>
      <c r="I16" s="266"/>
      <c r="J16" s="270"/>
      <c r="K16" s="270"/>
      <c r="L16" s="283"/>
      <c r="M16" s="283"/>
      <c r="N16" s="284"/>
      <c r="O16" s="283"/>
      <c r="P16" s="283"/>
      <c r="Q16" s="283"/>
      <c r="R16" s="283"/>
      <c r="S16" s="283"/>
      <c r="T16" s="283"/>
      <c r="U16" s="283"/>
      <c r="V16" s="286"/>
      <c r="W16" s="286"/>
      <c r="X16" s="287"/>
      <c r="Y16" s="286"/>
      <c r="Z16" s="283"/>
      <c r="AA16" s="283"/>
      <c r="AB16" s="283"/>
      <c r="AC16" s="283"/>
      <c r="AD16" s="283"/>
      <c r="AE16" s="283"/>
      <c r="AF16" s="284"/>
      <c r="AG16" s="283"/>
      <c r="AH16" s="283"/>
      <c r="AI16" s="283"/>
      <c r="AJ16" s="283"/>
      <c r="AK16" s="283"/>
      <c r="AL16" s="291"/>
      <c r="AM16" s="283"/>
      <c r="AN16" s="283"/>
      <c r="AO16" s="283"/>
      <c r="AP16" s="298"/>
      <c r="AQ16" s="299"/>
      <c r="AR16" s="283"/>
      <c r="AS16" s="300"/>
      <c r="AT16" s="300"/>
      <c r="AU16" s="300"/>
      <c r="AV16" s="300"/>
      <c r="AW16" s="300"/>
      <c r="AX16" s="310"/>
      <c r="AY16" s="311"/>
      <c r="AZ16" s="310"/>
      <c r="BA16" s="311"/>
      <c r="BB16" s="312"/>
      <c r="BC16" s="310"/>
      <c r="BD16" s="313"/>
      <c r="BE16" s="244"/>
      <c r="BF16" s="244"/>
      <c r="BG16" s="244"/>
      <c r="BH16" s="244"/>
    </row>
    <row r="17" ht="14.25" spans="1:56">
      <c r="A17" s="271" t="s">
        <v>66</v>
      </c>
      <c r="B17" s="272"/>
      <c r="C17" s="273"/>
      <c r="D17" s="273"/>
      <c r="E17" s="274"/>
      <c r="F17" s="273"/>
      <c r="G17" s="273"/>
      <c r="H17" s="273"/>
      <c r="I17" s="273"/>
      <c r="J17" s="273"/>
      <c r="K17" s="273"/>
      <c r="L17" s="274">
        <f t="shared" ref="L17:BC17" si="27">SUM(L3:L15)</f>
        <v>33521.2</v>
      </c>
      <c r="M17" s="274">
        <f t="shared" si="27"/>
        <v>1.54</v>
      </c>
      <c r="N17" s="274">
        <f t="shared" si="27"/>
        <v>5135.22</v>
      </c>
      <c r="O17" s="274">
        <f t="shared" si="27"/>
        <v>0.8</v>
      </c>
      <c r="P17" s="274">
        <f t="shared" si="27"/>
        <v>2681.68</v>
      </c>
      <c r="Q17" s="274">
        <f t="shared" si="27"/>
        <v>40637.2</v>
      </c>
      <c r="R17" s="274">
        <f t="shared" si="27"/>
        <v>0.645</v>
      </c>
      <c r="S17" s="274">
        <f t="shared" si="27"/>
        <v>2543.61</v>
      </c>
      <c r="T17" s="274">
        <f t="shared" si="27"/>
        <v>0.2</v>
      </c>
      <c r="U17" s="274">
        <f t="shared" si="27"/>
        <v>812.74</v>
      </c>
      <c r="V17" s="274">
        <f t="shared" si="27"/>
        <v>33521.2</v>
      </c>
      <c r="W17" s="274">
        <f t="shared" si="27"/>
        <v>0.0586</v>
      </c>
      <c r="X17" s="274">
        <f t="shared" si="27"/>
        <v>191.29</v>
      </c>
      <c r="Y17" s="274">
        <f t="shared" si="27"/>
        <v>0.027</v>
      </c>
      <c r="Z17" s="274">
        <f t="shared" si="27"/>
        <v>89.17</v>
      </c>
      <c r="AA17" s="274">
        <f t="shared" si="27"/>
        <v>30737.2</v>
      </c>
      <c r="AB17" s="274">
        <f t="shared" si="27"/>
        <v>0.0535</v>
      </c>
      <c r="AC17" s="274">
        <f t="shared" si="27"/>
        <v>242.95</v>
      </c>
      <c r="AD17" s="274">
        <f t="shared" si="27"/>
        <v>35930.2</v>
      </c>
      <c r="AE17" s="274">
        <f t="shared" si="27"/>
        <v>0.0236</v>
      </c>
      <c r="AF17" s="274">
        <f t="shared" si="27"/>
        <v>66.32</v>
      </c>
      <c r="AG17" s="274">
        <f t="shared" si="27"/>
        <v>9000</v>
      </c>
      <c r="AH17" s="274">
        <f t="shared" si="27"/>
        <v>0.5</v>
      </c>
      <c r="AI17" s="274">
        <f t="shared" si="27"/>
        <v>1216</v>
      </c>
      <c r="AJ17" s="274">
        <f t="shared" si="27"/>
        <v>0.38</v>
      </c>
      <c r="AK17" s="274">
        <f t="shared" si="27"/>
        <v>856</v>
      </c>
      <c r="AL17" s="274">
        <f t="shared" si="27"/>
        <v>0</v>
      </c>
      <c r="AM17" s="274">
        <f t="shared" si="27"/>
        <v>0</v>
      </c>
      <c r="AN17" s="274">
        <f t="shared" si="27"/>
        <v>0</v>
      </c>
      <c r="AO17" s="274">
        <f t="shared" si="27"/>
        <v>0</v>
      </c>
      <c r="AP17" s="274">
        <f t="shared" si="27"/>
        <v>0</v>
      </c>
      <c r="AQ17" s="274">
        <f t="shared" si="27"/>
        <v>95.28</v>
      </c>
      <c r="AR17" s="274">
        <f t="shared" si="27"/>
        <v>96</v>
      </c>
      <c r="AS17" s="274">
        <f t="shared" si="27"/>
        <v>8274.67</v>
      </c>
      <c r="AT17" s="274">
        <f t="shared" si="27"/>
        <v>3583.59</v>
      </c>
      <c r="AU17" s="274">
        <f t="shared" si="27"/>
        <v>1216</v>
      </c>
      <c r="AV17" s="274">
        <f t="shared" si="27"/>
        <v>856</v>
      </c>
      <c r="AW17" s="274">
        <f t="shared" si="27"/>
        <v>13930.26</v>
      </c>
      <c r="AX17" s="274">
        <f t="shared" si="27"/>
        <v>11858.26</v>
      </c>
      <c r="AY17" s="274">
        <f t="shared" si="27"/>
        <v>0</v>
      </c>
      <c r="AZ17" s="274">
        <f t="shared" si="27"/>
        <v>2072</v>
      </c>
      <c r="BA17" s="274">
        <f t="shared" si="27"/>
        <v>0</v>
      </c>
      <c r="BB17" s="274">
        <f t="shared" si="27"/>
        <v>800</v>
      </c>
      <c r="BC17" s="274">
        <f t="shared" si="27"/>
        <v>14730.26</v>
      </c>
      <c r="BD17" s="314"/>
    </row>
    <row r="18" ht="15" spans="1:56">
      <c r="A18" s="275" t="s">
        <v>23</v>
      </c>
      <c r="B18" s="276"/>
      <c r="C18" s="277"/>
      <c r="D18" s="277"/>
      <c r="E18" s="278"/>
      <c r="F18" s="278"/>
      <c r="G18" s="278"/>
      <c r="H18" s="278"/>
      <c r="I18" s="278"/>
      <c r="J18" s="278"/>
      <c r="K18" s="278"/>
      <c r="L18" s="285">
        <f t="shared" ref="L18:AX18" si="28">SUM(L17:L17)</f>
        <v>33521.2</v>
      </c>
      <c r="M18" s="285">
        <f t="shared" si="28"/>
        <v>1.54</v>
      </c>
      <c r="N18" s="285">
        <f t="shared" si="28"/>
        <v>5135.22</v>
      </c>
      <c r="O18" s="285">
        <f t="shared" si="28"/>
        <v>0.8</v>
      </c>
      <c r="P18" s="285">
        <f t="shared" si="28"/>
        <v>2681.68</v>
      </c>
      <c r="Q18" s="285">
        <f t="shared" si="28"/>
        <v>40637.2</v>
      </c>
      <c r="R18" s="285">
        <f t="shared" si="28"/>
        <v>0.645</v>
      </c>
      <c r="S18" s="285">
        <f t="shared" si="28"/>
        <v>2543.61</v>
      </c>
      <c r="T18" s="285">
        <f t="shared" si="28"/>
        <v>0.2</v>
      </c>
      <c r="U18" s="285">
        <f t="shared" si="28"/>
        <v>812.74</v>
      </c>
      <c r="V18" s="285">
        <f t="shared" si="28"/>
        <v>33521.2</v>
      </c>
      <c r="W18" s="285">
        <f t="shared" si="28"/>
        <v>0.0586</v>
      </c>
      <c r="X18" s="285">
        <f t="shared" si="28"/>
        <v>191.29</v>
      </c>
      <c r="Y18" s="285">
        <f t="shared" si="28"/>
        <v>0.027</v>
      </c>
      <c r="Z18" s="285">
        <f t="shared" si="28"/>
        <v>89.17</v>
      </c>
      <c r="AA18" s="285">
        <f t="shared" si="28"/>
        <v>30737.2</v>
      </c>
      <c r="AB18" s="285">
        <f t="shared" si="28"/>
        <v>0.0535</v>
      </c>
      <c r="AC18" s="285">
        <f t="shared" si="28"/>
        <v>242.95</v>
      </c>
      <c r="AD18" s="285">
        <f t="shared" si="28"/>
        <v>35930.2</v>
      </c>
      <c r="AE18" s="285">
        <f t="shared" si="28"/>
        <v>0.0236</v>
      </c>
      <c r="AF18" s="285">
        <f t="shared" si="28"/>
        <v>66.32</v>
      </c>
      <c r="AG18" s="285">
        <f t="shared" si="28"/>
        <v>9000</v>
      </c>
      <c r="AH18" s="285">
        <f t="shared" si="28"/>
        <v>0.5</v>
      </c>
      <c r="AI18" s="285">
        <f t="shared" si="28"/>
        <v>1216</v>
      </c>
      <c r="AJ18" s="285">
        <f t="shared" si="28"/>
        <v>0.38</v>
      </c>
      <c r="AK18" s="285">
        <f t="shared" si="28"/>
        <v>856</v>
      </c>
      <c r="AL18" s="285">
        <f t="shared" si="28"/>
        <v>0</v>
      </c>
      <c r="AM18" s="285">
        <f t="shared" si="28"/>
        <v>0</v>
      </c>
      <c r="AN18" s="285">
        <f t="shared" si="28"/>
        <v>0</v>
      </c>
      <c r="AO18" s="285">
        <f t="shared" si="28"/>
        <v>0</v>
      </c>
      <c r="AP18" s="285">
        <f t="shared" si="28"/>
        <v>0</v>
      </c>
      <c r="AQ18" s="285">
        <f t="shared" si="28"/>
        <v>95.28</v>
      </c>
      <c r="AR18" s="285">
        <f t="shared" si="28"/>
        <v>96</v>
      </c>
      <c r="AS18" s="301">
        <f t="shared" si="28"/>
        <v>8274.67</v>
      </c>
      <c r="AT18" s="301">
        <f t="shared" si="28"/>
        <v>3583.59</v>
      </c>
      <c r="AU18" s="301">
        <f t="shared" si="28"/>
        <v>1216</v>
      </c>
      <c r="AV18" s="301">
        <f t="shared" si="28"/>
        <v>856</v>
      </c>
      <c r="AW18" s="301">
        <f t="shared" si="28"/>
        <v>13930.26</v>
      </c>
      <c r="AX18" s="315">
        <f t="shared" si="28"/>
        <v>11858.26</v>
      </c>
      <c r="AY18" s="315"/>
      <c r="AZ18" s="315">
        <f t="shared" ref="AZ18:BC18" si="29">SUM(AZ17:AZ17)</f>
        <v>2072</v>
      </c>
      <c r="BA18" s="315"/>
      <c r="BB18" s="285">
        <f t="shared" si="29"/>
        <v>800</v>
      </c>
      <c r="BC18" s="285">
        <f t="shared" si="29"/>
        <v>14730.26</v>
      </c>
      <c r="BD18" s="316"/>
    </row>
    <row r="19" s="242" customFormat="1" spans="1:56">
      <c r="A19" s="279"/>
      <c r="B19" s="279"/>
      <c r="C19" s="279"/>
      <c r="D19" s="279"/>
      <c r="E19" s="279"/>
      <c r="F19" s="280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302"/>
      <c r="AT19" s="302"/>
      <c r="AU19" s="302"/>
      <c r="AV19" s="302"/>
      <c r="AW19" s="302"/>
      <c r="AX19" s="279"/>
      <c r="AY19" s="279"/>
      <c r="AZ19" s="279"/>
      <c r="BA19" s="279"/>
      <c r="BB19" s="279"/>
      <c r="BC19" s="279"/>
      <c r="BD19" s="317"/>
    </row>
    <row r="20" s="243" customFormat="1" spans="1:56">
      <c r="A20" s="244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44"/>
      <c r="AK20" s="244"/>
      <c r="AL20" s="244"/>
      <c r="AM20" s="244"/>
      <c r="AN20" s="244"/>
      <c r="AO20" s="244"/>
      <c r="AP20" s="244"/>
      <c r="AQ20" s="244"/>
      <c r="AR20" s="244"/>
      <c r="AS20" s="245"/>
      <c r="AT20" s="245"/>
      <c r="AU20" s="245"/>
      <c r="AV20" s="245"/>
      <c r="AW20" s="245"/>
      <c r="AX20" s="244"/>
      <c r="AY20" s="244"/>
      <c r="AZ20" s="244"/>
      <c r="BA20" s="244"/>
      <c r="BB20" s="244"/>
      <c r="BC20" s="244"/>
      <c r="BD20" s="246"/>
    </row>
    <row r="22" spans="50:55">
      <c r="AX22" s="318"/>
      <c r="AY22" s="318"/>
      <c r="BC22" s="319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175.86</v>
      </c>
      <c r="O4" s="72">
        <v>11.98</v>
      </c>
      <c r="P4" s="72">
        <v>177.4</v>
      </c>
      <c r="Q4" s="73">
        <f>ROUND(SUM(M4:P4),2)</f>
        <v>684.7</v>
      </c>
      <c r="R4" s="73">
        <v>0</v>
      </c>
      <c r="S4" s="94">
        <f>L4</f>
        <v>8000</v>
      </c>
      <c r="T4" s="95">
        <v>5000</v>
      </c>
      <c r="U4" s="95">
        <f>Q4</f>
        <v>684.7</v>
      </c>
      <c r="V4" s="73"/>
      <c r="W4" s="73"/>
      <c r="X4" s="73"/>
      <c r="Y4" s="73"/>
      <c r="Z4" s="73"/>
      <c r="AA4" s="73"/>
      <c r="AB4" s="94">
        <f>ROUND(SUM(V4:AA4),2)</f>
        <v>0</v>
      </c>
      <c r="AC4" s="94">
        <f>R4</f>
        <v>0</v>
      </c>
      <c r="AD4" s="100">
        <f>ROUND(S4-T4-U4-AB4-AC4,2)</f>
        <v>2315.3</v>
      </c>
      <c r="AE4" s="101">
        <f>ROUND(MAX((AD4)*{0.03;0.1;0.2;0.25;0.3;0.35;0.45}-{0;2520;16920;31920;52920;85920;181920},0),2)</f>
        <v>69.46</v>
      </c>
      <c r="AF4" s="102">
        <v>0</v>
      </c>
      <c r="AG4" s="102">
        <f>IF((AE4-AF4)&lt;0,0,AE4-AF4)</f>
        <v>69.46</v>
      </c>
      <c r="AH4" s="111">
        <f>ROUND(IF((L4-Q4-AG4)&lt;0,0,(L4-Q4-AG4)),2)</f>
        <v>7245.84</v>
      </c>
      <c r="AI4" s="110"/>
      <c r="AJ4" s="111">
        <f>AH4+AI4</f>
        <v>7245.84</v>
      </c>
      <c r="AK4" s="111"/>
      <c r="AL4" s="111">
        <f>AJ4+AG4+AK4</f>
        <v>7315.3</v>
      </c>
      <c r="AM4" s="111"/>
      <c r="AN4" s="111"/>
      <c r="AO4" s="111"/>
      <c r="AP4" s="111"/>
      <c r="AQ4" s="111"/>
      <c r="AR4" s="11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9" t="str">
        <f>IF(SUMPRODUCT(N(E$1:E$18=E4))&gt;1,"重复","不")</f>
        <v>不</v>
      </c>
      <c r="AT4" s="119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127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73">
        <f t="shared" ref="Q5:Q19" si="0">ROUND(SUM(M5:P5),2)</f>
        <v>655.8</v>
      </c>
      <c r="R5" s="73">
        <v>0</v>
      </c>
      <c r="S5" s="94">
        <f t="shared" ref="S5:S21" si="1">L5</f>
        <v>5700</v>
      </c>
      <c r="T5" s="95">
        <v>5000</v>
      </c>
      <c r="U5" s="95">
        <f t="shared" ref="U5:U21" si="2">Q5</f>
        <v>655.8</v>
      </c>
      <c r="V5" s="73"/>
      <c r="W5" s="73"/>
      <c r="X5" s="73"/>
      <c r="Y5" s="73"/>
      <c r="Z5" s="73"/>
      <c r="AA5" s="73"/>
      <c r="AB5" s="94">
        <f t="shared" ref="AB5:AB21" si="3">ROUND(SUM(V5:AA5),2)</f>
        <v>0</v>
      </c>
      <c r="AC5" s="94">
        <f t="shared" ref="AC5:AC21" si="4">R5</f>
        <v>0</v>
      </c>
      <c r="AD5" s="100">
        <f t="shared" ref="AD5:AD21" si="5">ROUND(S5-T5-U5-AB5-AC5,2)</f>
        <v>44.2</v>
      </c>
      <c r="AE5" s="101">
        <f>ROUND(MAX((AD5)*{0.03;0.1;0.2;0.25;0.3;0.35;0.45}-{0;2520;16920;31920;52920;85920;181920},0),2)</f>
        <v>1.33</v>
      </c>
      <c r="AF5" s="102">
        <v>0</v>
      </c>
      <c r="AG5" s="102">
        <f t="shared" ref="AG5:AG21" si="6">IF((AE5-AF5)&lt;0,0,AE5-AF5)</f>
        <v>1.33</v>
      </c>
      <c r="AH5" s="111">
        <f t="shared" ref="AH5:AH21" si="7">ROUND(IF((L5-Q5-AG5)&lt;0,0,(L5-Q5-AG5)),2)</f>
        <v>5042.87</v>
      </c>
      <c r="AI5" s="110"/>
      <c r="AJ5" s="111">
        <f t="shared" ref="AJ5:AJ21" si="8">AH5+AI5</f>
        <v>5042.87</v>
      </c>
      <c r="AK5" s="111"/>
      <c r="AL5" s="111">
        <f t="shared" ref="AL5:AL21" si="9">AJ5+AG5+AK5</f>
        <v>5044.2</v>
      </c>
      <c r="AM5" s="111"/>
      <c r="AN5" s="111"/>
      <c r="AO5" s="111"/>
      <c r="AP5" s="111"/>
      <c r="AQ5" s="111"/>
      <c r="AR5" s="119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9" t="str">
        <f t="shared" ref="AS5:AS21" si="11">IF(SUMPRODUCT(N(E$1:E$18=E5))&gt;1,"重复","不")</f>
        <v>不</v>
      </c>
      <c r="AT5" s="119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127" t="s">
        <v>144</v>
      </c>
      <c r="G6" s="41" t="s">
        <v>151</v>
      </c>
      <c r="H6" s="40"/>
      <c r="I6" s="40"/>
      <c r="J6" s="70"/>
      <c r="K6" s="40"/>
      <c r="L6" s="73">
        <v>30060</v>
      </c>
      <c r="M6" s="72">
        <v>584.8</v>
      </c>
      <c r="N6" s="72">
        <v>146.2</v>
      </c>
      <c r="O6" s="72">
        <v>36.55</v>
      </c>
      <c r="P6" s="72">
        <v>181</v>
      </c>
      <c r="Q6" s="73">
        <f t="shared" si="0"/>
        <v>948.55</v>
      </c>
      <c r="R6" s="73">
        <v>0</v>
      </c>
      <c r="S6" s="94">
        <f t="shared" si="1"/>
        <v>30060</v>
      </c>
      <c r="T6" s="95">
        <v>5000</v>
      </c>
      <c r="U6" s="95">
        <f t="shared" si="2"/>
        <v>948.55</v>
      </c>
      <c r="V6" s="73"/>
      <c r="W6" s="73"/>
      <c r="X6" s="73"/>
      <c r="Y6" s="73"/>
      <c r="Z6" s="73"/>
      <c r="AA6" s="73"/>
      <c r="AB6" s="94">
        <f t="shared" si="3"/>
        <v>0</v>
      </c>
      <c r="AC6" s="94">
        <f t="shared" si="4"/>
        <v>0</v>
      </c>
      <c r="AD6" s="100">
        <f t="shared" si="5"/>
        <v>24111.45</v>
      </c>
      <c r="AE6" s="101">
        <f>ROUND(MAX((AD6)*{0.03;0.1;0.2;0.25;0.3;0.35;0.45}-{0;2520;16920;31920;52920;85920;181920},0),2)</f>
        <v>723.34</v>
      </c>
      <c r="AF6" s="102">
        <v>0</v>
      </c>
      <c r="AG6" s="102">
        <f t="shared" si="6"/>
        <v>723.34</v>
      </c>
      <c r="AH6" s="111">
        <f t="shared" si="7"/>
        <v>28388.11</v>
      </c>
      <c r="AI6" s="110"/>
      <c r="AJ6" s="111">
        <f t="shared" si="8"/>
        <v>28388.11</v>
      </c>
      <c r="AK6" s="111"/>
      <c r="AL6" s="111">
        <f t="shared" si="9"/>
        <v>29111.45</v>
      </c>
      <c r="AM6" s="111"/>
      <c r="AN6" s="111"/>
      <c r="AO6" s="111"/>
      <c r="AP6" s="111"/>
      <c r="AQ6" s="111"/>
      <c r="AR6" s="119" t="str">
        <f t="shared" si="10"/>
        <v>正确</v>
      </c>
      <c r="AS6" s="119" t="str">
        <f t="shared" si="11"/>
        <v>不</v>
      </c>
      <c r="AT6" s="119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127" t="s">
        <v>144</v>
      </c>
      <c r="G7" s="41" t="s">
        <v>156</v>
      </c>
      <c r="H7" s="40"/>
      <c r="I7" s="40"/>
      <c r="J7" s="70"/>
      <c r="K7" s="40"/>
      <c r="L7" s="73">
        <v>8000</v>
      </c>
      <c r="M7" s="72">
        <v>321.52</v>
      </c>
      <c r="N7" s="72">
        <v>89.09</v>
      </c>
      <c r="O7" s="72">
        <v>20.1</v>
      </c>
      <c r="P7" s="72">
        <v>97</v>
      </c>
      <c r="Q7" s="73">
        <f t="shared" si="0"/>
        <v>527.71</v>
      </c>
      <c r="R7" s="73">
        <v>0</v>
      </c>
      <c r="S7" s="94">
        <f t="shared" si="1"/>
        <v>8000</v>
      </c>
      <c r="T7" s="95">
        <v>5000</v>
      </c>
      <c r="U7" s="95">
        <f t="shared" si="2"/>
        <v>527.71</v>
      </c>
      <c r="V7" s="73"/>
      <c r="W7" s="73"/>
      <c r="X7" s="73"/>
      <c r="Y7" s="73"/>
      <c r="Z7" s="73"/>
      <c r="AA7" s="73"/>
      <c r="AB7" s="94">
        <f t="shared" si="3"/>
        <v>0</v>
      </c>
      <c r="AC7" s="94">
        <f t="shared" si="4"/>
        <v>0</v>
      </c>
      <c r="AD7" s="100">
        <f t="shared" si="5"/>
        <v>2472.29</v>
      </c>
      <c r="AE7" s="101">
        <f>ROUND(MAX((AD7)*{0.03;0.1;0.2;0.25;0.3;0.35;0.45}-{0;2520;16920;31920;52920;85920;181920},0),2)</f>
        <v>74.17</v>
      </c>
      <c r="AF7" s="102">
        <v>0</v>
      </c>
      <c r="AG7" s="102">
        <f t="shared" si="6"/>
        <v>74.17</v>
      </c>
      <c r="AH7" s="111">
        <f t="shared" si="7"/>
        <v>7398.12</v>
      </c>
      <c r="AI7" s="110"/>
      <c r="AJ7" s="111">
        <f t="shared" si="8"/>
        <v>7398.12</v>
      </c>
      <c r="AK7" s="111"/>
      <c r="AL7" s="111">
        <f t="shared" si="9"/>
        <v>7472.29</v>
      </c>
      <c r="AM7" s="111"/>
      <c r="AN7" s="111"/>
      <c r="AO7" s="111"/>
      <c r="AP7" s="111"/>
      <c r="AQ7" s="111"/>
      <c r="AR7" s="119" t="str">
        <f t="shared" si="10"/>
        <v>正确</v>
      </c>
      <c r="AS7" s="119" t="str">
        <f t="shared" si="11"/>
        <v>不</v>
      </c>
      <c r="AT7" s="119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127" t="s">
        <v>144</v>
      </c>
      <c r="G8" s="41">
        <v>19356875630</v>
      </c>
      <c r="H8" s="40"/>
      <c r="I8" s="40"/>
      <c r="J8" s="70"/>
      <c r="K8" s="40"/>
      <c r="L8" s="73">
        <v>10500</v>
      </c>
      <c r="M8" s="72">
        <v>321.52</v>
      </c>
      <c r="N8" s="72">
        <v>86.38</v>
      </c>
      <c r="O8" s="72">
        <v>20.1</v>
      </c>
      <c r="P8" s="72">
        <v>344</v>
      </c>
      <c r="Q8" s="73">
        <f t="shared" si="0"/>
        <v>772</v>
      </c>
      <c r="R8" s="73">
        <v>0</v>
      </c>
      <c r="S8" s="94">
        <f t="shared" si="1"/>
        <v>10500</v>
      </c>
      <c r="T8" s="95">
        <v>5000</v>
      </c>
      <c r="U8" s="95">
        <f t="shared" si="2"/>
        <v>772</v>
      </c>
      <c r="V8" s="73"/>
      <c r="W8" s="73"/>
      <c r="X8" s="73"/>
      <c r="Y8" s="73"/>
      <c r="Z8" s="73"/>
      <c r="AA8" s="73"/>
      <c r="AB8" s="94">
        <f t="shared" si="3"/>
        <v>0</v>
      </c>
      <c r="AC8" s="94">
        <f t="shared" si="4"/>
        <v>0</v>
      </c>
      <c r="AD8" s="100">
        <f t="shared" si="5"/>
        <v>4728</v>
      </c>
      <c r="AE8" s="101">
        <f>ROUND(MAX((AD8)*{0.03;0.1;0.2;0.25;0.3;0.35;0.45}-{0;2520;16920;31920;52920;85920;181920},0),2)</f>
        <v>141.84</v>
      </c>
      <c r="AF8" s="102">
        <v>0</v>
      </c>
      <c r="AG8" s="102">
        <f t="shared" si="6"/>
        <v>141.84</v>
      </c>
      <c r="AH8" s="111">
        <f t="shared" si="7"/>
        <v>9586.16</v>
      </c>
      <c r="AI8" s="110"/>
      <c r="AJ8" s="111">
        <f t="shared" si="8"/>
        <v>9586.16</v>
      </c>
      <c r="AK8" s="111"/>
      <c r="AL8" s="111">
        <f t="shared" si="9"/>
        <v>9728</v>
      </c>
      <c r="AM8" s="111"/>
      <c r="AN8" s="111"/>
      <c r="AO8" s="111"/>
      <c r="AP8" s="111"/>
      <c r="AQ8" s="111"/>
      <c r="AR8" s="119" t="str">
        <f t="shared" si="10"/>
        <v>正确</v>
      </c>
      <c r="AS8" s="119" t="str">
        <f t="shared" si="11"/>
        <v>不</v>
      </c>
      <c r="AT8" s="119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127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301.6</v>
      </c>
      <c r="N9" s="72">
        <v>90.4</v>
      </c>
      <c r="O9" s="72">
        <v>11.31</v>
      </c>
      <c r="P9" s="72">
        <v>100</v>
      </c>
      <c r="Q9" s="73">
        <f t="shared" si="0"/>
        <v>503.31</v>
      </c>
      <c r="R9" s="73">
        <v>0</v>
      </c>
      <c r="S9" s="94">
        <f t="shared" si="1"/>
        <v>6500</v>
      </c>
      <c r="T9" s="95">
        <v>5000</v>
      </c>
      <c r="U9" s="95">
        <f t="shared" si="2"/>
        <v>503.31</v>
      </c>
      <c r="V9" s="73"/>
      <c r="W9" s="73"/>
      <c r="X9" s="73"/>
      <c r="Y9" s="73"/>
      <c r="Z9" s="73"/>
      <c r="AA9" s="73"/>
      <c r="AB9" s="94">
        <f t="shared" si="3"/>
        <v>0</v>
      </c>
      <c r="AC9" s="94">
        <f t="shared" si="4"/>
        <v>0</v>
      </c>
      <c r="AD9" s="100">
        <f t="shared" si="5"/>
        <v>996.69</v>
      </c>
      <c r="AE9" s="101">
        <f>ROUND(MAX((AD9)*{0.03;0.1;0.2;0.25;0.3;0.35;0.45}-{0;2520;16920;31920;52920;85920;181920},0),2)</f>
        <v>29.9</v>
      </c>
      <c r="AF9" s="102">
        <v>0</v>
      </c>
      <c r="AG9" s="102">
        <f t="shared" si="6"/>
        <v>29.9</v>
      </c>
      <c r="AH9" s="111">
        <f t="shared" si="7"/>
        <v>5966.79</v>
      </c>
      <c r="AI9" s="110"/>
      <c r="AJ9" s="111">
        <f t="shared" si="8"/>
        <v>5966.79</v>
      </c>
      <c r="AK9" s="111"/>
      <c r="AL9" s="111">
        <f t="shared" si="9"/>
        <v>5996.69</v>
      </c>
      <c r="AM9" s="111"/>
      <c r="AN9" s="111"/>
      <c r="AO9" s="111"/>
      <c r="AP9" s="111"/>
      <c r="AQ9" s="111"/>
      <c r="AR9" s="119" t="str">
        <f t="shared" si="10"/>
        <v>正确</v>
      </c>
      <c r="AS9" s="119" t="str">
        <f t="shared" si="11"/>
        <v>不</v>
      </c>
      <c r="AT9" s="119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127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329.44</v>
      </c>
      <c r="N10" s="72">
        <v>87.36</v>
      </c>
      <c r="O10" s="72">
        <v>20.59</v>
      </c>
      <c r="P10" s="72">
        <v>105</v>
      </c>
      <c r="Q10" s="73">
        <f t="shared" si="0"/>
        <v>542.39</v>
      </c>
      <c r="R10" s="73">
        <v>0</v>
      </c>
      <c r="S10" s="94">
        <f t="shared" si="1"/>
        <v>5500</v>
      </c>
      <c r="T10" s="95">
        <v>5000</v>
      </c>
      <c r="U10" s="95">
        <f t="shared" si="2"/>
        <v>542.39</v>
      </c>
      <c r="V10" s="73"/>
      <c r="W10" s="73"/>
      <c r="X10" s="73"/>
      <c r="Y10" s="73"/>
      <c r="Z10" s="73"/>
      <c r="AA10" s="73"/>
      <c r="AB10" s="94">
        <f t="shared" si="3"/>
        <v>0</v>
      </c>
      <c r="AC10" s="94">
        <f t="shared" si="4"/>
        <v>0</v>
      </c>
      <c r="AD10" s="100">
        <f t="shared" si="5"/>
        <v>-42.39</v>
      </c>
      <c r="AE10" s="101">
        <f>ROUND(MAX((AD10)*{0.03;0.1;0.2;0.25;0.3;0.35;0.45}-{0;2520;16920;31920;52920;85920;181920},0),2)</f>
        <v>0</v>
      </c>
      <c r="AF10" s="102">
        <v>0</v>
      </c>
      <c r="AG10" s="102">
        <f t="shared" si="6"/>
        <v>0</v>
      </c>
      <c r="AH10" s="111">
        <f t="shared" si="7"/>
        <v>4957.61</v>
      </c>
      <c r="AI10" s="110"/>
      <c r="AJ10" s="111">
        <f t="shared" si="8"/>
        <v>4957.61</v>
      </c>
      <c r="AK10" s="111"/>
      <c r="AL10" s="111">
        <f t="shared" si="9"/>
        <v>4957.61</v>
      </c>
      <c r="AM10" s="111"/>
      <c r="AN10" s="111"/>
      <c r="AO10" s="111"/>
      <c r="AP10" s="111"/>
      <c r="AQ10" s="111"/>
      <c r="AR10" s="119" t="str">
        <f t="shared" si="10"/>
        <v>正确</v>
      </c>
      <c r="AS10" s="119" t="str">
        <f t="shared" si="11"/>
        <v>不</v>
      </c>
      <c r="AT10" s="119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127" t="s">
        <v>148</v>
      </c>
      <c r="G11" s="41" t="s">
        <v>170</v>
      </c>
      <c r="H11" s="40"/>
      <c r="I11" s="40"/>
      <c r="J11" s="70"/>
      <c r="K11" s="40"/>
      <c r="L11" s="73">
        <v>4525.84</v>
      </c>
      <c r="M11" s="72">
        <v>380.08</v>
      </c>
      <c r="N11" s="72">
        <v>117.02</v>
      </c>
      <c r="O11" s="72">
        <v>23.76</v>
      </c>
      <c r="P11" s="72">
        <v>109</v>
      </c>
      <c r="Q11" s="73">
        <f t="shared" si="0"/>
        <v>629.86</v>
      </c>
      <c r="R11" s="73">
        <v>0</v>
      </c>
      <c r="S11" s="94">
        <f t="shared" si="1"/>
        <v>4525.84</v>
      </c>
      <c r="T11" s="95">
        <v>5000</v>
      </c>
      <c r="U11" s="95">
        <f t="shared" si="2"/>
        <v>629.86</v>
      </c>
      <c r="V11" s="73"/>
      <c r="W11" s="73"/>
      <c r="X11" s="73"/>
      <c r="Y11" s="73"/>
      <c r="Z11" s="73"/>
      <c r="AA11" s="73"/>
      <c r="AB11" s="94">
        <f t="shared" si="3"/>
        <v>0</v>
      </c>
      <c r="AC11" s="94">
        <f t="shared" si="4"/>
        <v>0</v>
      </c>
      <c r="AD11" s="100">
        <f t="shared" si="5"/>
        <v>-1104.02</v>
      </c>
      <c r="AE11" s="101">
        <f>ROUND(MAX((AD11)*{0.03;0.1;0.2;0.25;0.3;0.35;0.45}-{0;2520;16920;31920;52920;85920;181920},0),2)</f>
        <v>0</v>
      </c>
      <c r="AF11" s="102">
        <v>0</v>
      </c>
      <c r="AG11" s="102">
        <f t="shared" si="6"/>
        <v>0</v>
      </c>
      <c r="AH11" s="111">
        <f t="shared" si="7"/>
        <v>3895.98</v>
      </c>
      <c r="AI11" s="110"/>
      <c r="AJ11" s="111">
        <f t="shared" si="8"/>
        <v>3895.98</v>
      </c>
      <c r="AK11" s="111"/>
      <c r="AL11" s="111">
        <f t="shared" si="9"/>
        <v>3895.98</v>
      </c>
      <c r="AM11" s="111"/>
      <c r="AN11" s="111"/>
      <c r="AO11" s="111"/>
      <c r="AP11" s="111"/>
      <c r="AQ11" s="111"/>
      <c r="AR11" s="119" t="str">
        <f t="shared" si="10"/>
        <v>正确</v>
      </c>
      <c r="AS11" s="119" t="str">
        <f t="shared" si="11"/>
        <v>不</v>
      </c>
      <c r="AT11" s="119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127" t="s">
        <v>144</v>
      </c>
      <c r="G12" s="41">
        <v>18356553626</v>
      </c>
      <c r="H12" s="40"/>
      <c r="I12" s="40"/>
      <c r="J12" s="70"/>
      <c r="K12" s="40"/>
      <c r="L12" s="73">
        <v>8500</v>
      </c>
      <c r="M12" s="72">
        <v>321.52</v>
      </c>
      <c r="N12" s="72">
        <v>120.38</v>
      </c>
      <c r="O12" s="72">
        <v>20.1</v>
      </c>
      <c r="P12" s="72">
        <v>97</v>
      </c>
      <c r="Q12" s="73">
        <f t="shared" si="0"/>
        <v>559</v>
      </c>
      <c r="R12" s="73">
        <v>0</v>
      </c>
      <c r="S12" s="94">
        <f t="shared" si="1"/>
        <v>8500</v>
      </c>
      <c r="T12" s="95">
        <v>5000</v>
      </c>
      <c r="U12" s="95">
        <f t="shared" si="2"/>
        <v>559</v>
      </c>
      <c r="V12" s="73"/>
      <c r="W12" s="73"/>
      <c r="X12" s="73"/>
      <c r="Y12" s="73"/>
      <c r="Z12" s="73"/>
      <c r="AA12" s="73"/>
      <c r="AB12" s="94">
        <f t="shared" si="3"/>
        <v>0</v>
      </c>
      <c r="AC12" s="94">
        <f t="shared" si="4"/>
        <v>0</v>
      </c>
      <c r="AD12" s="100">
        <f t="shared" si="5"/>
        <v>2941</v>
      </c>
      <c r="AE12" s="101">
        <f>ROUND(MAX((AD12)*{0.03;0.1;0.2;0.25;0.3;0.35;0.45}-{0;2520;16920;31920;52920;85920;181920},0),2)</f>
        <v>88.23</v>
      </c>
      <c r="AF12" s="102">
        <v>0</v>
      </c>
      <c r="AG12" s="102">
        <f t="shared" si="6"/>
        <v>88.23</v>
      </c>
      <c r="AH12" s="111">
        <f t="shared" si="7"/>
        <v>7852.77</v>
      </c>
      <c r="AI12" s="110"/>
      <c r="AJ12" s="111">
        <f t="shared" si="8"/>
        <v>7852.77</v>
      </c>
      <c r="AK12" s="111"/>
      <c r="AL12" s="111">
        <f t="shared" si="9"/>
        <v>7941</v>
      </c>
      <c r="AM12" s="111"/>
      <c r="AN12" s="111"/>
      <c r="AO12" s="111"/>
      <c r="AP12" s="111"/>
      <c r="AQ12" s="111"/>
      <c r="AR12" s="119" t="str">
        <f t="shared" si="10"/>
        <v>正确</v>
      </c>
      <c r="AS12" s="119" t="str">
        <f t="shared" si="11"/>
        <v>不</v>
      </c>
      <c r="AT12" s="119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127" t="s">
        <v>144</v>
      </c>
      <c r="G13" s="41">
        <v>18326897140</v>
      </c>
      <c r="H13" s="40"/>
      <c r="I13" s="40"/>
      <c r="J13" s="70"/>
      <c r="K13" s="40"/>
      <c r="L13" s="73">
        <v>7000</v>
      </c>
      <c r="M13" s="72">
        <v>321.52</v>
      </c>
      <c r="N13" s="72">
        <v>86.38</v>
      </c>
      <c r="O13" s="72">
        <v>20.1</v>
      </c>
      <c r="P13" s="72">
        <v>344</v>
      </c>
      <c r="Q13" s="73">
        <f t="shared" si="0"/>
        <v>772</v>
      </c>
      <c r="R13" s="73">
        <v>0</v>
      </c>
      <c r="S13" s="94">
        <f t="shared" si="1"/>
        <v>7000</v>
      </c>
      <c r="T13" s="95">
        <v>5000</v>
      </c>
      <c r="U13" s="95">
        <f t="shared" si="2"/>
        <v>772</v>
      </c>
      <c r="V13" s="73"/>
      <c r="W13" s="73"/>
      <c r="X13" s="73"/>
      <c r="Y13" s="73"/>
      <c r="Z13" s="73"/>
      <c r="AA13" s="73"/>
      <c r="AB13" s="94">
        <f t="shared" si="3"/>
        <v>0</v>
      </c>
      <c r="AC13" s="94">
        <f t="shared" si="4"/>
        <v>0</v>
      </c>
      <c r="AD13" s="100">
        <f t="shared" si="5"/>
        <v>1228</v>
      </c>
      <c r="AE13" s="101">
        <f>ROUND(MAX((AD13)*{0.03;0.1;0.2;0.25;0.3;0.35;0.45}-{0;2520;16920;31920;52920;85920;181920},0),2)</f>
        <v>36.84</v>
      </c>
      <c r="AF13" s="102">
        <v>0</v>
      </c>
      <c r="AG13" s="102">
        <f t="shared" si="6"/>
        <v>36.84</v>
      </c>
      <c r="AH13" s="111">
        <f t="shared" si="7"/>
        <v>6191.16</v>
      </c>
      <c r="AI13" s="110"/>
      <c r="AJ13" s="111">
        <f t="shared" si="8"/>
        <v>6191.16</v>
      </c>
      <c r="AK13" s="111"/>
      <c r="AL13" s="111">
        <f t="shared" si="9"/>
        <v>6228</v>
      </c>
      <c r="AM13" s="111"/>
      <c r="AN13" s="111"/>
      <c r="AO13" s="111"/>
      <c r="AP13" s="111"/>
      <c r="AQ13" s="111"/>
      <c r="AR13" s="119" t="str">
        <f t="shared" si="10"/>
        <v>正确</v>
      </c>
      <c r="AS13" s="119" t="str">
        <f t="shared" si="11"/>
        <v>不</v>
      </c>
      <c r="AT13" s="119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127" t="s">
        <v>144</v>
      </c>
      <c r="G14" s="41">
        <v>17201857014</v>
      </c>
      <c r="H14" s="40"/>
      <c r="I14" s="40"/>
      <c r="J14" s="70"/>
      <c r="K14" s="40"/>
      <c r="L14" s="73">
        <v>7000</v>
      </c>
      <c r="M14" s="72">
        <v>321.52</v>
      </c>
      <c r="N14" s="72">
        <v>86.38</v>
      </c>
      <c r="O14" s="72">
        <v>20.1</v>
      </c>
      <c r="P14" s="72">
        <v>344</v>
      </c>
      <c r="Q14" s="73">
        <f t="shared" si="0"/>
        <v>772</v>
      </c>
      <c r="R14" s="73">
        <v>0</v>
      </c>
      <c r="S14" s="94">
        <f t="shared" si="1"/>
        <v>7000</v>
      </c>
      <c r="T14" s="95">
        <v>5000</v>
      </c>
      <c r="U14" s="95">
        <f t="shared" si="2"/>
        <v>772</v>
      </c>
      <c r="V14" s="73"/>
      <c r="W14" s="73"/>
      <c r="X14" s="73"/>
      <c r="Y14" s="73"/>
      <c r="Z14" s="73"/>
      <c r="AA14" s="73"/>
      <c r="AB14" s="94">
        <f t="shared" si="3"/>
        <v>0</v>
      </c>
      <c r="AC14" s="94">
        <f t="shared" si="4"/>
        <v>0</v>
      </c>
      <c r="AD14" s="100">
        <f t="shared" si="5"/>
        <v>1228</v>
      </c>
      <c r="AE14" s="101">
        <f>ROUND(MAX((AD14)*{0.03;0.1;0.2;0.25;0.3;0.35;0.45}-{0;2520;16920;31920;52920;85920;181920},0),2)</f>
        <v>36.84</v>
      </c>
      <c r="AF14" s="102">
        <v>0</v>
      </c>
      <c r="AG14" s="102">
        <f t="shared" si="6"/>
        <v>36.84</v>
      </c>
      <c r="AH14" s="111">
        <f t="shared" si="7"/>
        <v>6191.16</v>
      </c>
      <c r="AI14" s="110"/>
      <c r="AJ14" s="111">
        <f t="shared" si="8"/>
        <v>6191.16</v>
      </c>
      <c r="AK14" s="111"/>
      <c r="AL14" s="111">
        <f t="shared" si="9"/>
        <v>6228</v>
      </c>
      <c r="AM14" s="111"/>
      <c r="AN14" s="111"/>
      <c r="AO14" s="111"/>
      <c r="AP14" s="111"/>
      <c r="AQ14" s="111"/>
      <c r="AR14" s="119" t="str">
        <f t="shared" si="10"/>
        <v>正确</v>
      </c>
      <c r="AS14" s="119" t="str">
        <f t="shared" si="11"/>
        <v>不</v>
      </c>
      <c r="AT14" s="119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127" t="s">
        <v>148</v>
      </c>
      <c r="G15" s="41" t="s">
        <v>181</v>
      </c>
      <c r="H15" s="40"/>
      <c r="I15" s="40"/>
      <c r="J15" s="70"/>
      <c r="K15" s="40"/>
      <c r="L15" s="73">
        <v>7000</v>
      </c>
      <c r="M15" s="72">
        <v>321.52</v>
      </c>
      <c r="N15" s="72">
        <v>120.38</v>
      </c>
      <c r="O15" s="72">
        <v>20.1</v>
      </c>
      <c r="P15" s="72">
        <v>97</v>
      </c>
      <c r="Q15" s="73">
        <f t="shared" si="0"/>
        <v>559</v>
      </c>
      <c r="R15" s="73">
        <v>0</v>
      </c>
      <c r="S15" s="94">
        <f t="shared" si="1"/>
        <v>7000</v>
      </c>
      <c r="T15" s="95">
        <v>5000</v>
      </c>
      <c r="U15" s="95">
        <f t="shared" si="2"/>
        <v>559</v>
      </c>
      <c r="V15" s="73"/>
      <c r="W15" s="73"/>
      <c r="X15" s="73"/>
      <c r="Y15" s="73"/>
      <c r="Z15" s="73"/>
      <c r="AA15" s="73"/>
      <c r="AB15" s="94">
        <f t="shared" si="3"/>
        <v>0</v>
      </c>
      <c r="AC15" s="94">
        <f t="shared" si="4"/>
        <v>0</v>
      </c>
      <c r="AD15" s="100">
        <f t="shared" si="5"/>
        <v>1441</v>
      </c>
      <c r="AE15" s="101">
        <f>ROUND(MAX((AD15)*{0.03;0.1;0.2;0.25;0.3;0.35;0.45}-{0;2520;16920;31920;52920;85920;181920},0),2)</f>
        <v>43.23</v>
      </c>
      <c r="AF15" s="102">
        <v>0</v>
      </c>
      <c r="AG15" s="102">
        <f t="shared" si="6"/>
        <v>43.23</v>
      </c>
      <c r="AH15" s="111">
        <f t="shared" si="7"/>
        <v>6397.77</v>
      </c>
      <c r="AI15" s="110"/>
      <c r="AJ15" s="111">
        <f t="shared" si="8"/>
        <v>6397.77</v>
      </c>
      <c r="AK15" s="111"/>
      <c r="AL15" s="111">
        <f t="shared" si="9"/>
        <v>6441</v>
      </c>
      <c r="AM15" s="111"/>
      <c r="AN15" s="111"/>
      <c r="AO15" s="111"/>
      <c r="AP15" s="111"/>
      <c r="AQ15" s="111"/>
      <c r="AR15" s="119" t="str">
        <f t="shared" si="10"/>
        <v>正确</v>
      </c>
      <c r="AS15" s="119" t="str">
        <f t="shared" si="11"/>
        <v>不</v>
      </c>
      <c r="AT15" s="119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127" t="s">
        <v>148</v>
      </c>
      <c r="G16" s="41">
        <v>15855788591</v>
      </c>
      <c r="H16" s="40"/>
      <c r="I16" s="40"/>
      <c r="J16" s="70"/>
      <c r="K16" s="40"/>
      <c r="L16" s="73">
        <v>6060</v>
      </c>
      <c r="M16" s="72">
        <v>321.52</v>
      </c>
      <c r="N16" s="72">
        <v>89.09</v>
      </c>
      <c r="O16" s="72">
        <v>20.1</v>
      </c>
      <c r="P16" s="72">
        <v>97</v>
      </c>
      <c r="Q16" s="73">
        <f t="shared" si="0"/>
        <v>527.71</v>
      </c>
      <c r="R16" s="73">
        <v>0</v>
      </c>
      <c r="S16" s="94">
        <f t="shared" si="1"/>
        <v>6060</v>
      </c>
      <c r="T16" s="95">
        <v>5000</v>
      </c>
      <c r="U16" s="95">
        <f t="shared" si="2"/>
        <v>527.71</v>
      </c>
      <c r="V16" s="73"/>
      <c r="W16" s="73"/>
      <c r="X16" s="73"/>
      <c r="Y16" s="73"/>
      <c r="Z16" s="73"/>
      <c r="AA16" s="73"/>
      <c r="AB16" s="94">
        <f t="shared" si="3"/>
        <v>0</v>
      </c>
      <c r="AC16" s="94">
        <f t="shared" si="4"/>
        <v>0</v>
      </c>
      <c r="AD16" s="100">
        <f t="shared" si="5"/>
        <v>532.29</v>
      </c>
      <c r="AE16" s="101">
        <f>ROUND(MAX((AD16)*{0.03;0.1;0.2;0.25;0.3;0.35;0.45}-{0;2520;16920;31920;52920;85920;181920},0),2)</f>
        <v>15.97</v>
      </c>
      <c r="AF16" s="102">
        <v>0</v>
      </c>
      <c r="AG16" s="102">
        <f t="shared" si="6"/>
        <v>15.97</v>
      </c>
      <c r="AH16" s="111">
        <f t="shared" si="7"/>
        <v>5516.32</v>
      </c>
      <c r="AI16" s="110"/>
      <c r="AJ16" s="111">
        <f t="shared" si="8"/>
        <v>5516.32</v>
      </c>
      <c r="AK16" s="111"/>
      <c r="AL16" s="111">
        <f t="shared" si="9"/>
        <v>5532.29</v>
      </c>
      <c r="AM16" s="111"/>
      <c r="AN16" s="111"/>
      <c r="AO16" s="111"/>
      <c r="AP16" s="111"/>
      <c r="AQ16" s="111"/>
      <c r="AR16" s="119" t="str">
        <f t="shared" si="10"/>
        <v>正确</v>
      </c>
      <c r="AS16" s="119" t="str">
        <f t="shared" si="11"/>
        <v>不</v>
      </c>
      <c r="AT16" s="119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127" t="s">
        <v>148</v>
      </c>
      <c r="G17" s="41">
        <v>13873717760</v>
      </c>
      <c r="H17" s="40"/>
      <c r="I17" s="40"/>
      <c r="J17" s="70"/>
      <c r="K17" s="40"/>
      <c r="L17" s="73">
        <v>6560</v>
      </c>
      <c r="M17" s="72">
        <v>-301.6</v>
      </c>
      <c r="N17" s="72">
        <v>-90.4</v>
      </c>
      <c r="O17" s="72">
        <v>-11.31</v>
      </c>
      <c r="P17" s="72">
        <v>-175</v>
      </c>
      <c r="Q17" s="73">
        <f t="shared" si="0"/>
        <v>-578.31</v>
      </c>
      <c r="R17" s="73">
        <v>0</v>
      </c>
      <c r="S17" s="94">
        <f t="shared" si="1"/>
        <v>6560</v>
      </c>
      <c r="T17" s="95">
        <v>5000</v>
      </c>
      <c r="U17" s="95">
        <f t="shared" si="2"/>
        <v>-578.31</v>
      </c>
      <c r="V17" s="73"/>
      <c r="W17" s="73"/>
      <c r="X17" s="73"/>
      <c r="Y17" s="73"/>
      <c r="Z17" s="73"/>
      <c r="AA17" s="73"/>
      <c r="AB17" s="94">
        <f t="shared" si="3"/>
        <v>0</v>
      </c>
      <c r="AC17" s="94">
        <f t="shared" si="4"/>
        <v>0</v>
      </c>
      <c r="AD17" s="100">
        <f t="shared" si="5"/>
        <v>2138.31</v>
      </c>
      <c r="AE17" s="101">
        <f>ROUND(MAX((AD17)*{0.03;0.1;0.2;0.25;0.3;0.35;0.45}-{0;2520;16920;31920;52920;85920;181920},0),2)</f>
        <v>64.15</v>
      </c>
      <c r="AF17" s="102">
        <v>0</v>
      </c>
      <c r="AG17" s="102">
        <f t="shared" si="6"/>
        <v>64.15</v>
      </c>
      <c r="AH17" s="111">
        <f t="shared" si="7"/>
        <v>7074.16</v>
      </c>
      <c r="AI17" s="110"/>
      <c r="AJ17" s="111">
        <f t="shared" si="8"/>
        <v>7074.16</v>
      </c>
      <c r="AK17" s="111"/>
      <c r="AL17" s="111">
        <f t="shared" si="9"/>
        <v>7138.31</v>
      </c>
      <c r="AM17" s="111"/>
      <c r="AN17" s="111"/>
      <c r="AO17" s="111"/>
      <c r="AP17" s="111"/>
      <c r="AQ17" s="111"/>
      <c r="AR17" s="119" t="str">
        <f t="shared" si="10"/>
        <v>正确</v>
      </c>
      <c r="AS17" s="119" t="str">
        <f>IF(SUMPRODUCT(N(E$1:E$18=E17))&gt;1,"重复","不")</f>
        <v>不</v>
      </c>
      <c r="AT17" s="119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127" t="s">
        <v>148</v>
      </c>
      <c r="G18" s="41"/>
      <c r="H18" s="40"/>
      <c r="I18" s="40"/>
      <c r="J18" s="70"/>
      <c r="K18" s="40"/>
      <c r="L18" s="73">
        <v>6000</v>
      </c>
      <c r="M18" s="72">
        <v>321.52</v>
      </c>
      <c r="N18" s="72">
        <v>80.38</v>
      </c>
      <c r="O18" s="72">
        <v>20.1</v>
      </c>
      <c r="P18" s="72">
        <v>103</v>
      </c>
      <c r="Q18" s="73">
        <f t="shared" si="0"/>
        <v>525</v>
      </c>
      <c r="R18" s="73">
        <v>0</v>
      </c>
      <c r="S18" s="94">
        <f t="shared" si="1"/>
        <v>6000</v>
      </c>
      <c r="T18" s="95">
        <v>5000</v>
      </c>
      <c r="U18" s="95">
        <f t="shared" si="2"/>
        <v>525</v>
      </c>
      <c r="V18" s="73"/>
      <c r="W18" s="73"/>
      <c r="X18" s="73"/>
      <c r="Y18" s="73"/>
      <c r="Z18" s="73"/>
      <c r="AA18" s="73"/>
      <c r="AB18" s="94">
        <f t="shared" si="3"/>
        <v>0</v>
      </c>
      <c r="AC18" s="94">
        <f t="shared" si="4"/>
        <v>0</v>
      </c>
      <c r="AD18" s="100">
        <f t="shared" si="5"/>
        <v>475</v>
      </c>
      <c r="AE18" s="101">
        <f>ROUND(MAX((AD18)*{0.03;0.1;0.2;0.25;0.3;0.35;0.45}-{0;2520;16920;31920;52920;85920;181920},0),2)</f>
        <v>14.25</v>
      </c>
      <c r="AF18" s="102">
        <v>0</v>
      </c>
      <c r="AG18" s="102">
        <f t="shared" si="6"/>
        <v>14.25</v>
      </c>
      <c r="AH18" s="111">
        <f t="shared" si="7"/>
        <v>5460.75</v>
      </c>
      <c r="AI18" s="110"/>
      <c r="AJ18" s="111">
        <f t="shared" si="8"/>
        <v>5460.75</v>
      </c>
      <c r="AK18" s="111"/>
      <c r="AL18" s="111">
        <f t="shared" si="9"/>
        <v>5475</v>
      </c>
      <c r="AM18" s="111"/>
      <c r="AN18" s="111"/>
      <c r="AO18" s="111"/>
      <c r="AP18" s="111"/>
      <c r="AQ18" s="111"/>
      <c r="AR18" s="119" t="str">
        <f t="shared" si="10"/>
        <v>正确</v>
      </c>
      <c r="AS18" s="119" t="str">
        <f>IF(SUMPRODUCT(N(E$1:E$18=E18))&gt;1,"重复","不")</f>
        <v>不</v>
      </c>
      <c r="AT18" s="119" t="str">
        <f>IF(SUMPRODUCT(N(AO$1:AO$18=AO18))&gt;1,"重复","不")</f>
        <v>重复</v>
      </c>
    </row>
    <row r="19" s="13" customFormat="1" ht="18" customHeight="1" spans="1:46">
      <c r="A19" s="42"/>
      <c r="B19" s="43" t="s">
        <v>192</v>
      </c>
      <c r="C19" s="43"/>
      <c r="D19" s="44"/>
      <c r="E19" s="45"/>
      <c r="F19" s="46"/>
      <c r="G19" s="47"/>
      <c r="H19" s="46"/>
      <c r="I19" s="74"/>
      <c r="J19" s="75"/>
      <c r="K19" s="74"/>
      <c r="L19" s="76">
        <f t="shared" ref="L19:AL19" si="13">SUM(L4:L18)</f>
        <v>126905.84</v>
      </c>
      <c r="M19" s="76">
        <f t="shared" si="13"/>
        <v>4608.66</v>
      </c>
      <c r="N19" s="76">
        <f t="shared" si="13"/>
        <v>1398.38</v>
      </c>
      <c r="O19" s="76">
        <f t="shared" si="13"/>
        <v>258.28</v>
      </c>
      <c r="P19" s="76">
        <f t="shared" si="13"/>
        <v>2135.4</v>
      </c>
      <c r="Q19" s="76">
        <f t="shared" si="13"/>
        <v>8400.72</v>
      </c>
      <c r="R19" s="76">
        <f t="shared" si="13"/>
        <v>0</v>
      </c>
      <c r="S19" s="76">
        <f t="shared" si="13"/>
        <v>126905.84</v>
      </c>
      <c r="T19" s="76">
        <f t="shared" si="13"/>
        <v>75000</v>
      </c>
      <c r="U19" s="76">
        <f t="shared" si="13"/>
        <v>8400.72</v>
      </c>
      <c r="V19" s="76">
        <f t="shared" si="13"/>
        <v>0</v>
      </c>
      <c r="W19" s="76">
        <f t="shared" si="13"/>
        <v>0</v>
      </c>
      <c r="X19" s="76">
        <f t="shared" si="13"/>
        <v>0</v>
      </c>
      <c r="Y19" s="76">
        <f t="shared" si="13"/>
        <v>0</v>
      </c>
      <c r="Z19" s="76">
        <f t="shared" si="13"/>
        <v>0</v>
      </c>
      <c r="AA19" s="76">
        <f t="shared" si="13"/>
        <v>0</v>
      </c>
      <c r="AB19" s="76">
        <f t="shared" si="13"/>
        <v>0</v>
      </c>
      <c r="AC19" s="76">
        <f t="shared" si="13"/>
        <v>0</v>
      </c>
      <c r="AD19" s="76">
        <f t="shared" si="13"/>
        <v>43505.12</v>
      </c>
      <c r="AE19" s="76">
        <f t="shared" si="13"/>
        <v>1339.55</v>
      </c>
      <c r="AF19" s="76">
        <f t="shared" si="13"/>
        <v>0</v>
      </c>
      <c r="AG19" s="76">
        <f t="shared" si="13"/>
        <v>1339.55</v>
      </c>
      <c r="AH19" s="76">
        <f t="shared" si="13"/>
        <v>117165.57</v>
      </c>
      <c r="AI19" s="126">
        <f t="shared" si="13"/>
        <v>0</v>
      </c>
      <c r="AJ19" s="76">
        <f t="shared" si="13"/>
        <v>117165.57</v>
      </c>
      <c r="AK19" s="76">
        <f t="shared" si="13"/>
        <v>0</v>
      </c>
      <c r="AL19" s="76">
        <f t="shared" si="13"/>
        <v>118505.12</v>
      </c>
      <c r="AM19" s="112"/>
      <c r="AN19" s="112"/>
      <c r="AO19" s="112"/>
      <c r="AP19" s="112"/>
      <c r="AQ19" s="112"/>
      <c r="AR19" s="46"/>
      <c r="AS19" s="46"/>
      <c r="AT19" s="120"/>
    </row>
    <row r="22" spans="30:30">
      <c r="AD22" s="103"/>
    </row>
    <row r="23" ht="18.75" customHeight="1" spans="2:30">
      <c r="B23" s="48" t="s">
        <v>131</v>
      </c>
      <c r="C23" s="48" t="s">
        <v>193</v>
      </c>
      <c r="D23" s="48" t="s">
        <v>22</v>
      </c>
      <c r="E23" s="48" t="s">
        <v>23</v>
      </c>
      <c r="AD23" s="10"/>
    </row>
    <row r="24" ht="18.75" customHeight="1" spans="2:5">
      <c r="B24" s="49">
        <f>AJ19</f>
        <v>117165.57</v>
      </c>
      <c r="C24" s="49">
        <f>AG19</f>
        <v>1339.55</v>
      </c>
      <c r="D24" s="49">
        <f>AK19</f>
        <v>0</v>
      </c>
      <c r="E24" s="49">
        <f>B24+C24+D24</f>
        <v>118505.12</v>
      </c>
    </row>
    <row r="25" spans="2:5">
      <c r="B25" s="50"/>
      <c r="C25" s="50"/>
      <c r="D25" s="50"/>
      <c r="E25" s="50"/>
    </row>
    <row r="26" s="14" customFormat="1" spans="1:35">
      <c r="A26" s="52" t="s">
        <v>194</v>
      </c>
      <c r="B26" s="53" t="s">
        <v>195</v>
      </c>
      <c r="C26" s="51"/>
      <c r="D26" s="51"/>
      <c r="E26" s="51"/>
      <c r="G26" s="54"/>
      <c r="J26" s="77"/>
      <c r="M26" s="78"/>
      <c r="AI26" s="114"/>
    </row>
    <row r="27" s="14" customFormat="1" spans="1:35">
      <c r="A27" s="55"/>
      <c r="B27" s="56" t="s">
        <v>196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3"/>
      <c r="B28" s="56" t="s">
        <v>197</v>
      </c>
      <c r="C28" s="57"/>
      <c r="D28" s="57"/>
      <c r="E28" s="57"/>
      <c r="F28" s="57"/>
      <c r="G28" s="57"/>
      <c r="H28" s="57"/>
      <c r="I28" s="57"/>
      <c r="J28" s="79"/>
      <c r="K28" s="57"/>
      <c r="L28" s="57"/>
      <c r="M28" s="80"/>
      <c r="N28" s="57"/>
      <c r="O28" s="57"/>
      <c r="P28" s="57"/>
      <c r="AI28" s="114"/>
    </row>
    <row r="29" s="14" customFormat="1" customHeight="1" spans="1:35">
      <c r="A29" s="56"/>
      <c r="B29" s="56" t="s">
        <v>198</v>
      </c>
      <c r="C29" s="58"/>
      <c r="D29" s="58"/>
      <c r="E29" s="58"/>
      <c r="F29" s="58"/>
      <c r="G29" s="58"/>
      <c r="H29" s="58"/>
      <c r="I29" s="81"/>
      <c r="J29" s="82"/>
      <c r="K29" s="81"/>
      <c r="L29" s="81"/>
      <c r="M29" s="83"/>
      <c r="N29" s="81"/>
      <c r="O29" s="81"/>
      <c r="P29" s="81"/>
      <c r="AI29" s="114"/>
    </row>
    <row r="30" s="14" customFormat="1" customHeight="1" spans="1:35">
      <c r="A30" s="56"/>
      <c r="B30" s="56" t="s">
        <v>199</v>
      </c>
      <c r="C30" s="58"/>
      <c r="D30" s="58"/>
      <c r="E30" s="58"/>
      <c r="F30" s="58"/>
      <c r="G30" s="58"/>
      <c r="H30" s="58"/>
      <c r="I30" s="58"/>
      <c r="J30" s="84"/>
      <c r="K30" s="58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200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3" ht="11.25" customHeight="1" spans="2:2">
      <c r="B33" s="59" t="s">
        <v>201</v>
      </c>
    </row>
    <row r="34" spans="2:2">
      <c r="B34" s="60" t="s">
        <v>202</v>
      </c>
    </row>
    <row r="35" spans="2:2">
      <c r="B35" s="60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79.86</v>
      </c>
      <c r="O4" s="72">
        <v>11.98</v>
      </c>
      <c r="P4" s="72">
        <v>177</v>
      </c>
      <c r="Q4" s="91">
        <f t="shared" ref="Q4:Q19" si="0">ROUND(SUM(M4:P4),2)</f>
        <v>588.3</v>
      </c>
      <c r="R4" s="73">
        <v>0</v>
      </c>
      <c r="S4" s="92">
        <f>L4+IFERROR(VLOOKUP($E:$E,'（居民）工资表-11月'!$E:$S,15,0),0)</f>
        <v>96000</v>
      </c>
      <c r="T4" s="93">
        <f>5000+IFERROR(VLOOKUP($E:$E,'（居民）工资表-11月'!$E:$T,16,0),0)</f>
        <v>60000</v>
      </c>
      <c r="U4" s="93">
        <f>Q4+IFERROR(VLOOKUP($E:$E,'（居民）工资表-11月'!$E:$U,17,0),0)</f>
        <v>7334.17</v>
      </c>
      <c r="V4" s="73">
        <v>12000</v>
      </c>
      <c r="W4" s="73"/>
      <c r="X4" s="73">
        <v>12000</v>
      </c>
      <c r="Y4" s="73"/>
      <c r="Z4" s="73">
        <v>4800</v>
      </c>
      <c r="AA4" s="73"/>
      <c r="AB4" s="92">
        <f t="shared" ref="AB4:AB19" si="1">ROUND(SUM(V4:AA4),2)</f>
        <v>28800</v>
      </c>
      <c r="AC4" s="92">
        <f>R4+IFERROR(VLOOKUP($E:$E,'（居民）工资表-11月'!$E:$AC,25,0),0)</f>
        <v>0</v>
      </c>
      <c r="AD4" s="97">
        <f t="shared" ref="AD4:AD19" si="2">ROUND(S4-T4-U4-AB4-AC4,2)</f>
        <v>-134.17</v>
      </c>
      <c r="AE4" s="98">
        <f>ROUND(MAX((AD4)*{0.03;0.1;0.2;0.25;0.3;0.35;0.45}-{0;2520;16920;31920;52920;85920;181920},0),2)</f>
        <v>0</v>
      </c>
      <c r="AF4" s="99">
        <f>IFERROR(VLOOKUP(E:E,'（居民）工资表-11月'!E:AF,28,0)+VLOOKUP(E:E,'（居民）工资表-11月'!E:AG,29,0),0)</f>
        <v>787.62</v>
      </c>
      <c r="AG4" s="99">
        <f t="shared" ref="AG4:AG19" si="3">IF((AE4-AF4)&lt;0,0,AE4-AF4)</f>
        <v>0</v>
      </c>
      <c r="AH4" s="109">
        <f t="shared" ref="AH4:AH19" si="4">ROUND(IF((L4-Q4-AG4)&lt;0,0,(L4-Q4-AG4)),2)</f>
        <v>7411.7</v>
      </c>
      <c r="AI4" s="110"/>
      <c r="AJ4" s="109">
        <f t="shared" ref="AJ4:AJ19" si="5">AH4+AI4</f>
        <v>7411.7</v>
      </c>
      <c r="AK4" s="111"/>
      <c r="AL4" s="109">
        <f t="shared" ref="AL4:AL19" si="6">AJ4+AG4+AK4</f>
        <v>7411.7</v>
      </c>
      <c r="AM4" s="111"/>
      <c r="AN4" s="111"/>
      <c r="AO4" s="111"/>
      <c r="AP4" s="111"/>
      <c r="AQ4" s="111"/>
      <c r="AR4" s="118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IF(SUMPRODUCT(N(E$1:E$20=E4))&gt;1,"重复","不")</f>
        <v>不</v>
      </c>
      <c r="AT4" s="118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91">
        <f t="shared" si="0"/>
        <v>655.8</v>
      </c>
      <c r="R5" s="73">
        <v>0</v>
      </c>
      <c r="S5" s="92">
        <f>L5+IFERROR(VLOOKUP($E:$E,'（居民）工资表-11月'!$E:$S,15,0),0)</f>
        <v>68400</v>
      </c>
      <c r="T5" s="93">
        <f>5000+IFERROR(VLOOKUP($E:$E,'（居民）工资表-11月'!$E:$T,16,0),0)</f>
        <v>60000</v>
      </c>
      <c r="U5" s="93">
        <f>Q5+IFERROR(VLOOKUP($E:$E,'（居民）工资表-11月'!$E:$U,17,0),0)</f>
        <v>7659.76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R5+IFERROR(VLOOKUP($E:$E,'（居民）工资表-11月'!$E:$AC,25,0),0)</f>
        <v>0</v>
      </c>
      <c r="AD5" s="97">
        <f t="shared" si="2"/>
        <v>740.24</v>
      </c>
      <c r="AE5" s="98">
        <f>ROUND(MAX((AD5)*{0.03;0.1;0.2;0.25;0.3;0.35;0.45}-{0;2520;16920;31920;52920;85920;181920},0),2)</f>
        <v>22.21</v>
      </c>
      <c r="AF5" s="99">
        <f>IFERROR(VLOOKUP(E:E,'（居民）工资表-11月'!E:AF,28,0)+VLOOKUP(E:E,'（居民）工资表-11月'!E:AG,29,0),0)</f>
        <v>20.88</v>
      </c>
      <c r="AG5" s="99">
        <f t="shared" si="3"/>
        <v>1.33</v>
      </c>
      <c r="AH5" s="109">
        <f t="shared" si="4"/>
        <v>5042.87</v>
      </c>
      <c r="AI5" s="110"/>
      <c r="AJ5" s="109">
        <f t="shared" si="5"/>
        <v>5042.87</v>
      </c>
      <c r="AK5" s="111"/>
      <c r="AL5" s="109">
        <f t="shared" si="6"/>
        <v>5044.2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>IF(SUMPRODUCT(N(E$1:E$20=E5))&gt;1,"重复","不")</f>
        <v>不</v>
      </c>
      <c r="AT5" s="118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30060</v>
      </c>
      <c r="M6" s="72">
        <v>584.8</v>
      </c>
      <c r="N6" s="72">
        <v>146.2</v>
      </c>
      <c r="O6" s="72">
        <v>36.55</v>
      </c>
      <c r="P6" s="72">
        <v>181</v>
      </c>
      <c r="Q6" s="91">
        <f t="shared" si="0"/>
        <v>948.55</v>
      </c>
      <c r="R6" s="73">
        <v>0</v>
      </c>
      <c r="S6" s="92">
        <f>L6+IFERROR(VLOOKUP($E:$E,'（居民）工资表-11月'!$E:$S,15,0),0)</f>
        <v>366220</v>
      </c>
      <c r="T6" s="93">
        <f>5000+IFERROR(VLOOKUP($E:$E,'（居民）工资表-11月'!$E:$T,16,0),0)</f>
        <v>60000</v>
      </c>
      <c r="U6" s="93">
        <f>Q6+IFERROR(VLOOKUP($E:$E,'（居民）工资表-11月'!$E:$U,17,0),0)</f>
        <v>11052.9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R6+IFERROR(VLOOKUP($E:$E,'（居民）工资表-11月'!$E:$AC,25,0),0)</f>
        <v>0</v>
      </c>
      <c r="AD6" s="97">
        <f t="shared" si="2"/>
        <v>295167.1</v>
      </c>
      <c r="AE6" s="98">
        <f>ROUND(MAX((AD6)*{0.03;0.1;0.2;0.25;0.3;0.35;0.45}-{0;2520;16920;31920;52920;85920;181920},0),2)</f>
        <v>42113.42</v>
      </c>
      <c r="AF6" s="99">
        <f>IFERROR(VLOOKUP(E:E,'（居民）工资表-11月'!E:AF,28,0)+VLOOKUP(E:E,'（居民）工资表-11月'!E:AG,29,0),0)</f>
        <v>37291.13</v>
      </c>
      <c r="AG6" s="99">
        <f t="shared" si="3"/>
        <v>4822.29</v>
      </c>
      <c r="AH6" s="109">
        <f t="shared" si="4"/>
        <v>24289.16</v>
      </c>
      <c r="AI6" s="110"/>
      <c r="AJ6" s="109">
        <f t="shared" si="5"/>
        <v>24289.16</v>
      </c>
      <c r="AK6" s="111"/>
      <c r="AL6" s="109">
        <f t="shared" si="6"/>
        <v>29111.45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>IF(SUMPRODUCT(N(E$1:E$20=E6))&gt;1,"重复","不")</f>
        <v>不</v>
      </c>
      <c r="AT6" s="118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9520</v>
      </c>
      <c r="M7" s="72">
        <v>321.52</v>
      </c>
      <c r="N7" s="72">
        <v>89.09</v>
      </c>
      <c r="O7" s="72">
        <v>20.1</v>
      </c>
      <c r="P7" s="72">
        <v>97</v>
      </c>
      <c r="Q7" s="91">
        <f t="shared" si="0"/>
        <v>527.71</v>
      </c>
      <c r="R7" s="73">
        <v>0</v>
      </c>
      <c r="S7" s="92">
        <f>L7+IFERROR(VLOOKUP($E:$E,'（居民）工资表-11月'!$E:$S,15,0),0)</f>
        <v>98220</v>
      </c>
      <c r="T7" s="93">
        <f>5000+IFERROR(VLOOKUP($E:$E,'（居民）工资表-11月'!$E:$T,16,0),0)</f>
        <v>60000</v>
      </c>
      <c r="U7" s="93">
        <f>Q7+IFERROR(VLOOKUP($E:$E,'（居民）工资表-11月'!$E:$U,17,0),0)</f>
        <v>6408.13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R7+IFERROR(VLOOKUP($E:$E,'（居民）工资表-11月'!$E:$AC,25,0),0)</f>
        <v>0</v>
      </c>
      <c r="AD7" s="97">
        <f t="shared" si="2"/>
        <v>31811.87</v>
      </c>
      <c r="AE7" s="98">
        <f>ROUND(MAX((AD7)*{0.03;0.1;0.2;0.25;0.3;0.35;0.45}-{0;2520;16920;31920;52920;85920;181920},0),2)</f>
        <v>954.36</v>
      </c>
      <c r="AF7" s="99">
        <f>IFERROR(VLOOKUP(E:E,'（居民）工资表-11月'!E:AF,28,0)+VLOOKUP(E:E,'（居民）工资表-11月'!E:AG,29,0),0)</f>
        <v>834.59</v>
      </c>
      <c r="AG7" s="99">
        <f t="shared" si="3"/>
        <v>119.77</v>
      </c>
      <c r="AH7" s="109">
        <f t="shared" si="4"/>
        <v>8872.52</v>
      </c>
      <c r="AI7" s="110"/>
      <c r="AJ7" s="109">
        <f t="shared" si="5"/>
        <v>8872.52</v>
      </c>
      <c r="AK7" s="111"/>
      <c r="AL7" s="109">
        <f t="shared" si="6"/>
        <v>8992.29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>IF(SUMPRODUCT(N(E$1:E$20=E7))&gt;1,"重复","不")</f>
        <v>不</v>
      </c>
      <c r="AT7" s="118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10500</v>
      </c>
      <c r="M8" s="72">
        <v>321.52</v>
      </c>
      <c r="N8" s="72">
        <v>86.38</v>
      </c>
      <c r="O8" s="72">
        <v>20.1</v>
      </c>
      <c r="P8" s="72">
        <v>344</v>
      </c>
      <c r="Q8" s="91">
        <f t="shared" si="0"/>
        <v>772</v>
      </c>
      <c r="R8" s="73">
        <v>0</v>
      </c>
      <c r="S8" s="92">
        <f>L8+IFERROR(VLOOKUP($E:$E,'（居民）工资表-11月'!$E:$S,15,0),0)</f>
        <v>119800</v>
      </c>
      <c r="T8" s="93">
        <f>5000+IFERROR(VLOOKUP($E:$E,'（居民）工资表-11月'!$E:$T,16,0),0)</f>
        <v>60000</v>
      </c>
      <c r="U8" s="93">
        <f>Q8+IFERROR(VLOOKUP($E:$E,'（居民）工资表-11月'!$E:$U,17,0),0)</f>
        <v>8290.87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R8+IFERROR(VLOOKUP($E:$E,'（居民）工资表-11月'!$E:$AC,25,0),0)</f>
        <v>0</v>
      </c>
      <c r="AD8" s="97">
        <f t="shared" si="2"/>
        <v>51509.13</v>
      </c>
      <c r="AE8" s="98">
        <f>ROUND(MAX((AD8)*{0.03;0.1;0.2;0.25;0.3;0.35;0.45}-{0;2520;16920;31920;52920;85920;181920},0),2)</f>
        <v>2630.91</v>
      </c>
      <c r="AF8" s="99">
        <f>IFERROR(VLOOKUP(E:E,'（居民）工资表-11月'!E:AF,28,0)+VLOOKUP(E:E,'（居民）工资表-11月'!E:AG,29,0),0)</f>
        <v>2158.11</v>
      </c>
      <c r="AG8" s="99">
        <f t="shared" si="3"/>
        <v>472.8</v>
      </c>
      <c r="AH8" s="109">
        <f t="shared" si="4"/>
        <v>9255.2</v>
      </c>
      <c r="AI8" s="110"/>
      <c r="AJ8" s="109">
        <f t="shared" si="5"/>
        <v>9255.2</v>
      </c>
      <c r="AK8" s="111"/>
      <c r="AL8" s="109">
        <f t="shared" si="6"/>
        <v>9728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>IF(SUMPRODUCT(N(E$1:E$20=E8))&gt;1,"重复","不")</f>
        <v>不</v>
      </c>
      <c r="AT8" s="118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301.6</v>
      </c>
      <c r="N9" s="72">
        <v>90.4</v>
      </c>
      <c r="O9" s="72">
        <v>11.31</v>
      </c>
      <c r="P9" s="72">
        <v>100</v>
      </c>
      <c r="Q9" s="91">
        <f t="shared" si="0"/>
        <v>503.31</v>
      </c>
      <c r="R9" s="73">
        <v>0</v>
      </c>
      <c r="S9" s="92">
        <f>L9+IFERROR(VLOOKUP($E:$E,'（居民）工资表-11月'!$E:$S,15,0),0)</f>
        <v>78000</v>
      </c>
      <c r="T9" s="93">
        <f>5000+IFERROR(VLOOKUP($E:$E,'（居民）工资表-11月'!$E:$T,16,0),0)</f>
        <v>60000</v>
      </c>
      <c r="U9" s="93">
        <f>Q9+IFERROR(VLOOKUP($E:$E,'（居民）工资表-11月'!$E:$U,17,0),0)</f>
        <v>6087.85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R9+IFERROR(VLOOKUP($E:$E,'（居民）工资表-11月'!$E:$AC,25,0),0)</f>
        <v>0</v>
      </c>
      <c r="AD9" s="97">
        <f t="shared" si="2"/>
        <v>11912.15</v>
      </c>
      <c r="AE9" s="98">
        <f>ROUND(MAX((AD9)*{0.03;0.1;0.2;0.25;0.3;0.35;0.45}-{0;2520;16920;31920;52920;85920;181920},0),2)</f>
        <v>357.36</v>
      </c>
      <c r="AF9" s="99">
        <f>IFERROR(VLOOKUP(E:E,'（居民）工资表-11月'!E:AF,28,0)+VLOOKUP(E:E,'（居民）工资表-11月'!E:AG,29,0),0)</f>
        <v>327.46</v>
      </c>
      <c r="AG9" s="99">
        <f t="shared" si="3"/>
        <v>29.9</v>
      </c>
      <c r="AH9" s="109">
        <f t="shared" si="4"/>
        <v>5966.79</v>
      </c>
      <c r="AI9" s="110"/>
      <c r="AJ9" s="109">
        <f t="shared" si="5"/>
        <v>5966.79</v>
      </c>
      <c r="AK9" s="111"/>
      <c r="AL9" s="109">
        <f t="shared" si="6"/>
        <v>5996.69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>IF(SUMPRODUCT(N(E$1:E$20=E9))&gt;1,"重复","不")</f>
        <v>不</v>
      </c>
      <c r="AT9" s="118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329.44</v>
      </c>
      <c r="N10" s="72">
        <v>87.36</v>
      </c>
      <c r="O10" s="72">
        <v>20.59</v>
      </c>
      <c r="P10" s="72">
        <v>105</v>
      </c>
      <c r="Q10" s="91">
        <f t="shared" si="0"/>
        <v>542.39</v>
      </c>
      <c r="R10" s="73">
        <v>0</v>
      </c>
      <c r="S10" s="92">
        <f>L10+IFERROR(VLOOKUP($E:$E,'（居民）工资表-11月'!$E:$S,15,0),0)</f>
        <v>55000</v>
      </c>
      <c r="T10" s="93">
        <f>5000+IFERROR(VLOOKUP($E:$E,'（居民）工资表-11月'!$E:$T,16,0),0)</f>
        <v>50000</v>
      </c>
      <c r="U10" s="93">
        <f>Q10+IFERROR(VLOOKUP($E:$E,'（居民）工资表-11月'!$E:$U,17,0),0)</f>
        <v>5474.65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R10+IFERROR(VLOOKUP($E:$E,'（居民）工资表-11月'!$E:$AC,25,0),0)</f>
        <v>0</v>
      </c>
      <c r="AD10" s="97">
        <f t="shared" si="2"/>
        <v>-474.65</v>
      </c>
      <c r="AE10" s="98">
        <f>ROUND(MAX((AD10)*{0.03;0.1;0.2;0.25;0.3;0.35;0.45}-{0;2520;16920;31920;52920;85920;181920},0),2)</f>
        <v>0</v>
      </c>
      <c r="AF10" s="99">
        <f>IFERROR(VLOOKUP(E:E,'（居民）工资表-11月'!E:AF,28,0)+VLOOKUP(E:E,'（居民）工资表-11月'!E:AG,29,0),0)</f>
        <v>0</v>
      </c>
      <c r="AG10" s="99">
        <f t="shared" si="3"/>
        <v>0</v>
      </c>
      <c r="AH10" s="109">
        <f t="shared" si="4"/>
        <v>4957.61</v>
      </c>
      <c r="AI10" s="110"/>
      <c r="AJ10" s="109">
        <f t="shared" si="5"/>
        <v>4957.61</v>
      </c>
      <c r="AK10" s="111"/>
      <c r="AL10" s="109">
        <f t="shared" si="6"/>
        <v>4957.61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>IF(SUMPRODUCT(N(E$1:E$20=E10))&gt;1,"重复","不")</f>
        <v>不</v>
      </c>
      <c r="AT10" s="118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41" t="s">
        <v>170</v>
      </c>
      <c r="H11" s="40"/>
      <c r="I11" s="40"/>
      <c r="J11" s="70"/>
      <c r="K11" s="40"/>
      <c r="L11" s="73">
        <v>4162.8</v>
      </c>
      <c r="M11" s="72">
        <v>492.4</v>
      </c>
      <c r="N11" s="72">
        <v>144.1</v>
      </c>
      <c r="O11" s="72">
        <v>30.78</v>
      </c>
      <c r="P11" s="72">
        <v>109</v>
      </c>
      <c r="Q11" s="91">
        <f t="shared" si="0"/>
        <v>776.28</v>
      </c>
      <c r="R11" s="73">
        <v>0</v>
      </c>
      <c r="S11" s="92">
        <f>L11+IFERROR(VLOOKUP($E:$E,'（居民）工资表-11月'!$E:$S,15,0),0)</f>
        <v>54603.68</v>
      </c>
      <c r="T11" s="93">
        <f>5000+IFERROR(VLOOKUP($E:$E,'（居民）工资表-11月'!$E:$T,16,0),0)</f>
        <v>60000</v>
      </c>
      <c r="U11" s="93">
        <f>Q11+IFERROR(VLOOKUP($E:$E,'（居民）工资表-11月'!$E:$U,17,0),0)</f>
        <v>7371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R11+IFERROR(VLOOKUP($E:$E,'（居民）工资表-11月'!$E:$AC,25,0),0)</f>
        <v>0</v>
      </c>
      <c r="AD11" s="97">
        <f t="shared" si="2"/>
        <v>-12767.32</v>
      </c>
      <c r="AE11" s="98">
        <f>ROUND(MAX((AD11)*{0.03;0.1;0.2;0.25;0.3;0.35;0.45}-{0;2520;16920;31920;52920;85920;181920},0),2)</f>
        <v>0</v>
      </c>
      <c r="AF11" s="99">
        <f>IFERROR(VLOOKUP(E:E,'（居民）工资表-11月'!E:AF,28,0)+VLOOKUP(E:E,'（居民）工资表-11月'!E:AG,29,0),0)</f>
        <v>0</v>
      </c>
      <c r="AG11" s="99">
        <f t="shared" si="3"/>
        <v>0</v>
      </c>
      <c r="AH11" s="109">
        <f t="shared" si="4"/>
        <v>3386.52</v>
      </c>
      <c r="AI11" s="110"/>
      <c r="AJ11" s="109">
        <f t="shared" si="5"/>
        <v>3386.52</v>
      </c>
      <c r="AK11" s="111"/>
      <c r="AL11" s="109">
        <f t="shared" si="6"/>
        <v>3386.52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>IF(SUMPRODUCT(N(E$1:E$20=E11))&gt;1,"重复","不")</f>
        <v>不</v>
      </c>
      <c r="AT11" s="118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41">
        <v>18356553626</v>
      </c>
      <c r="H12" s="40"/>
      <c r="I12" s="40"/>
      <c r="J12" s="70"/>
      <c r="K12" s="40"/>
      <c r="L12" s="73">
        <v>8500</v>
      </c>
      <c r="M12" s="72">
        <v>321.52</v>
      </c>
      <c r="N12" s="72">
        <v>120.38</v>
      </c>
      <c r="O12" s="72">
        <v>20.1</v>
      </c>
      <c r="P12" s="72">
        <v>97</v>
      </c>
      <c r="Q12" s="91">
        <f t="shared" si="0"/>
        <v>559</v>
      </c>
      <c r="R12" s="73">
        <v>0</v>
      </c>
      <c r="S12" s="92">
        <f>L12+IFERROR(VLOOKUP($E:$E,'（居民）工资表-11月'!$E:$S,15,0),0)</f>
        <v>104518.18</v>
      </c>
      <c r="T12" s="93">
        <f>5000+IFERROR(VLOOKUP($E:$E,'（居民）工资表-11月'!$E:$T,16,0),0)</f>
        <v>60000</v>
      </c>
      <c r="U12" s="93">
        <f>Q12+IFERROR(VLOOKUP($E:$E,'（居民）工资表-11月'!$E:$U,17,0),0)</f>
        <v>6762.97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R12+IFERROR(VLOOKUP($E:$E,'（居民）工资表-11月'!$E:$AC,25,0),0)</f>
        <v>0</v>
      </c>
      <c r="AD12" s="97">
        <f t="shared" si="2"/>
        <v>37755.21</v>
      </c>
      <c r="AE12" s="98">
        <f>ROUND(MAX((AD12)*{0.03;0.1;0.2;0.25;0.3;0.35;0.45}-{0;2520;16920;31920;52920;85920;181920},0),2)</f>
        <v>1255.52</v>
      </c>
      <c r="AF12" s="99">
        <f>IFERROR(VLOOKUP(E:E,'（居民）工资表-11月'!E:AF,28,0)+VLOOKUP(E:E,'（居民）工资表-11月'!E:AG,29,0),0)</f>
        <v>1044.43</v>
      </c>
      <c r="AG12" s="99">
        <f t="shared" si="3"/>
        <v>211.09</v>
      </c>
      <c r="AH12" s="109">
        <f t="shared" si="4"/>
        <v>7729.91</v>
      </c>
      <c r="AI12" s="110"/>
      <c r="AJ12" s="109">
        <f t="shared" si="5"/>
        <v>7729.91</v>
      </c>
      <c r="AK12" s="111"/>
      <c r="AL12" s="109">
        <f t="shared" si="6"/>
        <v>7941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>IF(SUMPRODUCT(N(E$1:E$20=E12))&gt;1,"重复","不")</f>
        <v>不</v>
      </c>
      <c r="AT12" s="118" t="str">
        <f>IF(SUMPRODUCT(N(AO$1:AO$20=AO12))&gt;1,"重复","不")</f>
        <v>重复</v>
      </c>
      <c r="AU12" s="12" t="s">
        <v>171</v>
      </c>
      <c r="AV12" s="12" t="s">
        <v>172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41">
        <v>18326897140</v>
      </c>
      <c r="H13" s="40"/>
      <c r="I13" s="40"/>
      <c r="J13" s="70"/>
      <c r="K13" s="40"/>
      <c r="L13" s="73">
        <v>7000</v>
      </c>
      <c r="M13" s="72">
        <v>321.52</v>
      </c>
      <c r="N13" s="72">
        <v>86.38</v>
      </c>
      <c r="O13" s="72">
        <v>20.1</v>
      </c>
      <c r="P13" s="72">
        <v>344</v>
      </c>
      <c r="Q13" s="91">
        <f t="shared" si="0"/>
        <v>772</v>
      </c>
      <c r="R13" s="73">
        <v>0</v>
      </c>
      <c r="S13" s="92">
        <f>L13+IFERROR(VLOOKUP($E:$E,'（居民）工资表-11月'!$E:$S,15,0),0)</f>
        <v>85512.05</v>
      </c>
      <c r="T13" s="93">
        <f>5000+IFERROR(VLOOKUP($E:$E,'（居民）工资表-11月'!$E:$T,16,0),0)</f>
        <v>60000</v>
      </c>
      <c r="U13" s="93">
        <f>Q13+IFERROR(VLOOKUP($E:$E,'（居民）工资表-11月'!$E:$U,17,0),0)</f>
        <v>8290.87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R13+IFERROR(VLOOKUP($E:$E,'（居民）工资表-11月'!$E:$AC,25,0),0)</f>
        <v>0</v>
      </c>
      <c r="AD13" s="97">
        <f t="shared" si="2"/>
        <v>17221.18</v>
      </c>
      <c r="AE13" s="98">
        <f>ROUND(MAX((AD13)*{0.03;0.1;0.2;0.25;0.3;0.35;0.45}-{0;2520;16920;31920;52920;85920;181920},0),2)</f>
        <v>516.64</v>
      </c>
      <c r="AF13" s="99">
        <f>IFERROR(VLOOKUP(E:E,'（居民）工资表-11月'!E:AF,28,0)+VLOOKUP(E:E,'（居民）工资表-11月'!E:AG,29,0),0)</f>
        <v>479.8</v>
      </c>
      <c r="AG13" s="99">
        <f t="shared" si="3"/>
        <v>36.84</v>
      </c>
      <c r="AH13" s="109">
        <f t="shared" si="4"/>
        <v>6191.16</v>
      </c>
      <c r="AI13" s="110"/>
      <c r="AJ13" s="109">
        <f t="shared" si="5"/>
        <v>6191.16</v>
      </c>
      <c r="AK13" s="111"/>
      <c r="AL13" s="109">
        <f t="shared" si="6"/>
        <v>6228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>IF(SUMPRODUCT(N(E$1:E$20=E13))&gt;1,"重复","不")</f>
        <v>不</v>
      </c>
      <c r="AT13" s="118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41">
        <v>17201857014</v>
      </c>
      <c r="H14" s="40"/>
      <c r="I14" s="40"/>
      <c r="J14" s="70"/>
      <c r="K14" s="40"/>
      <c r="L14" s="73">
        <v>7000</v>
      </c>
      <c r="M14" s="72">
        <v>321.52</v>
      </c>
      <c r="N14" s="72">
        <v>86.38</v>
      </c>
      <c r="O14" s="72">
        <v>20.1</v>
      </c>
      <c r="P14" s="72">
        <v>344</v>
      </c>
      <c r="Q14" s="91">
        <f t="shared" si="0"/>
        <v>772</v>
      </c>
      <c r="R14" s="73">
        <v>0</v>
      </c>
      <c r="S14" s="92">
        <f>L14+IFERROR(VLOOKUP($E:$E,'（居民）工资表-11月'!$E:$S,15,0),0)</f>
        <v>90958.7</v>
      </c>
      <c r="T14" s="93">
        <f>5000+IFERROR(VLOOKUP($E:$E,'（居民）工资表-11月'!$E:$T,16,0),0)</f>
        <v>60000</v>
      </c>
      <c r="U14" s="93">
        <f>Q14+IFERROR(VLOOKUP($E:$E,'（居民）工资表-11月'!$E:$U,17,0),0)</f>
        <v>8290.87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R14+IFERROR(VLOOKUP($E:$E,'（居民）工资表-11月'!$E:$AC,25,0),0)</f>
        <v>0</v>
      </c>
      <c r="AD14" s="97">
        <f t="shared" si="2"/>
        <v>22667.83</v>
      </c>
      <c r="AE14" s="98">
        <f>ROUND(MAX((AD14)*{0.03;0.1;0.2;0.25;0.3;0.35;0.45}-{0;2520;16920;31920;52920;85920;181920},0),2)</f>
        <v>680.03</v>
      </c>
      <c r="AF14" s="99">
        <f>IFERROR(VLOOKUP(E:E,'（居民）工资表-11月'!E:AF,28,0)+VLOOKUP(E:E,'（居民）工资表-11月'!E:AG,29,0),0)</f>
        <v>643.19</v>
      </c>
      <c r="AG14" s="99">
        <f t="shared" si="3"/>
        <v>36.8399999999999</v>
      </c>
      <c r="AH14" s="109">
        <f t="shared" si="4"/>
        <v>6191.16</v>
      </c>
      <c r="AI14" s="110"/>
      <c r="AJ14" s="109">
        <f t="shared" si="5"/>
        <v>6191.16</v>
      </c>
      <c r="AK14" s="111"/>
      <c r="AL14" s="109">
        <f t="shared" si="6"/>
        <v>6228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>IF(SUMPRODUCT(N(E$1:E$20=E14))&gt;1,"重复","不")</f>
        <v>不</v>
      </c>
      <c r="AT14" s="118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41" t="s">
        <v>181</v>
      </c>
      <c r="H15" s="40"/>
      <c r="I15" s="40"/>
      <c r="J15" s="70"/>
      <c r="K15" s="40"/>
      <c r="L15" s="73">
        <v>7000</v>
      </c>
      <c r="M15" s="72">
        <v>321.52</v>
      </c>
      <c r="N15" s="72">
        <v>120.38</v>
      </c>
      <c r="O15" s="72">
        <v>20.1</v>
      </c>
      <c r="P15" s="72">
        <v>97</v>
      </c>
      <c r="Q15" s="91">
        <f t="shared" si="0"/>
        <v>559</v>
      </c>
      <c r="R15" s="73">
        <v>0</v>
      </c>
      <c r="S15" s="92">
        <f>L15+IFERROR(VLOOKUP($E:$E,'（居民）工资表-11月'!$E:$S,15,0),0)</f>
        <v>87609.09</v>
      </c>
      <c r="T15" s="93">
        <f>5000+IFERROR(VLOOKUP($E:$E,'（居民）工资表-11月'!$E:$T,16,0),0)</f>
        <v>60000</v>
      </c>
      <c r="U15" s="93">
        <f>Q15+IFERROR(VLOOKUP($E:$E,'（居民）工资表-11月'!$E:$U,17,0),0)</f>
        <v>6762.97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R15+IFERROR(VLOOKUP($E:$E,'（居民）工资表-11月'!$E:$AC,25,0),0)</f>
        <v>0</v>
      </c>
      <c r="AD15" s="97">
        <f t="shared" si="2"/>
        <v>20846.12</v>
      </c>
      <c r="AE15" s="98">
        <f>ROUND(MAX((AD15)*{0.03;0.1;0.2;0.25;0.3;0.35;0.45}-{0;2520;16920;31920;52920;85920;181920},0),2)</f>
        <v>625.38</v>
      </c>
      <c r="AF15" s="99">
        <f>IFERROR(VLOOKUP(E:E,'（居民）工资表-11月'!E:AF,28,0)+VLOOKUP(E:E,'（居民）工资表-11月'!E:AG,29,0),0)</f>
        <v>582.15</v>
      </c>
      <c r="AG15" s="99">
        <f t="shared" si="3"/>
        <v>43.23</v>
      </c>
      <c r="AH15" s="109">
        <f t="shared" si="4"/>
        <v>6397.77</v>
      </c>
      <c r="AI15" s="110"/>
      <c r="AJ15" s="109">
        <f t="shared" si="5"/>
        <v>6397.77</v>
      </c>
      <c r="AK15" s="111"/>
      <c r="AL15" s="109">
        <f t="shared" si="6"/>
        <v>6441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>IF(SUMPRODUCT(N(E$1:E$20=E15))&gt;1,"重复","不")</f>
        <v>不</v>
      </c>
      <c r="AT15" s="118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41">
        <v>15855788591</v>
      </c>
      <c r="H16" s="40"/>
      <c r="I16" s="40"/>
      <c r="J16" s="70"/>
      <c r="K16" s="40"/>
      <c r="L16" s="73">
        <v>6380</v>
      </c>
      <c r="M16" s="72">
        <v>321.52</v>
      </c>
      <c r="N16" s="72">
        <v>89.09</v>
      </c>
      <c r="O16" s="72">
        <v>20.1</v>
      </c>
      <c r="P16" s="72">
        <v>97</v>
      </c>
      <c r="Q16" s="91">
        <f t="shared" si="0"/>
        <v>527.71</v>
      </c>
      <c r="R16" s="73">
        <v>0</v>
      </c>
      <c r="S16" s="92">
        <f>L16+IFERROR(VLOOKUP($E:$E,'（居民）工资表-11月'!$E:$S,15,0),0)</f>
        <v>76313.74</v>
      </c>
      <c r="T16" s="93">
        <f>5000+IFERROR(VLOOKUP($E:$E,'（居民）工资表-11月'!$E:$T,16,0),0)</f>
        <v>60000</v>
      </c>
      <c r="U16" s="93">
        <f>Q16+IFERROR(VLOOKUP($E:$E,'（居民）工资表-11月'!$E:$U,17,0),0)</f>
        <v>6408.13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R16+IFERROR(VLOOKUP($E:$E,'（居民）工资表-11月'!$E:$AC,25,0),0)</f>
        <v>0</v>
      </c>
      <c r="AD16" s="97">
        <f t="shared" si="2"/>
        <v>9905.61</v>
      </c>
      <c r="AE16" s="98">
        <f>ROUND(MAX((AD16)*{0.03;0.1;0.2;0.25;0.3;0.35;0.45}-{0;2520;16920;31920;52920;85920;181920},0),2)</f>
        <v>297.17</v>
      </c>
      <c r="AF16" s="99">
        <f>IFERROR(VLOOKUP(E:E,'（居民）工资表-11月'!E:AF,28,0)+VLOOKUP(E:E,'（居民）工资表-11月'!E:AG,29,0),0)</f>
        <v>271.6</v>
      </c>
      <c r="AG16" s="99">
        <f t="shared" si="3"/>
        <v>25.57</v>
      </c>
      <c r="AH16" s="109">
        <f t="shared" si="4"/>
        <v>5826.72</v>
      </c>
      <c r="AI16" s="110"/>
      <c r="AJ16" s="109">
        <f t="shared" si="5"/>
        <v>5826.72</v>
      </c>
      <c r="AK16" s="111"/>
      <c r="AL16" s="109">
        <f t="shared" si="6"/>
        <v>5852.29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>IF(SUMPRODUCT(N(E$1:E$20=E16))&gt;1,"重复","不")</f>
        <v>不</v>
      </c>
      <c r="AT16" s="118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41">
        <v>13873717760</v>
      </c>
      <c r="H17" s="40"/>
      <c r="I17" s="40"/>
      <c r="J17" s="70"/>
      <c r="K17" s="40"/>
      <c r="L17" s="73">
        <v>6560</v>
      </c>
      <c r="M17" s="72">
        <v>301.6</v>
      </c>
      <c r="N17" s="72">
        <v>90.4</v>
      </c>
      <c r="O17" s="72">
        <v>11.31</v>
      </c>
      <c r="P17" s="72">
        <v>175</v>
      </c>
      <c r="Q17" s="91">
        <f t="shared" si="0"/>
        <v>578.31</v>
      </c>
      <c r="R17" s="73">
        <v>0</v>
      </c>
      <c r="S17" s="92">
        <f>L17+IFERROR(VLOOKUP($E:$E,'（居民）工资表-11月'!$E:$S,15,0),0)</f>
        <v>66825</v>
      </c>
      <c r="T17" s="93">
        <f>5000+IFERROR(VLOOKUP($E:$E,'（居民）工资表-11月'!$E:$T,16,0),0)</f>
        <v>50000</v>
      </c>
      <c r="U17" s="93">
        <f>Q17+IFERROR(VLOOKUP($E:$E,'（居民）工资表-11月'!$E:$U,17,0),0)</f>
        <v>5927.27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R17+IFERROR(VLOOKUP($E:$E,'（居民）工资表-11月'!$E:$AC,25,0),0)</f>
        <v>0</v>
      </c>
      <c r="AD17" s="97">
        <f t="shared" si="2"/>
        <v>10897.73</v>
      </c>
      <c r="AE17" s="98">
        <f>ROUND(MAX((AD17)*{0.03;0.1;0.2;0.25;0.3;0.35;0.45}-{0;2520;16920;31920;52920;85920;181920},0),2)</f>
        <v>326.93</v>
      </c>
      <c r="AF17" s="99">
        <f>IFERROR(VLOOKUP(E:E,'（居民）工资表-11月'!E:AF,28,0)+VLOOKUP(E:E,'（居民）工资表-11月'!E:AG,29,0),0)</f>
        <v>297.48</v>
      </c>
      <c r="AG17" s="99">
        <f t="shared" si="3"/>
        <v>29.45</v>
      </c>
      <c r="AH17" s="109">
        <f t="shared" si="4"/>
        <v>5952.24</v>
      </c>
      <c r="AI17" s="110"/>
      <c r="AJ17" s="109">
        <f t="shared" si="5"/>
        <v>5952.24</v>
      </c>
      <c r="AK17" s="111"/>
      <c r="AL17" s="109">
        <f t="shared" si="6"/>
        <v>5981.69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>IF(SUMPRODUCT(N(E$1:E$20=E17))&gt;1,"重复","不")</f>
        <v>不</v>
      </c>
      <c r="AT17" s="118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38" t="s">
        <v>148</v>
      </c>
      <c r="G18" s="41"/>
      <c r="H18" s="40"/>
      <c r="I18" s="40"/>
      <c r="J18" s="70"/>
      <c r="K18" s="40"/>
      <c r="L18" s="73">
        <v>6000</v>
      </c>
      <c r="M18" s="72">
        <v>321.52</v>
      </c>
      <c r="N18" s="72">
        <v>80.38</v>
      </c>
      <c r="O18" s="72">
        <v>20.1</v>
      </c>
      <c r="P18" s="72">
        <v>103</v>
      </c>
      <c r="Q18" s="91">
        <f t="shared" si="0"/>
        <v>525</v>
      </c>
      <c r="R18" s="73">
        <v>0</v>
      </c>
      <c r="S18" s="92">
        <f>L18+IFERROR(VLOOKUP($E:$E,'（居民）工资表-11月'!$E:$S,15,0),0)</f>
        <v>46236.37</v>
      </c>
      <c r="T18" s="93">
        <f>5000+IFERROR(VLOOKUP($E:$E,'（居民）工资表-11月'!$E:$T,16,0),0)</f>
        <v>40000</v>
      </c>
      <c r="U18" s="93">
        <f>Q18+IFERROR(VLOOKUP($E:$E,'（居民）工资表-11月'!$E:$U,17,0),0)</f>
        <v>4724.97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R18+IFERROR(VLOOKUP($E:$E,'（居民）工资表-11月'!$E:$AC,25,0),0)</f>
        <v>0</v>
      </c>
      <c r="AD18" s="97">
        <f t="shared" si="2"/>
        <v>1511.4</v>
      </c>
      <c r="AE18" s="98">
        <f>ROUND(MAX((AD18)*{0.03;0.1;0.2;0.25;0.3;0.35;0.45}-{0;2520;16920;31920;52920;85920;181920},0),2)</f>
        <v>45.34</v>
      </c>
      <c r="AF18" s="99">
        <f>IFERROR(VLOOKUP(E:E,'（居民）工资表-11月'!E:AF,28,0)+VLOOKUP(E:E,'（居民）工资表-11月'!E:AG,29,0),0)</f>
        <v>31.09</v>
      </c>
      <c r="AG18" s="99">
        <f t="shared" si="3"/>
        <v>14.25</v>
      </c>
      <c r="AH18" s="109">
        <f t="shared" si="4"/>
        <v>5460.75</v>
      </c>
      <c r="AI18" s="110"/>
      <c r="AJ18" s="109">
        <f t="shared" si="5"/>
        <v>5460.75</v>
      </c>
      <c r="AK18" s="111"/>
      <c r="AL18" s="109">
        <f t="shared" si="6"/>
        <v>5475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>IF(SUMPRODUCT(N(E$1:E$20=E18))&gt;1,"重复","不")</f>
        <v>不</v>
      </c>
      <c r="AT18" s="118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188</v>
      </c>
      <c r="D19" s="37" t="s">
        <v>143</v>
      </c>
      <c r="E19" s="327" t="s">
        <v>189</v>
      </c>
      <c r="F19" s="38" t="s">
        <v>148</v>
      </c>
      <c r="G19" s="41">
        <v>15571147351</v>
      </c>
      <c r="H19" s="40"/>
      <c r="I19" s="40"/>
      <c r="J19" s="70"/>
      <c r="K19" s="40"/>
      <c r="L19" s="73">
        <v>7250</v>
      </c>
      <c r="M19" s="72">
        <v>0</v>
      </c>
      <c r="N19" s="72">
        <v>0</v>
      </c>
      <c r="O19" s="72">
        <v>0</v>
      </c>
      <c r="P19" s="72">
        <v>0</v>
      </c>
      <c r="Q19" s="91">
        <f t="shared" si="0"/>
        <v>0</v>
      </c>
      <c r="R19" s="73">
        <v>0</v>
      </c>
      <c r="S19" s="92">
        <f>L19+IFERROR(VLOOKUP($E:$E,'（居民）工资表-11月'!$E:$S,15,0),0)</f>
        <v>27058.14</v>
      </c>
      <c r="T19" s="93">
        <f>5000+IFERROR(VLOOKUP($E:$E,'（居民）工资表-11月'!$E:$T,16,0),0)</f>
        <v>30000</v>
      </c>
      <c r="U19" s="93">
        <f>Q19+IFERROR(VLOOKUP($E:$E,'（居民）工资表-11月'!$E:$U,17,0),0)</f>
        <v>3227.4</v>
      </c>
      <c r="V19" s="73"/>
      <c r="W19" s="73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R19+IFERROR(VLOOKUP($E:$E,'（居民）工资表-11月'!$E:$AC,25,0),0)</f>
        <v>0</v>
      </c>
      <c r="AD19" s="97">
        <f t="shared" si="2"/>
        <v>-6169.26</v>
      </c>
      <c r="AE19" s="98">
        <f>ROUND(MAX((AD19)*{0.03;0.1;0.2;0.25;0.3;0.35;0.45}-{0;2520;16920;31920;52920;85920;181920},0),2)</f>
        <v>0</v>
      </c>
      <c r="AF19" s="99">
        <f>IFERROR(VLOOKUP(E:E,'（居民）工资表-11月'!E:AF,28,0)+VLOOKUP(E:E,'（居民）工资表-11月'!E:AG,29,0),0)</f>
        <v>0</v>
      </c>
      <c r="AG19" s="99">
        <f t="shared" si="3"/>
        <v>0</v>
      </c>
      <c r="AH19" s="109">
        <f t="shared" si="4"/>
        <v>7250</v>
      </c>
      <c r="AI19" s="110"/>
      <c r="AJ19" s="109">
        <f t="shared" si="5"/>
        <v>7250</v>
      </c>
      <c r="AK19" s="111"/>
      <c r="AL19" s="109">
        <f t="shared" si="6"/>
        <v>7250</v>
      </c>
      <c r="AM19" s="111"/>
      <c r="AN19" s="111"/>
      <c r="AO19" s="111"/>
      <c r="AP19" s="111"/>
      <c r="AQ19" s="111"/>
      <c r="AR19" s="118" t="str">
        <f t="shared" si="7"/>
        <v>正确</v>
      </c>
      <c r="AS19" s="118" t="str">
        <f>IF(SUMPRODUCT(N(E$1:E$20=E19))&gt;1,"重复","不")</f>
        <v>不</v>
      </c>
      <c r="AT19" s="118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192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 t="shared" ref="L21:AL21" si="8">SUM(L4:L20)</f>
        <v>135632.8</v>
      </c>
      <c r="M21" s="76">
        <f t="shared" si="8"/>
        <v>5324.18</v>
      </c>
      <c r="N21" s="76">
        <f t="shared" si="8"/>
        <v>1510.26</v>
      </c>
      <c r="O21" s="76">
        <f t="shared" si="8"/>
        <v>287.92</v>
      </c>
      <c r="P21" s="76">
        <f t="shared" si="8"/>
        <v>2485</v>
      </c>
      <c r="Q21" s="76">
        <f t="shared" si="8"/>
        <v>9607.36</v>
      </c>
      <c r="R21" s="76">
        <f t="shared" si="8"/>
        <v>0</v>
      </c>
      <c r="S21" s="76">
        <f t="shared" si="8"/>
        <v>1521274.95</v>
      </c>
      <c r="T21" s="76">
        <f t="shared" si="8"/>
        <v>890000</v>
      </c>
      <c r="U21" s="76">
        <f t="shared" si="8"/>
        <v>110074.78</v>
      </c>
      <c r="V21" s="76">
        <f t="shared" si="8"/>
        <v>12000</v>
      </c>
      <c r="W21" s="76">
        <f t="shared" si="8"/>
        <v>0</v>
      </c>
      <c r="X21" s="76">
        <f t="shared" si="8"/>
        <v>12000</v>
      </c>
      <c r="Y21" s="76">
        <f t="shared" si="8"/>
        <v>0</v>
      </c>
      <c r="Z21" s="76">
        <f t="shared" si="8"/>
        <v>4800</v>
      </c>
      <c r="AA21" s="76">
        <f t="shared" si="8"/>
        <v>0</v>
      </c>
      <c r="AB21" s="76">
        <f t="shared" si="8"/>
        <v>28800</v>
      </c>
      <c r="AC21" s="76">
        <f t="shared" si="8"/>
        <v>0</v>
      </c>
      <c r="AD21" s="76">
        <f t="shared" si="8"/>
        <v>492400.17</v>
      </c>
      <c r="AE21" s="76">
        <f t="shared" si="8"/>
        <v>49825.27</v>
      </c>
      <c r="AF21" s="76">
        <f t="shared" si="8"/>
        <v>44769.53</v>
      </c>
      <c r="AG21" s="76">
        <f t="shared" si="8"/>
        <v>5843.36</v>
      </c>
      <c r="AH21" s="76">
        <f t="shared" si="8"/>
        <v>120182.08</v>
      </c>
      <c r="AI21" s="126">
        <f t="shared" si="8"/>
        <v>0</v>
      </c>
      <c r="AJ21" s="76">
        <f t="shared" si="8"/>
        <v>120182.08</v>
      </c>
      <c r="AK21" s="76">
        <f t="shared" si="8"/>
        <v>0</v>
      </c>
      <c r="AL21" s="76">
        <f t="shared" si="8"/>
        <v>126025.44</v>
      </c>
      <c r="AM21" s="112"/>
      <c r="AN21" s="112"/>
      <c r="AO21" s="112"/>
      <c r="AP21" s="112"/>
      <c r="AQ21" s="112"/>
      <c r="AR21" s="46"/>
      <c r="AS21" s="46"/>
      <c r="AT21" s="120"/>
    </row>
    <row r="24" spans="30:30">
      <c r="AD24" s="103"/>
    </row>
    <row r="25" ht="18.75" customHeight="1" spans="2:30">
      <c r="B25" s="48" t="s">
        <v>131</v>
      </c>
      <c r="C25" s="48" t="s">
        <v>193</v>
      </c>
      <c r="D25" s="48" t="s">
        <v>22</v>
      </c>
      <c r="E25" s="48" t="s">
        <v>23</v>
      </c>
      <c r="AD25" s="10"/>
    </row>
    <row r="26" ht="18.75" customHeight="1" spans="2:5">
      <c r="B26" s="49">
        <f>AJ21</f>
        <v>120182.08</v>
      </c>
      <c r="C26" s="49">
        <f>AG21</f>
        <v>5843.36</v>
      </c>
      <c r="D26" s="49">
        <f>AK21</f>
        <v>0</v>
      </c>
      <c r="E26" s="49">
        <f>B26+C26+D26</f>
        <v>126025.44</v>
      </c>
    </row>
    <row r="27" spans="2:5">
      <c r="B27" s="50"/>
      <c r="C27" s="50"/>
      <c r="D27" s="50"/>
      <c r="E27" s="50"/>
    </row>
    <row r="28" s="14" customFormat="1" spans="1:35">
      <c r="A28" s="52" t="s">
        <v>194</v>
      </c>
      <c r="B28" s="53" t="s">
        <v>195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196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197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198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199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200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201</v>
      </c>
    </row>
    <row r="36" spans="2:2">
      <c r="B36" s="60" t="s">
        <v>202</v>
      </c>
    </row>
    <row r="37" spans="2:2">
      <c r="B37" s="60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tabSelected="1" workbookViewId="0">
      <pane xSplit="6" ySplit="3" topLeftCell="G12" activePane="bottomRight" state="frozen"/>
      <selection/>
      <selection pane="topRight"/>
      <selection pane="bottomLeft"/>
      <selection pane="bottomRight" activeCell="N16" sqref="N15:N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>
        <f>U4/2</f>
        <v>636.7</v>
      </c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213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79.86</v>
      </c>
      <c r="O4" s="72">
        <v>11.98</v>
      </c>
      <c r="P4" s="72">
        <v>177.4</v>
      </c>
      <c r="Q4" s="91">
        <f t="shared" ref="Q4:Q17" si="0">ROUND(SUM(M4:P4),2)</f>
        <v>588.7</v>
      </c>
      <c r="R4" s="73">
        <v>0</v>
      </c>
      <c r="S4" s="92">
        <f>L4+IFERROR(VLOOKUP($E:$E,'（居民）工资表-1月'!$E:$S,15,0),0)</f>
        <v>16000</v>
      </c>
      <c r="T4" s="93">
        <f>5000+IFERROR(VLOOKUP($E:$E,'（居民）工资表-1月'!$E:$T,16,0),0)</f>
        <v>10000</v>
      </c>
      <c r="U4" s="93">
        <f>Q4+IFERROR(VLOOKUP($E:$E,'（居民）工资表-1月'!$E:$U,17,0),0)</f>
        <v>1273.4</v>
      </c>
      <c r="V4" s="73">
        <v>2000</v>
      </c>
      <c r="W4" s="73"/>
      <c r="X4" s="73">
        <v>2000</v>
      </c>
      <c r="Y4" s="73"/>
      <c r="Z4" s="73">
        <v>800</v>
      </c>
      <c r="AA4" s="125"/>
      <c r="AB4" s="92">
        <f>ROUND(SUM(V4:AA4),2)</f>
        <v>4800</v>
      </c>
      <c r="AC4" s="92">
        <f>R4+IFERROR(VLOOKUP($E:$E,'（居民）工资表-1月'!$E:$AC,25,0),0)</f>
        <v>0</v>
      </c>
      <c r="AD4" s="97">
        <f t="shared" ref="AD4:AD17" si="1">ROUND(S4-T4-U4-AB4-AC4,2)</f>
        <v>-73.4</v>
      </c>
      <c r="AE4" s="98">
        <f>ROUND(MAX((AD4)*{0.03;0.1;0.2;0.25;0.3;0.35;0.45}-{0;2520;16920;31920;52920;85920;181920},0),2)</f>
        <v>0</v>
      </c>
      <c r="AF4" s="99">
        <f>IFERROR(VLOOKUP(E:E,'（居民）工资表-1月'!E:AF,28,0)+VLOOKUP(E:E,'（居民）工资表-1月'!E:AG,29,0),0)</f>
        <v>69.46</v>
      </c>
      <c r="AG4" s="99">
        <f t="shared" ref="AG4:AG17" si="2">IF((AE4-AF4)&lt;0,0,AE4-AF4)</f>
        <v>0</v>
      </c>
      <c r="AH4" s="109">
        <f t="shared" ref="AH4:AH17" si="3">ROUND(IF((L4-Q4-AG4)&lt;0,0,(L4-Q4-AG4)),2)</f>
        <v>7411.3</v>
      </c>
      <c r="AI4" s="110"/>
      <c r="AJ4" s="109">
        <f t="shared" ref="AJ4:AJ17" si="4">AH4+AI4</f>
        <v>7411.3</v>
      </c>
      <c r="AK4" s="111"/>
      <c r="AL4" s="109">
        <f t="shared" ref="AL4:AL17" si="5">AJ4+AG4+AK4</f>
        <v>7411.3</v>
      </c>
      <c r="AM4" s="111"/>
      <c r="AN4" s="111"/>
      <c r="AO4" s="111"/>
      <c r="AP4" s="111"/>
      <c r="AQ4" s="111"/>
      <c r="AR4" s="118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2" si="7">IF(SUMPRODUCT(N(E$1:E$8=E4))&gt;1,"重复","不")</f>
        <v>不</v>
      </c>
      <c r="AT4" s="118" t="str">
        <f t="shared" ref="AT4:AT12" si="8">IF(SUMPRODUCT(N(AO$1:AO$8=AO4))&gt;1,"重复","不")</f>
        <v>重复</v>
      </c>
      <c r="AU4" s="12" t="s">
        <v>214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126.36</v>
      </c>
      <c r="O5" s="72">
        <v>4.6</v>
      </c>
      <c r="P5" s="72">
        <v>115</v>
      </c>
      <c r="Q5" s="91">
        <f t="shared" si="0"/>
        <v>668.68</v>
      </c>
      <c r="R5" s="73">
        <v>0</v>
      </c>
      <c r="S5" s="92">
        <f>L5+IFERROR(VLOOKUP($E:$E,'（居民）工资表-1月'!$E:$S,15,0),0)</f>
        <v>11400</v>
      </c>
      <c r="T5" s="93">
        <f>5000+IFERROR(VLOOKUP($E:$E,'（居民）工资表-1月'!$E:$T,16,0),0)</f>
        <v>10000</v>
      </c>
      <c r="U5" s="93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2">
        <f t="shared" ref="AB5:AB17" si="9">ROUND(SUM(V5:AA5),2)</f>
        <v>0</v>
      </c>
      <c r="AC5" s="92">
        <f>R5+IFERROR(VLOOKUP($E:$E,'（居民）工资表-1月'!$E:$AC,25,0),0)</f>
        <v>0</v>
      </c>
      <c r="AD5" s="97">
        <f t="shared" si="1"/>
        <v>75.52</v>
      </c>
      <c r="AE5" s="98">
        <f>ROUND(MAX((AD5)*{0.03;0.1;0.2;0.25;0.3;0.35;0.45}-{0;2520;16920;31920;52920;85920;181920},0),2)</f>
        <v>2.27</v>
      </c>
      <c r="AF5" s="99">
        <f>IFERROR(VLOOKUP(E:E,'（居民）工资表-1月'!E:AF,28,0)+VLOOKUP(E:E,'（居民）工资表-1月'!E:AG,29,0),0)</f>
        <v>1.33</v>
      </c>
      <c r="AG5" s="99">
        <f t="shared" si="2"/>
        <v>0.94</v>
      </c>
      <c r="AH5" s="109">
        <f t="shared" si="3"/>
        <v>5030.38</v>
      </c>
      <c r="AI5" s="110"/>
      <c r="AJ5" s="109">
        <f t="shared" si="4"/>
        <v>5030.38</v>
      </c>
      <c r="AK5" s="111"/>
      <c r="AL5" s="109">
        <f t="shared" si="5"/>
        <v>5031.32</v>
      </c>
      <c r="AM5" s="111"/>
      <c r="AN5" s="111"/>
      <c r="AO5" s="111"/>
      <c r="AP5" s="111"/>
      <c r="AQ5" s="111"/>
      <c r="AR5" s="118" t="str">
        <f t="shared" si="6"/>
        <v>正确</v>
      </c>
      <c r="AS5" s="118" t="str">
        <f t="shared" si="7"/>
        <v>不</v>
      </c>
      <c r="AT5" s="118" t="str">
        <f t="shared" si="8"/>
        <v>重复</v>
      </c>
      <c r="AU5" s="12" t="s">
        <v>215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30060</v>
      </c>
      <c r="M6" s="72">
        <v>584.8</v>
      </c>
      <c r="N6" s="72">
        <v>146.2</v>
      </c>
      <c r="O6" s="72">
        <v>36.55</v>
      </c>
      <c r="P6" s="72">
        <v>181</v>
      </c>
      <c r="Q6" s="91">
        <f t="shared" si="0"/>
        <v>948.55</v>
      </c>
      <c r="R6" s="73">
        <v>0</v>
      </c>
      <c r="S6" s="92">
        <f>L6+IFERROR(VLOOKUP($E:$E,'（居民）工资表-1月'!$E:$S,15,0),0)</f>
        <v>60120</v>
      </c>
      <c r="T6" s="93">
        <f>5000+IFERROR(VLOOKUP($E:$E,'（居民）工资表-1月'!$E:$T,16,0),0)</f>
        <v>10000</v>
      </c>
      <c r="U6" s="93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2">
        <f t="shared" si="9"/>
        <v>0</v>
      </c>
      <c r="AC6" s="92">
        <f>R6+IFERROR(VLOOKUP($E:$E,'（居民）工资表-1月'!$E:$AC,25,0),0)</f>
        <v>0</v>
      </c>
      <c r="AD6" s="97">
        <f t="shared" si="1"/>
        <v>48222.9</v>
      </c>
      <c r="AE6" s="98">
        <f>ROUND(MAX((AD6)*{0.03;0.1;0.2;0.25;0.3;0.35;0.45}-{0;2520;16920;31920;52920;85920;181920},0),2)</f>
        <v>2302.29</v>
      </c>
      <c r="AF6" s="99">
        <f>IFERROR(VLOOKUP(E:E,'（居民）工资表-1月'!E:AF,28,0)+VLOOKUP(E:E,'（居民）工资表-1月'!E:AG,29,0),0)</f>
        <v>723.34</v>
      </c>
      <c r="AG6" s="99">
        <f t="shared" si="2"/>
        <v>1578.95</v>
      </c>
      <c r="AH6" s="109">
        <f t="shared" si="3"/>
        <v>27532.5</v>
      </c>
      <c r="AI6" s="110"/>
      <c r="AJ6" s="109">
        <f t="shared" si="4"/>
        <v>27532.5</v>
      </c>
      <c r="AK6" s="111"/>
      <c r="AL6" s="109">
        <f t="shared" si="5"/>
        <v>29111.45</v>
      </c>
      <c r="AM6" s="111"/>
      <c r="AN6" s="111"/>
      <c r="AO6" s="111"/>
      <c r="AP6" s="111"/>
      <c r="AQ6" s="111"/>
      <c r="AR6" s="118" t="str">
        <f t="shared" si="6"/>
        <v>正确</v>
      </c>
      <c r="AS6" s="118" t="str">
        <f t="shared" si="7"/>
        <v>不</v>
      </c>
      <c r="AT6" s="118" t="str">
        <f t="shared" si="8"/>
        <v>重复</v>
      </c>
      <c r="AU6" s="12" t="s">
        <v>216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8000</v>
      </c>
      <c r="M7" s="72">
        <v>321.52</v>
      </c>
      <c r="N7" s="72">
        <v>89.09</v>
      </c>
      <c r="O7" s="72">
        <v>20.1</v>
      </c>
      <c r="P7" s="72">
        <v>97</v>
      </c>
      <c r="Q7" s="91">
        <f t="shared" si="0"/>
        <v>527.71</v>
      </c>
      <c r="R7" s="73">
        <v>0</v>
      </c>
      <c r="S7" s="92">
        <f>L7+IFERROR(VLOOKUP($E:$E,'（居民）工资表-1月'!$E:$S,15,0),0)</f>
        <v>16000</v>
      </c>
      <c r="T7" s="93">
        <f>5000+IFERROR(VLOOKUP($E:$E,'（居民）工资表-1月'!$E:$T,16,0),0)</f>
        <v>10000</v>
      </c>
      <c r="U7" s="93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2">
        <f t="shared" si="9"/>
        <v>0</v>
      </c>
      <c r="AC7" s="92">
        <f>R7+IFERROR(VLOOKUP($E:$E,'（居民）工资表-1月'!$E:$AC,25,0),0)</f>
        <v>0</v>
      </c>
      <c r="AD7" s="97">
        <f t="shared" si="1"/>
        <v>4944.58</v>
      </c>
      <c r="AE7" s="98">
        <f>ROUND(MAX((AD7)*{0.03;0.1;0.2;0.25;0.3;0.35;0.45}-{0;2520;16920;31920;52920;85920;181920},0),2)</f>
        <v>148.34</v>
      </c>
      <c r="AF7" s="99">
        <f>IFERROR(VLOOKUP(E:E,'（居民）工资表-1月'!E:AF,28,0)+VLOOKUP(E:E,'（居民）工资表-1月'!E:AG,29,0),0)</f>
        <v>74.17</v>
      </c>
      <c r="AG7" s="99">
        <f t="shared" si="2"/>
        <v>74.17</v>
      </c>
      <c r="AH7" s="109">
        <f t="shared" si="3"/>
        <v>7398.12</v>
      </c>
      <c r="AI7" s="110"/>
      <c r="AJ7" s="109">
        <f t="shared" si="4"/>
        <v>7398.12</v>
      </c>
      <c r="AK7" s="111"/>
      <c r="AL7" s="109">
        <f t="shared" si="5"/>
        <v>7472.29</v>
      </c>
      <c r="AM7" s="111"/>
      <c r="AN7" s="111"/>
      <c r="AO7" s="111"/>
      <c r="AP7" s="111"/>
      <c r="AQ7" s="111"/>
      <c r="AR7" s="118" t="str">
        <f t="shared" si="6"/>
        <v>正确</v>
      </c>
      <c r="AS7" s="118" t="str">
        <f t="shared" si="7"/>
        <v>不</v>
      </c>
      <c r="AT7" s="118" t="str">
        <f t="shared" si="8"/>
        <v>重复</v>
      </c>
      <c r="AU7" s="12" t="s">
        <v>217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10500</v>
      </c>
      <c r="M8" s="72">
        <v>321.52</v>
      </c>
      <c r="N8" s="72">
        <v>86.38</v>
      </c>
      <c r="O8" s="72">
        <v>20.1</v>
      </c>
      <c r="P8" s="72">
        <v>344</v>
      </c>
      <c r="Q8" s="91">
        <f t="shared" si="0"/>
        <v>772</v>
      </c>
      <c r="R8" s="73">
        <v>0</v>
      </c>
      <c r="S8" s="92">
        <f>L8+IFERROR(VLOOKUP($E:$E,'（居民）工资表-1月'!$E:$S,15,0),0)</f>
        <v>21000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2">
        <f t="shared" si="9"/>
        <v>0</v>
      </c>
      <c r="AC8" s="92">
        <f>R8+IFERROR(VLOOKUP($E:$E,'（居民）工资表-1月'!$E:$AC,25,0),0)</f>
        <v>0</v>
      </c>
      <c r="AD8" s="97">
        <f t="shared" si="1"/>
        <v>9456</v>
      </c>
      <c r="AE8" s="98">
        <f>ROUND(MAX((AD8)*{0.03;0.1;0.2;0.25;0.3;0.35;0.45}-{0;2520;16920;31920;52920;85920;181920},0),2)</f>
        <v>283.68</v>
      </c>
      <c r="AF8" s="99">
        <f>IFERROR(VLOOKUP(E:E,'（居民）工资表-1月'!E:AF,28,0)+VLOOKUP(E:E,'（居民）工资表-1月'!E:AG,29,0),0)</f>
        <v>141.84</v>
      </c>
      <c r="AG8" s="99">
        <f t="shared" si="2"/>
        <v>141.84</v>
      </c>
      <c r="AH8" s="109">
        <f t="shared" si="3"/>
        <v>9586.16</v>
      </c>
      <c r="AI8" s="110"/>
      <c r="AJ8" s="109">
        <f t="shared" si="4"/>
        <v>9586.16</v>
      </c>
      <c r="AK8" s="111"/>
      <c r="AL8" s="109">
        <f t="shared" si="5"/>
        <v>9728</v>
      </c>
      <c r="AM8" s="111"/>
      <c r="AN8" s="111"/>
      <c r="AO8" s="111"/>
      <c r="AP8" s="111"/>
      <c r="AQ8" s="111"/>
      <c r="AR8" s="118" t="str">
        <f t="shared" si="6"/>
        <v>正确</v>
      </c>
      <c r="AS8" s="118" t="str">
        <f t="shared" si="7"/>
        <v>不</v>
      </c>
      <c r="AT8" s="118" t="str">
        <f t="shared" si="8"/>
        <v>重复</v>
      </c>
      <c r="AU8" s="12" t="s">
        <v>218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369.52</v>
      </c>
      <c r="N9" s="72">
        <v>90.4</v>
      </c>
      <c r="O9" s="72">
        <v>13.86</v>
      </c>
      <c r="P9" s="72">
        <v>100</v>
      </c>
      <c r="Q9" s="91">
        <f t="shared" si="0"/>
        <v>573.78</v>
      </c>
      <c r="R9" s="73">
        <v>0</v>
      </c>
      <c r="S9" s="92">
        <f>L9+IFERROR(VLOOKUP($E:$E,'（居民）工资表-1月'!$E:$S,15,0),0)</f>
        <v>13000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2">
        <f t="shared" si="9"/>
        <v>0</v>
      </c>
      <c r="AC9" s="92">
        <f>R9+IFERROR(VLOOKUP($E:$E,'（居民）工资表-1月'!$E:$AC,25,0),0)</f>
        <v>0</v>
      </c>
      <c r="AD9" s="97">
        <f t="shared" si="1"/>
        <v>1922.91</v>
      </c>
      <c r="AE9" s="98">
        <f>ROUND(MAX((AD9)*{0.03;0.1;0.2;0.25;0.3;0.35;0.45}-{0;2520;16920;31920;52920;85920;181920},0),2)</f>
        <v>57.69</v>
      </c>
      <c r="AF9" s="99">
        <f>IFERROR(VLOOKUP(E:E,'（居民）工资表-1月'!E:AF,28,0)+VLOOKUP(E:E,'（居民）工资表-1月'!E:AG,29,0),0)</f>
        <v>29.9</v>
      </c>
      <c r="AG9" s="99">
        <f t="shared" si="2"/>
        <v>27.79</v>
      </c>
      <c r="AH9" s="109">
        <f t="shared" si="3"/>
        <v>5898.43</v>
      </c>
      <c r="AI9" s="110"/>
      <c r="AJ9" s="109">
        <f t="shared" si="4"/>
        <v>5898.43</v>
      </c>
      <c r="AK9" s="111"/>
      <c r="AL9" s="109">
        <f t="shared" si="5"/>
        <v>5926.22</v>
      </c>
      <c r="AM9" s="111"/>
      <c r="AN9" s="111"/>
      <c r="AO9" s="111"/>
      <c r="AP9" s="111"/>
      <c r="AQ9" s="111"/>
      <c r="AR9" s="118" t="str">
        <f t="shared" si="6"/>
        <v>正确</v>
      </c>
      <c r="AS9" s="118" t="str">
        <f t="shared" si="7"/>
        <v>不</v>
      </c>
      <c r="AT9" s="118" t="str">
        <f t="shared" si="8"/>
        <v>重复</v>
      </c>
      <c r="AU9" s="12" t="s">
        <v>219</v>
      </c>
    </row>
    <row r="10" s="12" customFormat="1" ht="18" customHeight="1" spans="1:47">
      <c r="A10" s="36">
        <v>7</v>
      </c>
      <c r="B10" s="37" t="s">
        <v>142</v>
      </c>
      <c r="C10" s="37" t="s">
        <v>168</v>
      </c>
      <c r="D10" s="37" t="s">
        <v>143</v>
      </c>
      <c r="E10" s="327" t="s">
        <v>169</v>
      </c>
      <c r="F10" s="38" t="s">
        <v>148</v>
      </c>
      <c r="G10" s="41" t="s">
        <v>170</v>
      </c>
      <c r="H10" s="40"/>
      <c r="I10" s="40"/>
      <c r="J10" s="70"/>
      <c r="K10" s="40"/>
      <c r="L10" s="73">
        <v>4525.84</v>
      </c>
      <c r="M10" s="72">
        <v>380.08</v>
      </c>
      <c r="N10" s="72">
        <v>117.02</v>
      </c>
      <c r="O10" s="72">
        <v>23.76</v>
      </c>
      <c r="P10" s="72">
        <v>109</v>
      </c>
      <c r="Q10" s="91">
        <f t="shared" si="0"/>
        <v>629.86</v>
      </c>
      <c r="R10" s="73">
        <v>0</v>
      </c>
      <c r="S10" s="92">
        <f>L10+IFERROR(VLOOKUP($E:$E,'（居民）工资表-1月'!$E:$S,15,0),0)</f>
        <v>9051.68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2">
        <f t="shared" si="9"/>
        <v>0</v>
      </c>
      <c r="AC10" s="92">
        <f>R10+IFERROR(VLOOKUP($E:$E,'（居民）工资表-1月'!$E:$AC,25,0),0)</f>
        <v>0</v>
      </c>
      <c r="AD10" s="97">
        <f t="shared" si="1"/>
        <v>-2208.04</v>
      </c>
      <c r="AE10" s="98">
        <f>ROUND(MAX((AD10)*{0.03;0.1;0.2;0.25;0.3;0.35;0.45}-{0;2520;16920;31920;52920;85920;181920},0),2)</f>
        <v>0</v>
      </c>
      <c r="AF10" s="99">
        <f>IFERROR(VLOOKUP(E:E,'（居民）工资表-1月'!E:AF,28,0)+VLOOKUP(E:E,'（居民）工资表-1月'!E:AG,29,0),0)</f>
        <v>0</v>
      </c>
      <c r="AG10" s="99">
        <f t="shared" si="2"/>
        <v>0</v>
      </c>
      <c r="AH10" s="109">
        <f t="shared" si="3"/>
        <v>3895.98</v>
      </c>
      <c r="AI10" s="110"/>
      <c r="AJ10" s="109">
        <f t="shared" si="4"/>
        <v>3895.98</v>
      </c>
      <c r="AK10" s="111"/>
      <c r="AL10" s="109">
        <f t="shared" si="5"/>
        <v>3895.98</v>
      </c>
      <c r="AM10" s="111"/>
      <c r="AN10" s="111"/>
      <c r="AO10" s="111"/>
      <c r="AP10" s="111"/>
      <c r="AQ10" s="111"/>
      <c r="AR10" s="118" t="str">
        <f t="shared" si="6"/>
        <v>正确</v>
      </c>
      <c r="AS10" s="118" t="str">
        <f t="shared" si="7"/>
        <v>不</v>
      </c>
      <c r="AT10" s="118" t="str">
        <f t="shared" si="8"/>
        <v>重复</v>
      </c>
      <c r="AU10" s="12" t="s">
        <v>220</v>
      </c>
    </row>
    <row r="11" s="12" customFormat="1" ht="18" customHeight="1" spans="1:47">
      <c r="A11" s="36">
        <v>8</v>
      </c>
      <c r="B11" s="37" t="s">
        <v>142</v>
      </c>
      <c r="C11" s="37" t="s">
        <v>173</v>
      </c>
      <c r="D11" s="37" t="s">
        <v>143</v>
      </c>
      <c r="E11" s="327" t="s">
        <v>174</v>
      </c>
      <c r="F11" s="38" t="s">
        <v>144</v>
      </c>
      <c r="G11" s="41">
        <v>18356553626</v>
      </c>
      <c r="H11" s="40"/>
      <c r="I11" s="40"/>
      <c r="J11" s="70"/>
      <c r="K11" s="40"/>
      <c r="L11" s="73">
        <v>8500</v>
      </c>
      <c r="M11" s="72">
        <v>321.52</v>
      </c>
      <c r="N11" s="72">
        <v>120.38</v>
      </c>
      <c r="O11" s="72">
        <v>20.1</v>
      </c>
      <c r="P11" s="72">
        <v>97</v>
      </c>
      <c r="Q11" s="91">
        <f t="shared" si="0"/>
        <v>559</v>
      </c>
      <c r="R11" s="73">
        <v>0</v>
      </c>
      <c r="S11" s="92">
        <f>L11+IFERROR(VLOOKUP($E:$E,'（居民）工资表-1月'!$E:$S,15,0),0)</f>
        <v>17000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2">
        <f t="shared" si="9"/>
        <v>0</v>
      </c>
      <c r="AC11" s="92">
        <f>R11+IFERROR(VLOOKUP($E:$E,'（居民）工资表-1月'!$E:$AC,25,0),0)</f>
        <v>0</v>
      </c>
      <c r="AD11" s="97">
        <f t="shared" si="1"/>
        <v>5882</v>
      </c>
      <c r="AE11" s="98">
        <f>ROUND(MAX((AD11)*{0.03;0.1;0.2;0.25;0.3;0.35;0.45}-{0;2520;16920;31920;52920;85920;181920},0),2)</f>
        <v>176.46</v>
      </c>
      <c r="AF11" s="99">
        <f>IFERROR(VLOOKUP(E:E,'（居民）工资表-1月'!E:AF,28,0)+VLOOKUP(E:E,'（居民）工资表-1月'!E:AG,29,0),0)</f>
        <v>88.23</v>
      </c>
      <c r="AG11" s="99">
        <f t="shared" si="2"/>
        <v>88.23</v>
      </c>
      <c r="AH11" s="109">
        <f t="shared" si="3"/>
        <v>7852.77</v>
      </c>
      <c r="AI11" s="110"/>
      <c r="AJ11" s="109">
        <f t="shared" si="4"/>
        <v>7852.77</v>
      </c>
      <c r="AK11" s="111"/>
      <c r="AL11" s="109">
        <f t="shared" si="5"/>
        <v>7941</v>
      </c>
      <c r="AM11" s="111"/>
      <c r="AN11" s="111"/>
      <c r="AO11" s="111"/>
      <c r="AP11" s="111"/>
      <c r="AQ11" s="111"/>
      <c r="AR11" s="118" t="str">
        <f t="shared" si="6"/>
        <v>正确</v>
      </c>
      <c r="AS11" s="118" t="str">
        <f t="shared" si="7"/>
        <v>不</v>
      </c>
      <c r="AT11" s="118" t="str">
        <f t="shared" si="8"/>
        <v>重复</v>
      </c>
      <c r="AU11" s="12" t="s">
        <v>221</v>
      </c>
    </row>
    <row r="12" s="12" customFormat="1" ht="18" customHeight="1" spans="1:47">
      <c r="A12" s="36">
        <v>9</v>
      </c>
      <c r="B12" s="37" t="s">
        <v>142</v>
      </c>
      <c r="C12" s="37" t="s">
        <v>175</v>
      </c>
      <c r="D12" s="37" t="s">
        <v>143</v>
      </c>
      <c r="E12" s="327" t="s">
        <v>176</v>
      </c>
      <c r="F12" s="38" t="s">
        <v>144</v>
      </c>
      <c r="G12" s="41">
        <v>18326897140</v>
      </c>
      <c r="H12" s="40"/>
      <c r="I12" s="40"/>
      <c r="J12" s="70"/>
      <c r="K12" s="40"/>
      <c r="L12" s="73">
        <v>7000</v>
      </c>
      <c r="M12" s="72">
        <v>321.52</v>
      </c>
      <c r="N12" s="72">
        <v>86.38</v>
      </c>
      <c r="O12" s="72">
        <v>20.1</v>
      </c>
      <c r="P12" s="72">
        <v>344</v>
      </c>
      <c r="Q12" s="91">
        <f t="shared" si="0"/>
        <v>772</v>
      </c>
      <c r="R12" s="73">
        <v>0</v>
      </c>
      <c r="S12" s="92">
        <f>L12+IFERROR(VLOOKUP($E:$E,'（居民）工资表-1月'!$E:$S,15,0),0)</f>
        <v>14000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2">
        <f t="shared" si="9"/>
        <v>0</v>
      </c>
      <c r="AC12" s="92">
        <f>R12+IFERROR(VLOOKUP($E:$E,'（居民）工资表-1月'!$E:$AC,25,0),0)</f>
        <v>0</v>
      </c>
      <c r="AD12" s="97">
        <f t="shared" si="1"/>
        <v>2456</v>
      </c>
      <c r="AE12" s="98">
        <f>ROUND(MAX((AD12)*{0.03;0.1;0.2;0.25;0.3;0.35;0.45}-{0;2520;16920;31920;52920;85920;181920},0),2)</f>
        <v>73.68</v>
      </c>
      <c r="AF12" s="99">
        <f>IFERROR(VLOOKUP(E:E,'（居民）工资表-1月'!E:AF,28,0)+VLOOKUP(E:E,'（居民）工资表-1月'!E:AG,29,0),0)</f>
        <v>36.84</v>
      </c>
      <c r="AG12" s="99">
        <f t="shared" si="2"/>
        <v>36.84</v>
      </c>
      <c r="AH12" s="109">
        <f t="shared" si="3"/>
        <v>6191.16</v>
      </c>
      <c r="AI12" s="110"/>
      <c r="AJ12" s="109">
        <f t="shared" si="4"/>
        <v>6191.16</v>
      </c>
      <c r="AK12" s="111"/>
      <c r="AL12" s="109">
        <f t="shared" si="5"/>
        <v>6228</v>
      </c>
      <c r="AM12" s="111"/>
      <c r="AN12" s="111"/>
      <c r="AO12" s="111"/>
      <c r="AP12" s="111"/>
      <c r="AQ12" s="111"/>
      <c r="AR12" s="118" t="str">
        <f t="shared" si="6"/>
        <v>正确</v>
      </c>
      <c r="AS12" s="118" t="str">
        <f t="shared" si="7"/>
        <v>不</v>
      </c>
      <c r="AT12" s="118" t="str">
        <f t="shared" si="8"/>
        <v>重复</v>
      </c>
      <c r="AU12" s="12" t="s">
        <v>218</v>
      </c>
    </row>
    <row r="13" s="12" customFormat="1" ht="18" customHeight="1" spans="1:47">
      <c r="A13" s="36">
        <v>10</v>
      </c>
      <c r="B13" s="37" t="s">
        <v>142</v>
      </c>
      <c r="C13" s="37" t="s">
        <v>177</v>
      </c>
      <c r="D13" s="37" t="s">
        <v>143</v>
      </c>
      <c r="E13" s="327" t="s">
        <v>178</v>
      </c>
      <c r="F13" s="38" t="s">
        <v>144</v>
      </c>
      <c r="G13" s="41">
        <v>17201857014</v>
      </c>
      <c r="H13" s="40"/>
      <c r="I13" s="40"/>
      <c r="J13" s="70"/>
      <c r="K13" s="40"/>
      <c r="L13" s="73">
        <v>7608.7</v>
      </c>
      <c r="M13" s="72">
        <v>321.52</v>
      </c>
      <c r="N13" s="72">
        <v>86.38</v>
      </c>
      <c r="O13" s="72">
        <v>20.1</v>
      </c>
      <c r="P13" s="72">
        <v>344</v>
      </c>
      <c r="Q13" s="91">
        <f t="shared" si="0"/>
        <v>772</v>
      </c>
      <c r="R13" s="73">
        <v>0</v>
      </c>
      <c r="S13" s="92">
        <f>L13+IFERROR(VLOOKUP($E:$E,'（居民）工资表-1月'!$E:$S,15,0),0)</f>
        <v>14608.7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2">
        <f t="shared" si="9"/>
        <v>0</v>
      </c>
      <c r="AC13" s="92">
        <f>R13+IFERROR(VLOOKUP($E:$E,'（居民）工资表-1月'!$E:$AC,25,0),0)</f>
        <v>0</v>
      </c>
      <c r="AD13" s="97">
        <f t="shared" si="1"/>
        <v>3064.7</v>
      </c>
      <c r="AE13" s="98">
        <f>ROUND(MAX((AD13)*{0.03;0.1;0.2;0.25;0.3;0.35;0.45}-{0;2520;16920;31920;52920;85920;181920},0),2)</f>
        <v>91.94</v>
      </c>
      <c r="AF13" s="99">
        <f>IFERROR(VLOOKUP(E:E,'（居民）工资表-1月'!E:AF,28,0)+VLOOKUP(E:E,'（居民）工资表-1月'!E:AG,29,0),0)</f>
        <v>36.84</v>
      </c>
      <c r="AG13" s="99">
        <f t="shared" si="2"/>
        <v>55.1</v>
      </c>
      <c r="AH13" s="109">
        <f t="shared" si="3"/>
        <v>6781.6</v>
      </c>
      <c r="AI13" s="110"/>
      <c r="AJ13" s="109">
        <f t="shared" si="4"/>
        <v>6781.6</v>
      </c>
      <c r="AK13" s="111"/>
      <c r="AL13" s="109">
        <f t="shared" si="5"/>
        <v>6836.7</v>
      </c>
      <c r="AM13" s="111"/>
      <c r="AN13" s="111"/>
      <c r="AO13" s="111"/>
      <c r="AP13" s="111"/>
      <c r="AQ13" s="111"/>
      <c r="AR13" s="118" t="str">
        <f t="shared" si="6"/>
        <v>正确</v>
      </c>
      <c r="AS13" s="118" t="str">
        <f>IF(SUMPRODUCT(N(E$1:E$8=E13))&gt;1,"重复","不")</f>
        <v>不</v>
      </c>
      <c r="AT13" s="118" t="str">
        <f>IF(SUMPRODUCT(N(AO$1:AO$8=AO13))&gt;1,"重复","不")</f>
        <v>重复</v>
      </c>
      <c r="AU13" s="12" t="s">
        <v>218</v>
      </c>
    </row>
    <row r="14" s="12" customFormat="1" ht="18" customHeight="1" spans="1:47">
      <c r="A14" s="36">
        <v>11</v>
      </c>
      <c r="B14" s="37" t="s">
        <v>142</v>
      </c>
      <c r="C14" s="37" t="s">
        <v>179</v>
      </c>
      <c r="D14" s="37" t="s">
        <v>143</v>
      </c>
      <c r="E14" s="327" t="s">
        <v>180</v>
      </c>
      <c r="F14" s="38" t="s">
        <v>148</v>
      </c>
      <c r="G14" s="41" t="s">
        <v>181</v>
      </c>
      <c r="H14" s="40"/>
      <c r="I14" s="40"/>
      <c r="J14" s="70"/>
      <c r="K14" s="40"/>
      <c r="L14" s="73">
        <v>7000</v>
      </c>
      <c r="M14" s="72">
        <v>321.52</v>
      </c>
      <c r="N14" s="72">
        <v>120.38</v>
      </c>
      <c r="O14" s="72">
        <v>20.1</v>
      </c>
      <c r="P14" s="72">
        <v>97</v>
      </c>
      <c r="Q14" s="91">
        <f t="shared" si="0"/>
        <v>559</v>
      </c>
      <c r="R14" s="73">
        <v>0</v>
      </c>
      <c r="S14" s="92">
        <f>L14+IFERROR(VLOOKUP($E:$E,'（居民）工资表-1月'!$E:$S,15,0),0)</f>
        <v>14000</v>
      </c>
      <c r="T14" s="93">
        <f>5000+IFERROR(VLOOKUP($E:$E,'（居民）工资表-1月'!$E:$T,16,0),0)</f>
        <v>10000</v>
      </c>
      <c r="U14" s="93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2">
        <f t="shared" si="9"/>
        <v>0</v>
      </c>
      <c r="AC14" s="92">
        <f>R14+IFERROR(VLOOKUP($E:$E,'（居民）工资表-1月'!$E:$AC,25,0),0)</f>
        <v>0</v>
      </c>
      <c r="AD14" s="97">
        <f t="shared" si="1"/>
        <v>2882</v>
      </c>
      <c r="AE14" s="98">
        <f>ROUND(MAX((AD14)*{0.03;0.1;0.2;0.25;0.3;0.35;0.45}-{0;2520;16920;31920;52920;85920;181920},0),2)</f>
        <v>86.46</v>
      </c>
      <c r="AF14" s="99">
        <f>IFERROR(VLOOKUP(E:E,'（居民）工资表-1月'!E:AF,28,0)+VLOOKUP(E:E,'（居民）工资表-1月'!E:AG,29,0),0)</f>
        <v>43.23</v>
      </c>
      <c r="AG14" s="99">
        <f t="shared" si="2"/>
        <v>43.23</v>
      </c>
      <c r="AH14" s="109">
        <f t="shared" si="3"/>
        <v>6397.77</v>
      </c>
      <c r="AI14" s="110"/>
      <c r="AJ14" s="109">
        <f t="shared" si="4"/>
        <v>6397.77</v>
      </c>
      <c r="AK14" s="111"/>
      <c r="AL14" s="109">
        <f t="shared" si="5"/>
        <v>6441</v>
      </c>
      <c r="AM14" s="111"/>
      <c r="AN14" s="111"/>
      <c r="AO14" s="111"/>
      <c r="AP14" s="111"/>
      <c r="AQ14" s="111"/>
      <c r="AR14" s="118" t="str">
        <f t="shared" si="6"/>
        <v>正确</v>
      </c>
      <c r="AS14" s="118" t="str">
        <f>IF(SUMPRODUCT(N(E$1:E$8=E14))&gt;1,"重复","不")</f>
        <v>不</v>
      </c>
      <c r="AT14" s="118" t="str">
        <f>IF(SUMPRODUCT(N(AO$1:AO$8=AO14))&gt;1,"重复","不")</f>
        <v>重复</v>
      </c>
      <c r="AU14" s="12" t="s">
        <v>221</v>
      </c>
    </row>
    <row r="15" s="12" customFormat="1" ht="18" customHeight="1" spans="1:47">
      <c r="A15" s="36">
        <v>12</v>
      </c>
      <c r="B15" s="37" t="s">
        <v>142</v>
      </c>
      <c r="C15" s="37" t="s">
        <v>182</v>
      </c>
      <c r="D15" s="37" t="s">
        <v>143</v>
      </c>
      <c r="E15" s="327" t="s">
        <v>183</v>
      </c>
      <c r="F15" s="38" t="s">
        <v>148</v>
      </c>
      <c r="G15" s="41">
        <v>15855788591</v>
      </c>
      <c r="H15" s="40"/>
      <c r="I15" s="40"/>
      <c r="J15" s="70"/>
      <c r="K15" s="40"/>
      <c r="L15" s="73">
        <v>6581.74</v>
      </c>
      <c r="M15" s="72">
        <v>321.52</v>
      </c>
      <c r="N15" s="72">
        <v>89.09</v>
      </c>
      <c r="O15" s="72">
        <v>20.1</v>
      </c>
      <c r="P15" s="72">
        <v>97</v>
      </c>
      <c r="Q15" s="91">
        <f t="shared" si="0"/>
        <v>527.71</v>
      </c>
      <c r="R15" s="73">
        <v>0</v>
      </c>
      <c r="S15" s="92">
        <f>L15+IFERROR(VLOOKUP($E:$E,'（居民）工资表-1月'!$E:$S,15,0),0)</f>
        <v>12641.74</v>
      </c>
      <c r="T15" s="93">
        <f>5000+IFERROR(VLOOKUP($E:$E,'（居民）工资表-1月'!$E:$T,16,0),0)</f>
        <v>10000</v>
      </c>
      <c r="U15" s="93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2">
        <f t="shared" si="9"/>
        <v>0</v>
      </c>
      <c r="AC15" s="92">
        <f>R15+IFERROR(VLOOKUP($E:$E,'（居民）工资表-1月'!$E:$AC,25,0),0)</f>
        <v>0</v>
      </c>
      <c r="AD15" s="97">
        <f t="shared" si="1"/>
        <v>1586.32</v>
      </c>
      <c r="AE15" s="98">
        <f>ROUND(MAX((AD15)*{0.03;0.1;0.2;0.25;0.3;0.35;0.45}-{0;2520;16920;31920;52920;85920;181920},0),2)</f>
        <v>47.59</v>
      </c>
      <c r="AF15" s="99">
        <f>IFERROR(VLOOKUP(E:E,'（居民）工资表-1月'!E:AF,28,0)+VLOOKUP(E:E,'（居民）工资表-1月'!E:AG,29,0),0)</f>
        <v>15.97</v>
      </c>
      <c r="AG15" s="99">
        <f t="shared" si="2"/>
        <v>31.62</v>
      </c>
      <c r="AH15" s="109">
        <f t="shared" si="3"/>
        <v>6022.41</v>
      </c>
      <c r="AI15" s="110"/>
      <c r="AJ15" s="109">
        <f t="shared" si="4"/>
        <v>6022.41</v>
      </c>
      <c r="AK15" s="111"/>
      <c r="AL15" s="109">
        <f t="shared" si="5"/>
        <v>6054.03</v>
      </c>
      <c r="AM15" s="111"/>
      <c r="AN15" s="111"/>
      <c r="AO15" s="111"/>
      <c r="AP15" s="111"/>
      <c r="AQ15" s="111"/>
      <c r="AR15" s="118" t="str">
        <f t="shared" si="6"/>
        <v>正确</v>
      </c>
      <c r="AS15" s="118" t="str">
        <f>IF(SUMPRODUCT(N(E$1:E$8=E15))&gt;1,"重复","不")</f>
        <v>不</v>
      </c>
      <c r="AT15" s="118" t="str">
        <f>IF(SUMPRODUCT(N(AO$1:AO$8=AO15))&gt;1,"重复","不")</f>
        <v>重复</v>
      </c>
      <c r="AU15" s="12" t="s">
        <v>217</v>
      </c>
    </row>
    <row r="16" s="12" customFormat="1" ht="18" customHeight="1" spans="1:47">
      <c r="A16" s="36">
        <v>13</v>
      </c>
      <c r="B16" s="37" t="s">
        <v>142</v>
      </c>
      <c r="C16" s="37" t="s">
        <v>186</v>
      </c>
      <c r="D16" s="37" t="s">
        <v>143</v>
      </c>
      <c r="E16" s="327" t="s">
        <v>187</v>
      </c>
      <c r="F16" s="38" t="s">
        <v>148</v>
      </c>
      <c r="G16" s="41"/>
      <c r="H16" s="40"/>
      <c r="I16" s="40"/>
      <c r="J16" s="70"/>
      <c r="K16" s="40"/>
      <c r="L16" s="73">
        <v>6000</v>
      </c>
      <c r="M16" s="72">
        <v>321.52</v>
      </c>
      <c r="N16" s="72">
        <v>80.38</v>
      </c>
      <c r="O16" s="72">
        <v>20.1</v>
      </c>
      <c r="P16" s="72">
        <v>103</v>
      </c>
      <c r="Q16" s="91">
        <f t="shared" si="0"/>
        <v>525</v>
      </c>
      <c r="R16" s="73">
        <v>0</v>
      </c>
      <c r="S16" s="92">
        <f>L16+IFERROR(VLOOKUP($E:$E,'（居民）工资表-1月'!$E:$S,15,0),0)</f>
        <v>12000</v>
      </c>
      <c r="T16" s="93">
        <f>5000+IFERROR(VLOOKUP($E:$E,'（居民）工资表-1月'!$E:$T,16,0),0)</f>
        <v>10000</v>
      </c>
      <c r="U16" s="93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2">
        <f t="shared" si="9"/>
        <v>0</v>
      </c>
      <c r="AC16" s="92">
        <f>R16+IFERROR(VLOOKUP($E:$E,'（居民）工资表-1月'!$E:$AC,25,0),0)</f>
        <v>0</v>
      </c>
      <c r="AD16" s="97">
        <f t="shared" si="1"/>
        <v>950</v>
      </c>
      <c r="AE16" s="98">
        <f>ROUND(MAX((AD16)*{0.03;0.1;0.2;0.25;0.3;0.35;0.45}-{0;2520;16920;31920;52920;85920;181920},0),2)</f>
        <v>28.5</v>
      </c>
      <c r="AF16" s="99">
        <f>IFERROR(VLOOKUP(E:E,'（居民）工资表-1月'!E:AF,28,0)+VLOOKUP(E:E,'（居民）工资表-1月'!E:AG,29,0),0)</f>
        <v>14.25</v>
      </c>
      <c r="AG16" s="99">
        <f t="shared" si="2"/>
        <v>14.25</v>
      </c>
      <c r="AH16" s="109">
        <f t="shared" si="3"/>
        <v>5460.75</v>
      </c>
      <c r="AI16" s="110"/>
      <c r="AJ16" s="109">
        <f t="shared" si="4"/>
        <v>5460.75</v>
      </c>
      <c r="AK16" s="111"/>
      <c r="AL16" s="109">
        <f t="shared" si="5"/>
        <v>5475</v>
      </c>
      <c r="AM16" s="111"/>
      <c r="AN16" s="111"/>
      <c r="AO16" s="111"/>
      <c r="AP16" s="111"/>
      <c r="AQ16" s="111"/>
      <c r="AR16" s="118" t="str">
        <f t="shared" si="6"/>
        <v>正确</v>
      </c>
      <c r="AS16" s="118" t="str">
        <f>IF(SUMPRODUCT(N(E$1:E$8=E16))&gt;1,"重复","不")</f>
        <v>不</v>
      </c>
      <c r="AT16" s="118" t="str">
        <f>IF(SUMPRODUCT(N(AO$1:AO$8=AO16))&gt;1,"重复","不")</f>
        <v>重复</v>
      </c>
      <c r="AU16" s="12" t="s">
        <v>222</v>
      </c>
    </row>
    <row r="17" s="12" customFormat="1" ht="18" customHeight="1" spans="1:47">
      <c r="A17" s="36">
        <v>14</v>
      </c>
      <c r="B17" s="37" t="s">
        <v>142</v>
      </c>
      <c r="C17" s="37" t="s">
        <v>223</v>
      </c>
      <c r="D17" s="37" t="s">
        <v>143</v>
      </c>
      <c r="E17" s="327" t="s">
        <v>224</v>
      </c>
      <c r="F17" s="38" t="s">
        <v>144</v>
      </c>
      <c r="G17" s="41"/>
      <c r="H17" s="40"/>
      <c r="I17" s="40"/>
      <c r="J17" s="70"/>
      <c r="K17" s="40"/>
      <c r="L17" s="73">
        <v>7652.17</v>
      </c>
      <c r="M17" s="72">
        <v>964.56</v>
      </c>
      <c r="N17" s="72">
        <v>267.27</v>
      </c>
      <c r="O17" s="72">
        <v>60.3</v>
      </c>
      <c r="P17" s="72">
        <v>291</v>
      </c>
      <c r="Q17" s="91">
        <f t="shared" si="0"/>
        <v>1583.13</v>
      </c>
      <c r="R17" s="73">
        <v>0</v>
      </c>
      <c r="S17" s="92">
        <f>L17+IFERROR(VLOOKUP($E:$E,'（居民）工资表-1月'!$E:$S,15,0),0)</f>
        <v>7652.17</v>
      </c>
      <c r="T17" s="93">
        <f>5000+IFERROR(VLOOKUP($E:$E,'（居民）工资表-1月'!$E:$T,16,0),0)</f>
        <v>5000</v>
      </c>
      <c r="U17" s="93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2">
        <f t="shared" si="9"/>
        <v>0</v>
      </c>
      <c r="AC17" s="92">
        <f>R17+IFERROR(VLOOKUP($E:$E,'（居民）工资表-1月'!$E:$AC,25,0),0)</f>
        <v>0</v>
      </c>
      <c r="AD17" s="97">
        <f t="shared" si="1"/>
        <v>1069.04</v>
      </c>
      <c r="AE17" s="98">
        <f>ROUND(MAX((AD17)*{0.03;0.1;0.2;0.25;0.3;0.35;0.45}-{0;2520;16920;31920;52920;85920;181920},0),2)</f>
        <v>32.07</v>
      </c>
      <c r="AF17" s="99">
        <f>IFERROR(VLOOKUP(E:E,'（居民）工资表-1月'!E:AF,28,0)+VLOOKUP(E:E,'（居民）工资表-1月'!E:AG,29,0),0)</f>
        <v>0</v>
      </c>
      <c r="AG17" s="99">
        <f t="shared" si="2"/>
        <v>32.07</v>
      </c>
      <c r="AH17" s="109">
        <f t="shared" si="3"/>
        <v>6036.97</v>
      </c>
      <c r="AI17" s="110"/>
      <c r="AJ17" s="109">
        <f t="shared" si="4"/>
        <v>6036.97</v>
      </c>
      <c r="AK17" s="111"/>
      <c r="AL17" s="109">
        <f t="shared" si="5"/>
        <v>6069.04</v>
      </c>
      <c r="AM17" s="111"/>
      <c r="AN17" s="111"/>
      <c r="AO17" s="111"/>
      <c r="AP17" s="111"/>
      <c r="AQ17" s="111"/>
      <c r="AR17" s="118" t="str">
        <f t="shared" si="6"/>
        <v>正确</v>
      </c>
      <c r="AS17" s="118" t="str">
        <f>IF(SUMPRODUCT(N(E$1:E$8=E17))&gt;1,"重复","不")</f>
        <v>不</v>
      </c>
      <c r="AT17" s="118" t="str">
        <f>IF(SUMPRODUCT(N(AO$1:AO$8=AO17))&gt;1,"重复","不")</f>
        <v>重复</v>
      </c>
      <c r="AU17" s="12" t="s">
        <v>217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41"/>
      <c r="H18" s="40"/>
      <c r="I18" s="40"/>
      <c r="J18" s="70"/>
      <c r="K18" s="40"/>
      <c r="L18" s="73"/>
      <c r="M18" s="72"/>
      <c r="N18" s="72"/>
      <c r="O18" s="72"/>
      <c r="P18" s="72"/>
      <c r="Q18" s="91"/>
      <c r="R18" s="73"/>
      <c r="S18" s="92"/>
      <c r="T18" s="93"/>
      <c r="U18" s="93"/>
      <c r="V18" s="125"/>
      <c r="W18" s="125"/>
      <c r="X18" s="125"/>
      <c r="Y18" s="125"/>
      <c r="Z18" s="125"/>
      <c r="AA18" s="125"/>
      <c r="AB18" s="92"/>
      <c r="AC18" s="92"/>
      <c r="AD18" s="97"/>
      <c r="AE18" s="98"/>
      <c r="AF18" s="99"/>
      <c r="AG18" s="99"/>
      <c r="AH18" s="109"/>
      <c r="AI18" s="110"/>
      <c r="AJ18" s="109"/>
      <c r="AK18" s="111"/>
      <c r="AL18" s="109"/>
      <c r="AM18" s="111"/>
      <c r="AN18" s="111"/>
      <c r="AO18" s="111"/>
      <c r="AP18" s="111"/>
      <c r="AQ18" s="111"/>
      <c r="AR18" s="118"/>
      <c r="AS18" s="118"/>
      <c r="AT18" s="118"/>
    </row>
    <row r="19" s="13" customFormat="1" ht="18" customHeight="1" spans="1:46">
      <c r="A19" s="42"/>
      <c r="B19" s="43" t="s">
        <v>192</v>
      </c>
      <c r="C19" s="43"/>
      <c r="D19" s="44"/>
      <c r="E19" s="45"/>
      <c r="F19" s="46"/>
      <c r="G19" s="47"/>
      <c r="H19" s="46"/>
      <c r="I19" s="74"/>
      <c r="J19" s="75"/>
      <c r="K19" s="74"/>
      <c r="L19" s="76">
        <f>SUM(L4:L18)</f>
        <v>123628.45</v>
      </c>
      <c r="M19" s="76">
        <f t="shared" ref="M19:AL19" si="10">SUM(M4:M18)</f>
        <v>5613.3</v>
      </c>
      <c r="N19" s="76">
        <f t="shared" si="10"/>
        <v>1585.57</v>
      </c>
      <c r="O19" s="76">
        <f t="shared" si="10"/>
        <v>311.85</v>
      </c>
      <c r="P19" s="76">
        <f t="shared" si="10"/>
        <v>2496.4</v>
      </c>
      <c r="Q19" s="76">
        <f t="shared" si="10"/>
        <v>10007.12</v>
      </c>
      <c r="R19" s="76">
        <f t="shared" si="10"/>
        <v>0</v>
      </c>
      <c r="S19" s="76">
        <f t="shared" si="10"/>
        <v>238474.29</v>
      </c>
      <c r="T19" s="76">
        <f t="shared" si="10"/>
        <v>135000</v>
      </c>
      <c r="U19" s="76">
        <f t="shared" si="10"/>
        <v>18443.76</v>
      </c>
      <c r="V19" s="76">
        <f t="shared" si="10"/>
        <v>2000</v>
      </c>
      <c r="W19" s="76">
        <f t="shared" si="10"/>
        <v>0</v>
      </c>
      <c r="X19" s="76">
        <f t="shared" si="10"/>
        <v>2000</v>
      </c>
      <c r="Y19" s="76">
        <f t="shared" si="10"/>
        <v>0</v>
      </c>
      <c r="Z19" s="76">
        <f t="shared" si="10"/>
        <v>800</v>
      </c>
      <c r="AA19" s="76">
        <f t="shared" si="10"/>
        <v>0</v>
      </c>
      <c r="AB19" s="76">
        <f t="shared" si="10"/>
        <v>4800</v>
      </c>
      <c r="AC19" s="76">
        <f t="shared" si="10"/>
        <v>0</v>
      </c>
      <c r="AD19" s="76">
        <f t="shared" si="10"/>
        <v>80230.53</v>
      </c>
      <c r="AE19" s="76">
        <f t="shared" si="10"/>
        <v>3330.97</v>
      </c>
      <c r="AF19" s="76">
        <f t="shared" si="10"/>
        <v>1275.4</v>
      </c>
      <c r="AG19" s="76">
        <f t="shared" si="10"/>
        <v>2125.03</v>
      </c>
      <c r="AH19" s="76">
        <f t="shared" si="10"/>
        <v>111496.3</v>
      </c>
      <c r="AI19" s="76">
        <f t="shared" si="10"/>
        <v>0</v>
      </c>
      <c r="AJ19" s="76">
        <f t="shared" si="10"/>
        <v>111496.3</v>
      </c>
      <c r="AK19" s="76">
        <f t="shared" si="10"/>
        <v>0</v>
      </c>
      <c r="AL19" s="76">
        <f t="shared" si="10"/>
        <v>113621.33</v>
      </c>
      <c r="AM19" s="112"/>
      <c r="AN19" s="112"/>
      <c r="AO19" s="112"/>
      <c r="AP19" s="112"/>
      <c r="AQ19" s="112"/>
      <c r="AR19" s="46"/>
      <c r="AS19" s="46"/>
      <c r="AT19" s="120"/>
    </row>
    <row r="20" spans="38:38">
      <c r="AL20" s="15">
        <v>31841.4778</v>
      </c>
    </row>
    <row r="22" spans="30:30">
      <c r="AD22" s="103"/>
    </row>
    <row r="23" ht="18.75" customHeight="1" spans="2:30">
      <c r="B23" s="48" t="s">
        <v>131</v>
      </c>
      <c r="C23" s="48" t="s">
        <v>193</v>
      </c>
      <c r="D23" s="48" t="s">
        <v>213</v>
      </c>
      <c r="E23" s="48" t="s">
        <v>23</v>
      </c>
      <c r="AD23" s="10"/>
    </row>
    <row r="24" ht="18.75" customHeight="1" spans="2:5">
      <c r="B24" s="49">
        <f>AJ19</f>
        <v>111496.3</v>
      </c>
      <c r="C24" s="49">
        <f>AG19</f>
        <v>2125.03</v>
      </c>
      <c r="D24" s="49">
        <f>AK19</f>
        <v>0</v>
      </c>
      <c r="E24" s="49">
        <f>B24+C24+D24</f>
        <v>113621.33</v>
      </c>
    </row>
    <row r="25" spans="2:5">
      <c r="B25" s="50"/>
      <c r="C25" s="50"/>
      <c r="D25" s="50"/>
      <c r="E25" s="50"/>
    </row>
    <row r="26" s="14" customFormat="1" spans="1:35">
      <c r="A26" s="52" t="s">
        <v>194</v>
      </c>
      <c r="B26" s="53" t="s">
        <v>195</v>
      </c>
      <c r="C26" s="51"/>
      <c r="D26" s="51"/>
      <c r="E26" s="51"/>
      <c r="G26" s="54"/>
      <c r="J26" s="77"/>
      <c r="M26" s="78"/>
      <c r="AI26" s="114"/>
    </row>
    <row r="27" s="14" customFormat="1" spans="1:35">
      <c r="A27" s="55"/>
      <c r="B27" s="56" t="s">
        <v>196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3"/>
      <c r="B28" s="56" t="s">
        <v>197</v>
      </c>
      <c r="C28" s="57"/>
      <c r="D28" s="57"/>
      <c r="E28" s="57"/>
      <c r="F28" s="57"/>
      <c r="G28" s="57"/>
      <c r="H28" s="57"/>
      <c r="I28" s="57"/>
      <c r="J28" s="79"/>
      <c r="K28" s="57"/>
      <c r="L28" s="57"/>
      <c r="M28" s="80"/>
      <c r="N28" s="57"/>
      <c r="O28" s="57"/>
      <c r="P28" s="57"/>
      <c r="AI28" s="114"/>
    </row>
    <row r="29" s="14" customFormat="1" customHeight="1" spans="1:35">
      <c r="A29" s="56"/>
      <c r="B29" s="56" t="s">
        <v>198</v>
      </c>
      <c r="C29" s="58"/>
      <c r="D29" s="58"/>
      <c r="E29" s="58"/>
      <c r="F29" s="58"/>
      <c r="G29" s="58"/>
      <c r="H29" s="58"/>
      <c r="I29" s="81"/>
      <c r="J29" s="82"/>
      <c r="K29" s="81"/>
      <c r="L29" s="81"/>
      <c r="M29" s="83"/>
      <c r="N29" s="81"/>
      <c r="O29" s="81"/>
      <c r="P29" s="81"/>
      <c r="AI29" s="114"/>
    </row>
    <row r="30" s="14" customFormat="1" customHeight="1" spans="1:35">
      <c r="A30" s="56"/>
      <c r="B30" s="56" t="s">
        <v>199</v>
      </c>
      <c r="C30" s="58"/>
      <c r="D30" s="58"/>
      <c r="E30" s="58"/>
      <c r="F30" s="58"/>
      <c r="G30" s="58"/>
      <c r="H30" s="58"/>
      <c r="I30" s="58"/>
      <c r="J30" s="84"/>
      <c r="K30" s="58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200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3" ht="11.25" customHeight="1" spans="2:2">
      <c r="B33" s="59" t="s">
        <v>201</v>
      </c>
    </row>
    <row r="34" spans="2:2">
      <c r="B34" s="60" t="s">
        <v>202</v>
      </c>
    </row>
    <row r="35" spans="2:2">
      <c r="B35" s="60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7"/>
  <sheetViews>
    <sheetView workbookViewId="0">
      <pane xSplit="6" ySplit="3" topLeftCell="AE4" activePane="bottomRight" state="frozen"/>
      <selection/>
      <selection pane="topRight"/>
      <selection pane="bottomLeft"/>
      <selection pane="bottomRight" activeCell="V14" sqref="V1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43</v>
      </c>
      <c r="D4" s="37" t="s">
        <v>143</v>
      </c>
      <c r="E4" s="37" t="s">
        <v>44</v>
      </c>
      <c r="F4" s="38" t="s">
        <v>144</v>
      </c>
      <c r="G4" s="41">
        <v>18035163638</v>
      </c>
      <c r="H4" s="40"/>
      <c r="I4" s="40"/>
      <c r="J4" s="70"/>
      <c r="K4" s="40"/>
      <c r="L4" s="73">
        <f>545.44+4295.45</f>
        <v>4840.89</v>
      </c>
      <c r="M4" s="72"/>
      <c r="N4" s="72"/>
      <c r="O4" s="72"/>
      <c r="P4" s="72"/>
      <c r="Q4" s="91">
        <f>ROUND(SUM(M4:P4),2)</f>
        <v>0</v>
      </c>
      <c r="R4" s="73">
        <v>0</v>
      </c>
      <c r="S4" s="92">
        <f>L4+IFERROR(VLOOKUP($E:$E,'（居民）工资表-2月'!$E:$S,15,0),0)</f>
        <v>4840.89</v>
      </c>
      <c r="T4" s="93">
        <f>5000+IFERROR(VLOOKUP($E:$E,'（居民）工资表-2月'!$E:$T,16,0),0)</f>
        <v>5000</v>
      </c>
      <c r="U4" s="93">
        <f>Q4+IFERROR(VLOOKUP($E:$E,'（居民）工资表-2月'!$E:$U,17,0),0)</f>
        <v>0</v>
      </c>
      <c r="V4" s="73">
        <v>3000</v>
      </c>
      <c r="W4" s="73"/>
      <c r="X4" s="73">
        <v>3000</v>
      </c>
      <c r="Y4" s="73"/>
      <c r="Z4" s="73">
        <v>1200</v>
      </c>
      <c r="AA4" s="73"/>
      <c r="AB4" s="92">
        <f>ROUND(SUM(V4:AA4),2)</f>
        <v>7200</v>
      </c>
      <c r="AC4" s="92">
        <f>R4+IFERROR(VLOOKUP($E:$E,'（居民）工资表-2月'!$E:$AC,25,0),0)</f>
        <v>0</v>
      </c>
      <c r="AD4" s="97">
        <f>ROUND(S4-T4-U4-AB4-AC4,2)</f>
        <v>-7359.11</v>
      </c>
      <c r="AE4" s="98">
        <f>ROUND(MAX((AD4)*{0.03;0.1;0.2;0.25;0.3;0.35;0.45}-{0;2520;16920;31920;52920;85920;181920},0),2)</f>
        <v>0</v>
      </c>
      <c r="AF4" s="99">
        <f>IFERROR(VLOOKUP(E:E,'（居民）工资表-2月'!E:AF,28,0)+VLOOKUP(E:E,'（居民）工资表-2月'!E:AG,29,0),0)</f>
        <v>0</v>
      </c>
      <c r="AG4" s="99">
        <f>IF((AE4-AF4)&lt;0,0,AE4-AF4)</f>
        <v>0</v>
      </c>
      <c r="AH4" s="109">
        <f>ROUND(IF((L4-Q4-AG4)&lt;0,0,(L4-Q4-AG4)),2)</f>
        <v>4840.89</v>
      </c>
      <c r="AI4" s="110"/>
      <c r="AJ4" s="109">
        <f>AH4+AI4</f>
        <v>4840.89</v>
      </c>
      <c r="AK4" s="111"/>
      <c r="AL4" s="109">
        <f>AJ4+AG4+AK4</f>
        <v>4840.89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IF(SUMPRODUCT(N(E$1:E$5=E4))&gt;1,"重复","不")</f>
        <v>不</v>
      </c>
      <c r="AT4" s="118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61</v>
      </c>
      <c r="D5" s="37" t="s">
        <v>143</v>
      </c>
      <c r="E5" s="37" t="s">
        <v>62</v>
      </c>
      <c r="F5" s="38" t="s">
        <v>144</v>
      </c>
      <c r="G5" s="41">
        <v>13944441728</v>
      </c>
      <c r="H5" s="40"/>
      <c r="I5" s="40"/>
      <c r="J5" s="70"/>
      <c r="K5" s="40"/>
      <c r="L5" s="73">
        <v>8000</v>
      </c>
      <c r="M5" s="72">
        <v>296.26</v>
      </c>
      <c r="N5" s="72">
        <v>172.62</v>
      </c>
      <c r="O5" s="72">
        <v>11.11</v>
      </c>
      <c r="P5" s="72">
        <v>82</v>
      </c>
      <c r="Q5" s="91">
        <f>ROUND(SUM(M5:P5),2)</f>
        <v>561.99</v>
      </c>
      <c r="R5" s="73">
        <v>0</v>
      </c>
      <c r="S5" s="92">
        <f>L5+IFERROR(VLOOKUP($E:$E,'（居民）工资表-2月'!$E:$S,15,0),0)</f>
        <v>24000</v>
      </c>
      <c r="T5" s="93">
        <f>5000+IFERROR(VLOOKUP($E:$E,'（居民）工资表-2月'!$E:$T,16,0),0)</f>
        <v>15000</v>
      </c>
      <c r="U5" s="93">
        <f>Q5+IFERROR(VLOOKUP($E:$E,'（居民）工资表-2月'!$E:$U,17,0),0)</f>
        <v>1835.39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R5+IFERROR(VLOOKUP($E:$E,'（居民）工资表-2月'!$E:$AC,25,0),0)</f>
        <v>0</v>
      </c>
      <c r="AD5" s="97">
        <f>ROUND(S5-T5-U5-AB5-AC5,2)</f>
        <v>7164.61</v>
      </c>
      <c r="AE5" s="98">
        <f>ROUND(MAX((AD5)*{0.03;0.1;0.2;0.25;0.3;0.35;0.45}-{0;2520;16920;31920;52920;85920;181920},0),2)</f>
        <v>214.94</v>
      </c>
      <c r="AF5" s="99">
        <f>IFERROR(VLOOKUP(E:E,'（居民）工资表-2月'!E:AF,28,0)+VLOOKUP(E:E,'（居民）工资表-2月'!E:AG,29,0),0)</f>
        <v>69.46</v>
      </c>
      <c r="AG5" s="99">
        <f>IF((AE5-AF5)&lt;0,0,AE5-AF5)</f>
        <v>145.48</v>
      </c>
      <c r="AH5" s="109">
        <f>ROUND(IF((L5-Q5-AG5)&lt;0,0,(L5-Q5-AG5)),2)</f>
        <v>7292.53</v>
      </c>
      <c r="AI5" s="110"/>
      <c r="AJ5" s="109">
        <f>AH5+AI5</f>
        <v>7292.53</v>
      </c>
      <c r="AK5" s="111"/>
      <c r="AL5" s="109">
        <f>AJ5+AG5+AK5</f>
        <v>7438.01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IF(SUMPRODUCT(N(E$1:E$5=E5))&gt;1,"重复","不")</f>
        <v>不</v>
      </c>
      <c r="AT5" s="118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146</v>
      </c>
      <c r="D6" s="37" t="s">
        <v>143</v>
      </c>
      <c r="E6" s="327" t="s">
        <v>147</v>
      </c>
      <c r="F6" s="38" t="s">
        <v>148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113.48</v>
      </c>
      <c r="O6" s="72">
        <v>4.6</v>
      </c>
      <c r="P6" s="72">
        <v>115</v>
      </c>
      <c r="Q6" s="91">
        <f t="shared" ref="Q6:Q12" si="0">ROUND(SUM(M6:P6),2)</f>
        <v>600.12</v>
      </c>
      <c r="R6" s="73">
        <v>0</v>
      </c>
      <c r="S6" s="92">
        <f>L6+IFERROR(VLOOKUP($E:$E,'（居民）工资表-2月'!$E:$S,15,0),0)</f>
        <v>17100</v>
      </c>
      <c r="T6" s="93">
        <f>5000+IFERROR(VLOOKUP($E:$E,'（居民）工资表-2月'!$E:$T,16,0),0)</f>
        <v>15000</v>
      </c>
      <c r="U6" s="93">
        <f>Q6+IFERROR(VLOOKUP($E:$E,'（居民）工资表-2月'!$E:$U,17,0),0)</f>
        <v>1924.6</v>
      </c>
      <c r="V6" s="73"/>
      <c r="W6" s="73"/>
      <c r="X6" s="73"/>
      <c r="Y6" s="73"/>
      <c r="Z6" s="73"/>
      <c r="AA6" s="73"/>
      <c r="AB6" s="92">
        <f t="shared" ref="AB6:AB12" si="1">ROUND(SUM(V6:AA6),2)</f>
        <v>0</v>
      </c>
      <c r="AC6" s="92">
        <f>R6+IFERROR(VLOOKUP($E:$E,'（居民）工资表-2月'!$E:$AC,25,0),0)</f>
        <v>0</v>
      </c>
      <c r="AD6" s="97">
        <f t="shared" ref="AD6:AD12" si="2">ROUND(S6-T6-U6-AB6-AC6,2)</f>
        <v>175.4</v>
      </c>
      <c r="AE6" s="98">
        <f>ROUND(MAX((AD6)*{0.03;0.1;0.2;0.25;0.3;0.35;0.45}-{0;2520;16920;31920;52920;85920;181920},0),2)</f>
        <v>5.26</v>
      </c>
      <c r="AF6" s="99">
        <f>IFERROR(VLOOKUP(E:E,'（居民）工资表-2月'!E:AF,28,0)+VLOOKUP(E:E,'（居民）工资表-2月'!E:AG,29,0),0)</f>
        <v>2.27</v>
      </c>
      <c r="AG6" s="99">
        <f t="shared" ref="AG6:AG12" si="3">IF((AE6-AF6)&lt;0,0,AE6-AF6)</f>
        <v>2.99</v>
      </c>
      <c r="AH6" s="109">
        <f t="shared" ref="AH6:AH12" si="4">ROUND(IF((L6-Q6-AG6)&lt;0,0,(L6-Q6-AG6)),2)</f>
        <v>5096.89</v>
      </c>
      <c r="AI6" s="110"/>
      <c r="AJ6" s="109">
        <f t="shared" ref="AJ6:AJ12" si="5">AH6+AI6</f>
        <v>5096.89</v>
      </c>
      <c r="AK6" s="111"/>
      <c r="AL6" s="109">
        <f t="shared" ref="AL6:AL12" si="6">AJ6+AG6+AK6</f>
        <v>5099.88</v>
      </c>
      <c r="AM6" s="111"/>
      <c r="AN6" s="111"/>
      <c r="AO6" s="111"/>
      <c r="AP6" s="111"/>
      <c r="AQ6" s="111"/>
      <c r="AR6" s="118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 t="shared" ref="AS6:AS12" si="8">IF(SUMPRODUCT(N(E$1:E$5=E6))&gt;1,"重复","不")</f>
        <v>不</v>
      </c>
      <c r="AT6" s="118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149</v>
      </c>
      <c r="D7" s="37" t="s">
        <v>143</v>
      </c>
      <c r="E7" s="327" t="s">
        <v>150</v>
      </c>
      <c r="F7" s="38" t="s">
        <v>144</v>
      </c>
      <c r="G7" s="41" t="s">
        <v>151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L7+IFERROR(VLOOKUP($E:$E,'（居民）工资表-2月'!$E:$S,15,0),0)</f>
        <v>90180</v>
      </c>
      <c r="T7" s="93">
        <f>5000+IFERROR(VLOOKUP($E:$E,'（居民）工资表-2月'!$E:$T,16,0),0)</f>
        <v>15000</v>
      </c>
      <c r="U7" s="93">
        <f>Q7+IFERROR(VLOOKUP($E:$E,'（居民）工资表-2月'!$E:$U,17,0),0)</f>
        <v>2763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R7+IFERROR(VLOOKUP($E:$E,'（居民）工资表-2月'!$E:$AC,25,0),0)</f>
        <v>0</v>
      </c>
      <c r="AD7" s="97">
        <f t="shared" si="2"/>
        <v>72417</v>
      </c>
      <c r="AE7" s="98">
        <f>ROUND(MAX((AD7)*{0.03;0.1;0.2;0.25;0.3;0.35;0.45}-{0;2520;16920;31920;52920;85920;181920},0),2)</f>
        <v>4721.7</v>
      </c>
      <c r="AF7" s="99">
        <f>IFERROR(VLOOKUP(E:E,'（居民）工资表-2月'!E:AF,28,0)+VLOOKUP(E:E,'（居民）工资表-2月'!E:AG,29,0),0)</f>
        <v>2302.29</v>
      </c>
      <c r="AG7" s="99">
        <f t="shared" si="3"/>
        <v>2419.41</v>
      </c>
      <c r="AH7" s="109">
        <f t="shared" si="4"/>
        <v>26774.69</v>
      </c>
      <c r="AI7" s="110"/>
      <c r="AJ7" s="109">
        <f t="shared" si="5"/>
        <v>26774.69</v>
      </c>
      <c r="AK7" s="111"/>
      <c r="AL7" s="109">
        <f t="shared" si="6"/>
        <v>29194.1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154</v>
      </c>
      <c r="D8" s="37" t="s">
        <v>143</v>
      </c>
      <c r="E8" s="327" t="s">
        <v>155</v>
      </c>
      <c r="F8" s="38" t="s">
        <v>144</v>
      </c>
      <c r="G8" s="41" t="s">
        <v>156</v>
      </c>
      <c r="H8" s="40"/>
      <c r="I8" s="40"/>
      <c r="J8" s="70"/>
      <c r="K8" s="40"/>
      <c r="L8" s="73">
        <v>7000</v>
      </c>
      <c r="M8" s="72">
        <v>306.56</v>
      </c>
      <c r="N8" s="72">
        <v>84.64</v>
      </c>
      <c r="O8" s="72">
        <v>19.16</v>
      </c>
      <c r="P8" s="72">
        <v>75</v>
      </c>
      <c r="Q8" s="91">
        <f t="shared" si="0"/>
        <v>485.36</v>
      </c>
      <c r="R8" s="73">
        <v>0</v>
      </c>
      <c r="S8" s="92">
        <f>L8+IFERROR(VLOOKUP($E:$E,'（居民）工资表-2月'!$E:$S,15,0),0)</f>
        <v>23000</v>
      </c>
      <c r="T8" s="93">
        <f>5000+IFERROR(VLOOKUP($E:$E,'（居民）工资表-2月'!$E:$T,16,0),0)</f>
        <v>15000</v>
      </c>
      <c r="U8" s="93">
        <f>Q8+IFERROR(VLOOKUP($E:$E,'（居民）工资表-2月'!$E:$U,17,0),0)</f>
        <v>1540.78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R8+IFERROR(VLOOKUP($E:$E,'（居民）工资表-2月'!$E:$AC,25,0),0)</f>
        <v>0</v>
      </c>
      <c r="AD8" s="97">
        <f t="shared" si="2"/>
        <v>6459.22</v>
      </c>
      <c r="AE8" s="98">
        <f>ROUND(MAX((AD8)*{0.03;0.1;0.2;0.25;0.3;0.35;0.45}-{0;2520;16920;31920;52920;85920;181920},0),2)</f>
        <v>193.78</v>
      </c>
      <c r="AF8" s="99">
        <f>IFERROR(VLOOKUP(E:E,'（居民）工资表-2月'!E:AF,28,0)+VLOOKUP(E:E,'（居民）工资表-2月'!E:AG,29,0),0)</f>
        <v>148.34</v>
      </c>
      <c r="AG8" s="99">
        <f t="shared" si="3"/>
        <v>45.44</v>
      </c>
      <c r="AH8" s="109">
        <f t="shared" si="4"/>
        <v>6469.2</v>
      </c>
      <c r="AI8" s="110"/>
      <c r="AJ8" s="109">
        <f t="shared" si="5"/>
        <v>6469.2</v>
      </c>
      <c r="AK8" s="111"/>
      <c r="AL8" s="109">
        <f t="shared" si="6"/>
        <v>6514.64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158</v>
      </c>
      <c r="D9" s="37" t="s">
        <v>143</v>
      </c>
      <c r="E9" s="327" t="s">
        <v>159</v>
      </c>
      <c r="F9" s="38" t="s">
        <v>144</v>
      </c>
      <c r="G9" s="41">
        <v>19356875630</v>
      </c>
      <c r="H9" s="40"/>
      <c r="I9" s="40"/>
      <c r="J9" s="70"/>
      <c r="K9" s="40"/>
      <c r="L9" s="73">
        <v>8000</v>
      </c>
      <c r="M9" s="72">
        <v>306.56</v>
      </c>
      <c r="N9" s="72">
        <v>82.64</v>
      </c>
      <c r="O9" s="72">
        <v>19.16</v>
      </c>
      <c r="P9" s="72">
        <v>172</v>
      </c>
      <c r="Q9" s="91">
        <f t="shared" si="0"/>
        <v>580.36</v>
      </c>
      <c r="R9" s="73">
        <v>0</v>
      </c>
      <c r="S9" s="92">
        <f>L9+IFERROR(VLOOKUP($E:$E,'（居民）工资表-2月'!$E:$S,15,0),0)</f>
        <v>29000</v>
      </c>
      <c r="T9" s="93">
        <f>5000+IFERROR(VLOOKUP($E:$E,'（居民）工资表-2月'!$E:$T,16,0),0)</f>
        <v>15000</v>
      </c>
      <c r="U9" s="93">
        <f>Q9+IFERROR(VLOOKUP($E:$E,'（居民）工资表-2月'!$E:$U,17,0),0)</f>
        <v>2124.36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R9+IFERROR(VLOOKUP($E:$E,'（居民）工资表-2月'!$E:$AC,25,0),0)</f>
        <v>0</v>
      </c>
      <c r="AD9" s="97">
        <f t="shared" si="2"/>
        <v>11875.64</v>
      </c>
      <c r="AE9" s="98">
        <f>ROUND(MAX((AD9)*{0.03;0.1;0.2;0.25;0.3;0.35;0.45}-{0;2520;16920;31920;52920;85920;181920},0),2)</f>
        <v>356.27</v>
      </c>
      <c r="AF9" s="99">
        <f>IFERROR(VLOOKUP(E:E,'（居民）工资表-2月'!E:AF,28,0)+VLOOKUP(E:E,'（居民）工资表-2月'!E:AG,29,0),0)</f>
        <v>283.68</v>
      </c>
      <c r="AG9" s="99">
        <f t="shared" si="3"/>
        <v>72.59</v>
      </c>
      <c r="AH9" s="109">
        <f t="shared" si="4"/>
        <v>7347.05</v>
      </c>
      <c r="AI9" s="110"/>
      <c r="AJ9" s="109">
        <f t="shared" si="5"/>
        <v>7347.05</v>
      </c>
      <c r="AK9" s="111"/>
      <c r="AL9" s="109">
        <f t="shared" si="6"/>
        <v>7419.64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160</v>
      </c>
      <c r="D10" s="37" t="s">
        <v>143</v>
      </c>
      <c r="E10" s="327" t="s">
        <v>161</v>
      </c>
      <c r="F10" s="38" t="s">
        <v>144</v>
      </c>
      <c r="G10" s="41">
        <v>13973652684</v>
      </c>
      <c r="H10" s="40"/>
      <c r="I10" s="40"/>
      <c r="J10" s="70"/>
      <c r="K10" s="40"/>
      <c r="L10" s="73">
        <v>6500</v>
      </c>
      <c r="M10" s="72">
        <v>315.6</v>
      </c>
      <c r="N10" s="72">
        <v>98.32</v>
      </c>
      <c r="O10" s="72">
        <v>11.84</v>
      </c>
      <c r="P10" s="72">
        <v>100</v>
      </c>
      <c r="Q10" s="91">
        <f t="shared" si="0"/>
        <v>525.76</v>
      </c>
      <c r="R10" s="73">
        <v>0</v>
      </c>
      <c r="S10" s="92">
        <f>L10+IFERROR(VLOOKUP($E:$E,'（居民）工资表-2月'!$E:$S,15,0),0)</f>
        <v>19500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1602.85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R10+IFERROR(VLOOKUP($E:$E,'（居民）工资表-2月'!$E:$AC,25,0),0)</f>
        <v>0</v>
      </c>
      <c r="AD10" s="97">
        <f t="shared" si="2"/>
        <v>2897.15</v>
      </c>
      <c r="AE10" s="98">
        <f>ROUND(MAX((AD10)*{0.03;0.1;0.2;0.25;0.3;0.35;0.45}-{0;2520;16920;31920;52920;85920;181920},0),2)</f>
        <v>86.91</v>
      </c>
      <c r="AF10" s="99">
        <f>IFERROR(VLOOKUP(E:E,'（居民）工资表-2月'!E:AF,28,0)+VLOOKUP(E:E,'（居民）工资表-2月'!E:AG,29,0),0)</f>
        <v>57.69</v>
      </c>
      <c r="AG10" s="99">
        <f t="shared" si="3"/>
        <v>29.22</v>
      </c>
      <c r="AH10" s="109">
        <f t="shared" si="4"/>
        <v>5945.02</v>
      </c>
      <c r="AI10" s="110"/>
      <c r="AJ10" s="109">
        <f t="shared" si="5"/>
        <v>5945.02</v>
      </c>
      <c r="AK10" s="111"/>
      <c r="AL10" s="109">
        <f t="shared" si="6"/>
        <v>5974.24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163</v>
      </c>
      <c r="D11" s="37" t="s">
        <v>143</v>
      </c>
      <c r="E11" s="327" t="s">
        <v>164</v>
      </c>
      <c r="F11" s="38" t="s">
        <v>144</v>
      </c>
      <c r="G11" s="41" t="s">
        <v>165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>L11+IFERROR(VLOOKUP($E:$E,'（居民）工资表-2月'!$E:$S,15,0),0)</f>
        <v>5500</v>
      </c>
      <c r="T11" s="93">
        <f>5000+IFERROR(VLOOKUP($E:$E,'（居民）工资表-2月'!$E:$T,16,0),0)</f>
        <v>5000</v>
      </c>
      <c r="U11" s="93">
        <f>Q11+IFERROR(VLOOKUP($E:$E,'（居民）工资表-2月'!$E:$U,17,0),0)</f>
        <v>525.49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R11+IFERROR(VLOOKUP($E:$E,'（居民）工资表-2月'!$E:$AC,25,0),0)</f>
        <v>0</v>
      </c>
      <c r="AD11" s="97">
        <f t="shared" si="2"/>
        <v>-25.49</v>
      </c>
      <c r="AE11" s="98">
        <f>ROUND(MAX((AD11)*{0.03;0.1;0.2;0.25;0.3;0.35;0.45}-{0;2520;16920;31920;52920;85920;181920},0),2)</f>
        <v>0</v>
      </c>
      <c r="AF11" s="99">
        <f>IFERROR(VLOOKUP(E:E,'（居民）工资表-2月'!E:AF,28,0)+VLOOKUP(E:E,'（居民）工资表-2月'!E:AG,29,0),0)</f>
        <v>0</v>
      </c>
      <c r="AG11" s="99">
        <f t="shared" si="3"/>
        <v>0</v>
      </c>
      <c r="AH11" s="109">
        <f t="shared" si="4"/>
        <v>4974.51</v>
      </c>
      <c r="AI11" s="110"/>
      <c r="AJ11" s="109">
        <f t="shared" si="5"/>
        <v>4974.51</v>
      </c>
      <c r="AK11" s="111"/>
      <c r="AL11" s="109">
        <f t="shared" si="6"/>
        <v>4974.51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168</v>
      </c>
      <c r="D12" s="37" t="s">
        <v>143</v>
      </c>
      <c r="E12" s="327" t="s">
        <v>169</v>
      </c>
      <c r="F12" s="38" t="s">
        <v>148</v>
      </c>
      <c r="G12" s="41" t="s">
        <v>170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>L12+IFERROR(VLOOKUP($E:$E,'（居民）工资表-2月'!$E:$S,15,0),0)</f>
        <v>13650.48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1852.72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R12+IFERROR(VLOOKUP($E:$E,'（居民）工资表-2月'!$E:$AC,25,0),0)</f>
        <v>0</v>
      </c>
      <c r="AD12" s="97">
        <f t="shared" si="2"/>
        <v>-3202.24</v>
      </c>
      <c r="AE12" s="98">
        <f>ROUND(MAX((AD12)*{0.03;0.1;0.2;0.25;0.3;0.35;0.45}-{0;2520;16920;31920;52920;85920;181920},0),2)</f>
        <v>0</v>
      </c>
      <c r="AF12" s="99">
        <f>IFERROR(VLOOKUP(E:E,'（居民）工资表-2月'!E:AF,28,0)+VLOOKUP(E:E,'（居民）工资表-2月'!E:AG,29,0),0)</f>
        <v>0</v>
      </c>
      <c r="AG12" s="99">
        <f t="shared" si="3"/>
        <v>0</v>
      </c>
      <c r="AH12" s="109">
        <f t="shared" si="4"/>
        <v>4005.8</v>
      </c>
      <c r="AI12" s="110"/>
      <c r="AJ12" s="109">
        <f t="shared" si="5"/>
        <v>4005.8</v>
      </c>
      <c r="AK12" s="111"/>
      <c r="AL12" s="109">
        <f t="shared" si="6"/>
        <v>4005.8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173</v>
      </c>
      <c r="D13" s="37" t="s">
        <v>143</v>
      </c>
      <c r="E13" s="327" t="s">
        <v>174</v>
      </c>
      <c r="F13" s="38" t="s">
        <v>144</v>
      </c>
      <c r="G13" s="41">
        <v>18356553626</v>
      </c>
      <c r="H13" s="40"/>
      <c r="I13" s="40"/>
      <c r="J13" s="70"/>
      <c r="K13" s="40"/>
      <c r="L13" s="73">
        <v>5918.18</v>
      </c>
      <c r="M13" s="72">
        <v>306.56</v>
      </c>
      <c r="N13" s="72">
        <v>112.49</v>
      </c>
      <c r="O13" s="72">
        <v>19.16</v>
      </c>
      <c r="P13" s="72">
        <v>75</v>
      </c>
      <c r="Q13" s="91">
        <f t="shared" ref="Q13:Q20" si="10">ROUND(SUM(M13:P13),2)</f>
        <v>513.21</v>
      </c>
      <c r="R13" s="73">
        <v>0</v>
      </c>
      <c r="S13" s="92">
        <f>L13+IFERROR(VLOOKUP($E:$E,'（居民）工资表-2月'!$E:$S,15,0),0)</f>
        <v>22918.18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1631.21</v>
      </c>
      <c r="V13" s="73"/>
      <c r="W13" s="73"/>
      <c r="X13" s="73"/>
      <c r="Y13" s="73"/>
      <c r="Z13" s="73"/>
      <c r="AA13" s="73"/>
      <c r="AB13" s="92">
        <f t="shared" ref="AB13:AB20" si="11">ROUND(SUM(V13:AA13),2)</f>
        <v>0</v>
      </c>
      <c r="AC13" s="92">
        <f>R13+IFERROR(VLOOKUP($E:$E,'（居民）工资表-2月'!$E:$AC,25,0),0)</f>
        <v>0</v>
      </c>
      <c r="AD13" s="97">
        <f t="shared" ref="AD13:AD20" si="12">ROUND(S13-T13-U13-AB13-AC13,2)</f>
        <v>6286.97</v>
      </c>
      <c r="AE13" s="98">
        <f>ROUND(MAX((AD13)*{0.03;0.1;0.2;0.25;0.3;0.35;0.45}-{0;2520;16920;31920;52920;85920;181920},0),2)</f>
        <v>188.61</v>
      </c>
      <c r="AF13" s="99">
        <f>IFERROR(VLOOKUP(E:E,'（居民）工资表-2月'!E:AF,28,0)+VLOOKUP(E:E,'（居民）工资表-2月'!E:AG,29,0),0)</f>
        <v>176.46</v>
      </c>
      <c r="AG13" s="99">
        <f t="shared" ref="AG13:AG20" si="13">IF((AE13-AF13)&lt;0,0,AE13-AF13)</f>
        <v>12.15</v>
      </c>
      <c r="AH13" s="109">
        <f t="shared" ref="AH13:AH20" si="14">ROUND(IF((L13-Q13-AG13)&lt;0,0,(L13-Q13-AG13)),2)</f>
        <v>5392.82</v>
      </c>
      <c r="AI13" s="110"/>
      <c r="AJ13" s="109">
        <f t="shared" ref="AJ13:AJ20" si="15">AH13+AI13</f>
        <v>5392.82</v>
      </c>
      <c r="AK13" s="111"/>
      <c r="AL13" s="109">
        <f t="shared" ref="AL13:AL20" si="16">AJ13+AG13+AK13</f>
        <v>5404.97</v>
      </c>
      <c r="AM13" s="111"/>
      <c r="AN13" s="111"/>
      <c r="AO13" s="111"/>
      <c r="AP13" s="111"/>
      <c r="AQ13" s="111"/>
      <c r="AR13" s="118" t="str">
        <f t="shared" ref="AR13:AR20" si="17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8" t="str">
        <f t="shared" ref="AS13:AS20" si="18">IF(SUMPRODUCT(N(E$1:E$5=E13))&gt;1,"重复","不")</f>
        <v>不</v>
      </c>
      <c r="AT13" s="118" t="str">
        <f t="shared" ref="AT13:AT20" si="19"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175</v>
      </c>
      <c r="D14" s="37" t="s">
        <v>143</v>
      </c>
      <c r="E14" s="327" t="s">
        <v>176</v>
      </c>
      <c r="F14" s="38" t="s">
        <v>144</v>
      </c>
      <c r="G14" s="41">
        <v>18326897140</v>
      </c>
      <c r="H14" s="40"/>
      <c r="I14" s="40"/>
      <c r="J14" s="70"/>
      <c r="K14" s="40"/>
      <c r="L14" s="73">
        <v>4650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10"/>
        <v>580.36</v>
      </c>
      <c r="R14" s="73">
        <v>0</v>
      </c>
      <c r="S14" s="92">
        <f>L14+IFERROR(VLOOKUP($E:$E,'（居民）工资表-2月'!$E:$S,15,0),0)</f>
        <v>18650</v>
      </c>
      <c r="T14" s="93">
        <f>5000+IFERROR(VLOOKUP($E:$E,'（居民）工资表-2月'!$E:$T,16,0),0)</f>
        <v>15000</v>
      </c>
      <c r="U14" s="93">
        <f>Q14+IFERROR(VLOOKUP($E:$E,'（居民）工资表-2月'!$E:$U,17,0),0)</f>
        <v>2124.36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R14+IFERROR(VLOOKUP($E:$E,'（居民）工资表-2月'!$E:$AC,25,0),0)</f>
        <v>0</v>
      </c>
      <c r="AD14" s="97">
        <f t="shared" si="12"/>
        <v>1525.64</v>
      </c>
      <c r="AE14" s="98">
        <f>ROUND(MAX((AD14)*{0.03;0.1;0.2;0.25;0.3;0.35;0.45}-{0;2520;16920;31920;52920;85920;181920},0),2)</f>
        <v>45.77</v>
      </c>
      <c r="AF14" s="99">
        <f>IFERROR(VLOOKUP(E:E,'（居民）工资表-2月'!E:AF,28,0)+VLOOKUP(E:E,'（居民）工资表-2月'!E:AG,29,0),0)</f>
        <v>73.68</v>
      </c>
      <c r="AG14" s="99">
        <f t="shared" si="13"/>
        <v>0</v>
      </c>
      <c r="AH14" s="109">
        <f t="shared" si="14"/>
        <v>4069.64</v>
      </c>
      <c r="AI14" s="110"/>
      <c r="AJ14" s="109">
        <f t="shared" si="15"/>
        <v>4069.64</v>
      </c>
      <c r="AK14" s="111"/>
      <c r="AL14" s="109">
        <f t="shared" si="16"/>
        <v>4069.64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177</v>
      </c>
      <c r="D15" s="37" t="s">
        <v>143</v>
      </c>
      <c r="E15" s="327" t="s">
        <v>178</v>
      </c>
      <c r="F15" s="38" t="s">
        <v>144</v>
      </c>
      <c r="G15" s="41">
        <v>17201857014</v>
      </c>
      <c r="H15" s="40"/>
      <c r="I15" s="40"/>
      <c r="J15" s="70"/>
      <c r="K15" s="40"/>
      <c r="L15" s="73">
        <v>4750</v>
      </c>
      <c r="M15" s="72">
        <v>306.56</v>
      </c>
      <c r="N15" s="72">
        <v>82.64</v>
      </c>
      <c r="O15" s="72">
        <v>19.16</v>
      </c>
      <c r="P15" s="72">
        <v>172</v>
      </c>
      <c r="Q15" s="91">
        <f t="shared" si="10"/>
        <v>580.36</v>
      </c>
      <c r="R15" s="73">
        <v>0</v>
      </c>
      <c r="S15" s="92">
        <f>L15+IFERROR(VLOOKUP($E:$E,'（居民）工资表-2月'!$E:$S,15,0),0)</f>
        <v>19358.7</v>
      </c>
      <c r="T15" s="93">
        <f>5000+IFERROR(VLOOKUP($E:$E,'（居民）工资表-2月'!$E:$T,16,0),0)</f>
        <v>15000</v>
      </c>
      <c r="U15" s="93">
        <f>Q15+IFERROR(VLOOKUP($E:$E,'（居民）工资表-2月'!$E:$U,17,0),0)</f>
        <v>2124.36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R15+IFERROR(VLOOKUP($E:$E,'（居民）工资表-2月'!$E:$AC,25,0),0)</f>
        <v>0</v>
      </c>
      <c r="AD15" s="97">
        <f t="shared" si="12"/>
        <v>2234.34</v>
      </c>
      <c r="AE15" s="98">
        <f>ROUND(MAX((AD15)*{0.03;0.1;0.2;0.25;0.3;0.35;0.45}-{0;2520;16920;31920;52920;85920;181920},0),2)</f>
        <v>67.03</v>
      </c>
      <c r="AF15" s="99">
        <f>IFERROR(VLOOKUP(E:E,'（居民）工资表-2月'!E:AF,28,0)+VLOOKUP(E:E,'（居民）工资表-2月'!E:AG,29,0),0)</f>
        <v>91.94</v>
      </c>
      <c r="AG15" s="99">
        <f t="shared" si="13"/>
        <v>0</v>
      </c>
      <c r="AH15" s="109">
        <f t="shared" si="14"/>
        <v>4169.64</v>
      </c>
      <c r="AI15" s="110"/>
      <c r="AJ15" s="109">
        <f t="shared" si="15"/>
        <v>4169.64</v>
      </c>
      <c r="AK15" s="111"/>
      <c r="AL15" s="109">
        <f t="shared" si="16"/>
        <v>4169.64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179</v>
      </c>
      <c r="D16" s="37" t="s">
        <v>143</v>
      </c>
      <c r="E16" s="327" t="s">
        <v>180</v>
      </c>
      <c r="F16" s="38" t="s">
        <v>148</v>
      </c>
      <c r="G16" s="41" t="s">
        <v>181</v>
      </c>
      <c r="H16" s="40"/>
      <c r="I16" s="40"/>
      <c r="J16" s="70"/>
      <c r="K16" s="40"/>
      <c r="L16" s="73">
        <v>6109.09</v>
      </c>
      <c r="M16" s="72">
        <v>306.56</v>
      </c>
      <c r="N16" s="72">
        <v>112.49</v>
      </c>
      <c r="O16" s="72">
        <v>19.16</v>
      </c>
      <c r="P16" s="72">
        <v>75</v>
      </c>
      <c r="Q16" s="91">
        <f t="shared" si="10"/>
        <v>513.21</v>
      </c>
      <c r="R16" s="73">
        <v>0</v>
      </c>
      <c r="S16" s="92">
        <f>L16+IFERROR(VLOOKUP($E:$E,'（居民）工资表-2月'!$E:$S,15,0),0)</f>
        <v>20109.09</v>
      </c>
      <c r="T16" s="93">
        <f>5000+IFERROR(VLOOKUP($E:$E,'（居民）工资表-2月'!$E:$T,16,0),0)</f>
        <v>15000</v>
      </c>
      <c r="U16" s="93">
        <f>Q16+IFERROR(VLOOKUP($E:$E,'（居民）工资表-2月'!$E:$U,17,0),0)</f>
        <v>1631.21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R16+IFERROR(VLOOKUP($E:$E,'（居民）工资表-2月'!$E:$AC,25,0),0)</f>
        <v>0</v>
      </c>
      <c r="AD16" s="97">
        <f t="shared" si="12"/>
        <v>3477.88</v>
      </c>
      <c r="AE16" s="98">
        <f>ROUND(MAX((AD16)*{0.03;0.1;0.2;0.25;0.3;0.35;0.45}-{0;2520;16920;31920;52920;85920;181920},0),2)</f>
        <v>104.34</v>
      </c>
      <c r="AF16" s="99">
        <f>IFERROR(VLOOKUP(E:E,'（居民）工资表-2月'!E:AF,28,0)+VLOOKUP(E:E,'（居民）工资表-2月'!E:AG,29,0),0)</f>
        <v>86.46</v>
      </c>
      <c r="AG16" s="99">
        <f t="shared" si="13"/>
        <v>17.88</v>
      </c>
      <c r="AH16" s="109">
        <f t="shared" si="14"/>
        <v>5578</v>
      </c>
      <c r="AI16" s="110"/>
      <c r="AJ16" s="109">
        <f t="shared" si="15"/>
        <v>5578</v>
      </c>
      <c r="AK16" s="111"/>
      <c r="AL16" s="109">
        <f t="shared" si="16"/>
        <v>5595.88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182</v>
      </c>
      <c r="D17" s="37" t="s">
        <v>143</v>
      </c>
      <c r="E17" s="327" t="s">
        <v>183</v>
      </c>
      <c r="F17" s="38" t="s">
        <v>148</v>
      </c>
      <c r="G17" s="41">
        <v>15855788591</v>
      </c>
      <c r="H17" s="40"/>
      <c r="I17" s="40"/>
      <c r="J17" s="70"/>
      <c r="K17" s="40"/>
      <c r="L17" s="73">
        <v>4092</v>
      </c>
      <c r="M17" s="72">
        <v>306.56</v>
      </c>
      <c r="N17" s="72">
        <v>84.64</v>
      </c>
      <c r="O17" s="72">
        <v>19.16</v>
      </c>
      <c r="P17" s="72">
        <v>75</v>
      </c>
      <c r="Q17" s="91">
        <f t="shared" si="10"/>
        <v>485.36</v>
      </c>
      <c r="R17" s="73">
        <v>0</v>
      </c>
      <c r="S17" s="92">
        <f>L17+IFERROR(VLOOKUP($E:$E,'（居民）工资表-2月'!$E:$S,15,0),0)</f>
        <v>16733.74</v>
      </c>
      <c r="T17" s="93">
        <f>5000+IFERROR(VLOOKUP($E:$E,'（居民）工资表-2月'!$E:$T,16,0),0)</f>
        <v>15000</v>
      </c>
      <c r="U17" s="93">
        <f>Q17+IFERROR(VLOOKUP($E:$E,'（居民）工资表-2月'!$E:$U,17,0),0)</f>
        <v>1540.78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R17+IFERROR(VLOOKUP($E:$E,'（居民）工资表-2月'!$E:$AC,25,0),0)</f>
        <v>0</v>
      </c>
      <c r="AD17" s="97">
        <f t="shared" si="12"/>
        <v>192.96</v>
      </c>
      <c r="AE17" s="98">
        <f>ROUND(MAX((AD17)*{0.03;0.1;0.2;0.25;0.3;0.35;0.45}-{0;2520;16920;31920;52920;85920;181920},0),2)</f>
        <v>5.79</v>
      </c>
      <c r="AF17" s="99">
        <f>IFERROR(VLOOKUP(E:E,'（居民）工资表-2月'!E:AF,28,0)+VLOOKUP(E:E,'（居民）工资表-2月'!E:AG,29,0),0)</f>
        <v>47.59</v>
      </c>
      <c r="AG17" s="99">
        <f t="shared" si="13"/>
        <v>0</v>
      </c>
      <c r="AH17" s="109">
        <f t="shared" si="14"/>
        <v>3606.64</v>
      </c>
      <c r="AI17" s="110"/>
      <c r="AJ17" s="109">
        <f t="shared" si="15"/>
        <v>3606.64</v>
      </c>
      <c r="AK17" s="111"/>
      <c r="AL17" s="109">
        <f t="shared" si="16"/>
        <v>3606.64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184</v>
      </c>
      <c r="D18" s="37" t="s">
        <v>143</v>
      </c>
      <c r="E18" s="327" t="s">
        <v>185</v>
      </c>
      <c r="F18" s="38" t="s">
        <v>148</v>
      </c>
      <c r="G18" s="41">
        <v>13873717760</v>
      </c>
      <c r="H18" s="40"/>
      <c r="I18" s="40"/>
      <c r="J18" s="70"/>
      <c r="K18" s="40"/>
      <c r="L18" s="73">
        <v>5260</v>
      </c>
      <c r="M18" s="72">
        <v>401.76</v>
      </c>
      <c r="N18" s="72">
        <v>203.44</v>
      </c>
      <c r="O18" s="72">
        <v>15.07</v>
      </c>
      <c r="P18" s="72">
        <v>175</v>
      </c>
      <c r="Q18" s="91">
        <f t="shared" si="10"/>
        <v>795.27</v>
      </c>
      <c r="R18" s="73">
        <v>0</v>
      </c>
      <c r="S18" s="92">
        <f>L18+IFERROR(VLOOKUP($E:$E,'（居民）工资表-2月'!$E:$S,15,0),0)</f>
        <v>5260</v>
      </c>
      <c r="T18" s="93">
        <f>5000+IFERROR(VLOOKUP($E:$E,'（居民）工资表-2月'!$E:$T,16,0),0)</f>
        <v>5000</v>
      </c>
      <c r="U18" s="93">
        <f>Q18+IFERROR(VLOOKUP($E:$E,'（居民）工资表-2月'!$E:$U,17,0),0)</f>
        <v>795.27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R18+IFERROR(VLOOKUP($E:$E,'（居民）工资表-2月'!$E:$AC,25,0),0)</f>
        <v>0</v>
      </c>
      <c r="AD18" s="97">
        <f t="shared" si="12"/>
        <v>-535.27</v>
      </c>
      <c r="AE18" s="98">
        <f>ROUND(MAX((AD18)*{0.03;0.1;0.2;0.25;0.3;0.35;0.45}-{0;2520;16920;31920;52920;85920;181920},0),2)</f>
        <v>0</v>
      </c>
      <c r="AF18" s="99">
        <f>IFERROR(VLOOKUP(E:E,'（居民）工资表-2月'!E:AF,28,0)+VLOOKUP(E:E,'（居民）工资表-2月'!E:AG,29,0),0)</f>
        <v>0</v>
      </c>
      <c r="AG18" s="99">
        <f t="shared" si="13"/>
        <v>0</v>
      </c>
      <c r="AH18" s="109">
        <f t="shared" si="14"/>
        <v>4464.73</v>
      </c>
      <c r="AI18" s="110"/>
      <c r="AJ18" s="109">
        <f t="shared" si="15"/>
        <v>4464.73</v>
      </c>
      <c r="AK18" s="111"/>
      <c r="AL18" s="109">
        <f t="shared" si="16"/>
        <v>4464.73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  <c r="AU18" s="12" t="s">
        <v>162</v>
      </c>
      <c r="AV18" s="12" t="s">
        <v>51</v>
      </c>
    </row>
    <row r="19" s="12" customFormat="1" ht="18" customHeight="1" spans="1:47">
      <c r="A19" s="36">
        <v>16</v>
      </c>
      <c r="B19" s="37" t="s">
        <v>142</v>
      </c>
      <c r="C19" s="37" t="s">
        <v>225</v>
      </c>
      <c r="D19" s="37" t="s">
        <v>143</v>
      </c>
      <c r="E19" s="327" t="s">
        <v>226</v>
      </c>
      <c r="F19" s="38" t="s">
        <v>148</v>
      </c>
      <c r="G19" s="41">
        <v>13979183143</v>
      </c>
      <c r="H19" s="40"/>
      <c r="I19" s="40"/>
      <c r="J19" s="70"/>
      <c r="K19" s="40"/>
      <c r="L19" s="73">
        <v>9545.45</v>
      </c>
      <c r="M19" s="72">
        <v>282.24</v>
      </c>
      <c r="N19" s="72">
        <v>92.81</v>
      </c>
      <c r="O19" s="72">
        <v>17.64</v>
      </c>
      <c r="P19" s="72">
        <v>142</v>
      </c>
      <c r="Q19" s="91">
        <f t="shared" si="10"/>
        <v>534.69</v>
      </c>
      <c r="R19" s="73">
        <v>0</v>
      </c>
      <c r="S19" s="92">
        <f>L19+IFERROR(VLOOKUP($E:$E,'（居民）工资表-2月'!$E:$S,15,0),0)</f>
        <v>9545.45</v>
      </c>
      <c r="T19" s="93">
        <f>5000+IFERROR(VLOOKUP($E:$E,'（居民）工资表-2月'!$E:$T,16,0),0)</f>
        <v>5000</v>
      </c>
      <c r="U19" s="93">
        <f>Q19+IFERROR(VLOOKUP($E:$E,'（居民）工资表-2月'!$E:$U,17,0),0)</f>
        <v>534.69</v>
      </c>
      <c r="V19" s="73"/>
      <c r="W19" s="73"/>
      <c r="X19" s="73"/>
      <c r="Y19" s="73"/>
      <c r="Z19" s="73"/>
      <c r="AA19" s="73"/>
      <c r="AB19" s="92">
        <f t="shared" si="11"/>
        <v>0</v>
      </c>
      <c r="AC19" s="92">
        <f>R19+IFERROR(VLOOKUP($E:$E,'（居民）工资表-2月'!$E:$AC,25,0),0)</f>
        <v>0</v>
      </c>
      <c r="AD19" s="97">
        <f t="shared" si="12"/>
        <v>4010.76</v>
      </c>
      <c r="AE19" s="98">
        <f>ROUND(MAX((AD19)*{0.03;0.1;0.2;0.25;0.3;0.35;0.45}-{0;2520;16920;31920;52920;85920;181920},0),2)</f>
        <v>120.32</v>
      </c>
      <c r="AF19" s="99">
        <f>IFERROR(VLOOKUP(E:E,'（居民）工资表-2月'!E:AF,28,0)+VLOOKUP(E:E,'（居民）工资表-2月'!E:AG,29,0),0)</f>
        <v>0</v>
      </c>
      <c r="AG19" s="99">
        <f t="shared" si="13"/>
        <v>120.32</v>
      </c>
      <c r="AH19" s="109">
        <f t="shared" si="14"/>
        <v>8890.44</v>
      </c>
      <c r="AI19" s="110"/>
      <c r="AJ19" s="109">
        <f t="shared" si="15"/>
        <v>8890.44</v>
      </c>
      <c r="AK19" s="111"/>
      <c r="AL19" s="109">
        <f t="shared" si="16"/>
        <v>9010.76</v>
      </c>
      <c r="AM19" s="111"/>
      <c r="AN19" s="111"/>
      <c r="AO19" s="111"/>
      <c r="AP19" s="111"/>
      <c r="AQ19" s="111"/>
      <c r="AR19" s="118" t="str">
        <f t="shared" si="17"/>
        <v>正确</v>
      </c>
      <c r="AS19" s="118" t="str">
        <f t="shared" si="18"/>
        <v>不</v>
      </c>
      <c r="AT19" s="118" t="str">
        <f t="shared" si="19"/>
        <v>重复</v>
      </c>
      <c r="AU19" s="12" t="s">
        <v>227</v>
      </c>
    </row>
    <row r="20" s="12" customFormat="1" ht="18" customHeight="1" spans="1:46">
      <c r="A20" s="36"/>
      <c r="B20" s="37"/>
      <c r="C20" s="121"/>
      <c r="D20" s="37"/>
      <c r="E20" s="122"/>
      <c r="F20" s="38"/>
      <c r="G20" s="39"/>
      <c r="H20" s="123"/>
      <c r="I20" s="123"/>
      <c r="J20" s="124"/>
      <c r="K20" s="123"/>
      <c r="L20" s="71"/>
      <c r="M20" s="71"/>
      <c r="N20" s="71"/>
      <c r="O20" s="71"/>
      <c r="P20" s="71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192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120524.41</v>
      </c>
      <c r="M21" s="76">
        <f>SUM(M4:M20)</f>
        <v>4998.98</v>
      </c>
      <c r="N21" s="76">
        <f>SUM(N4:N20)</f>
        <v>1647.39</v>
      </c>
      <c r="O21" s="76">
        <f>SUM(O4:O20)</f>
        <v>268.77</v>
      </c>
      <c r="P21" s="76">
        <f t="shared" ref="P21:AL21" si="20">SUM(P4:P20)</f>
        <v>1825.3</v>
      </c>
      <c r="Q21" s="76">
        <f t="shared" si="20"/>
        <v>8740.44</v>
      </c>
      <c r="R21" s="76">
        <f t="shared" si="20"/>
        <v>0</v>
      </c>
      <c r="S21" s="76">
        <f t="shared" si="20"/>
        <v>339346.53</v>
      </c>
      <c r="T21" s="76">
        <f t="shared" si="20"/>
        <v>200000</v>
      </c>
      <c r="U21" s="76">
        <f t="shared" si="20"/>
        <v>24551.07</v>
      </c>
      <c r="V21" s="76">
        <f t="shared" si="20"/>
        <v>3000</v>
      </c>
      <c r="W21" s="76">
        <f t="shared" si="20"/>
        <v>0</v>
      </c>
      <c r="X21" s="76">
        <f t="shared" si="20"/>
        <v>3000</v>
      </c>
      <c r="Y21" s="76">
        <f t="shared" si="20"/>
        <v>0</v>
      </c>
      <c r="Z21" s="76">
        <f t="shared" si="20"/>
        <v>1200</v>
      </c>
      <c r="AA21" s="76">
        <f t="shared" si="20"/>
        <v>0</v>
      </c>
      <c r="AB21" s="76">
        <f t="shared" si="20"/>
        <v>7200</v>
      </c>
      <c r="AC21" s="76">
        <f t="shared" si="20"/>
        <v>0</v>
      </c>
      <c r="AD21" s="76">
        <f t="shared" si="20"/>
        <v>107595.46</v>
      </c>
      <c r="AE21" s="76">
        <f t="shared" si="20"/>
        <v>6110.72</v>
      </c>
      <c r="AF21" s="76">
        <f t="shared" si="20"/>
        <v>3339.86</v>
      </c>
      <c r="AG21" s="76">
        <f t="shared" si="20"/>
        <v>2865.48</v>
      </c>
      <c r="AH21" s="76">
        <f t="shared" si="20"/>
        <v>108918.49</v>
      </c>
      <c r="AI21" s="76">
        <f t="shared" si="20"/>
        <v>0</v>
      </c>
      <c r="AJ21" s="76">
        <f t="shared" si="20"/>
        <v>108918.49</v>
      </c>
      <c r="AK21" s="76">
        <f t="shared" si="20"/>
        <v>0</v>
      </c>
      <c r="AL21" s="76">
        <f t="shared" si="20"/>
        <v>111783.97</v>
      </c>
      <c r="AM21" s="112"/>
      <c r="AN21" s="112"/>
      <c r="AO21" s="112"/>
      <c r="AP21" s="112"/>
      <c r="AQ21" s="112"/>
      <c r="AR21" s="46"/>
      <c r="AS21" s="46"/>
      <c r="AT21" s="120"/>
    </row>
    <row r="24" spans="12:30">
      <c r="L24" s="15">
        <v>111783.97</v>
      </c>
      <c r="AD24" s="103"/>
    </row>
    <row r="25" ht="18.75" customHeight="1" spans="2:30">
      <c r="B25" s="48" t="s">
        <v>131</v>
      </c>
      <c r="C25" s="48" t="s">
        <v>193</v>
      </c>
      <c r="D25" s="48" t="s">
        <v>22</v>
      </c>
      <c r="E25" s="48" t="s">
        <v>23</v>
      </c>
      <c r="AD25" s="10"/>
    </row>
    <row r="26" ht="18.75" customHeight="1" spans="2:5">
      <c r="B26" s="49">
        <f>AJ21</f>
        <v>108918.49</v>
      </c>
      <c r="C26" s="49">
        <f>AG21</f>
        <v>2865.48</v>
      </c>
      <c r="D26" s="49">
        <f>AK21</f>
        <v>0</v>
      </c>
      <c r="E26" s="49">
        <f>B26+C26+D26</f>
        <v>111783.97</v>
      </c>
    </row>
    <row r="27" spans="2:5">
      <c r="B27" s="50"/>
      <c r="C27" s="50"/>
      <c r="D27" s="50"/>
      <c r="E27" s="50" t="e">
        <f>#REF!</f>
        <v>#REF!</v>
      </c>
    </row>
    <row r="28" s="14" customFormat="1" spans="1:35">
      <c r="A28" s="52" t="s">
        <v>194</v>
      </c>
      <c r="B28" s="53" t="s">
        <v>195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196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197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198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199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200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201</v>
      </c>
    </row>
    <row r="36" spans="2:2">
      <c r="B36" s="60" t="s">
        <v>202</v>
      </c>
    </row>
    <row r="37" spans="2:2">
      <c r="B37" s="60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70"/>
      <c r="K4" s="40"/>
      <c r="L4" s="71">
        <v>8000</v>
      </c>
      <c r="M4" s="72">
        <v>296.26</v>
      </c>
      <c r="N4" s="72">
        <v>76.62</v>
      </c>
      <c r="O4" s="72">
        <v>11.11</v>
      </c>
      <c r="P4" s="72">
        <v>463</v>
      </c>
      <c r="Q4" s="91">
        <f t="shared" ref="Q4:Q22" si="0">ROUND(SUM(M4:P4),2)</f>
        <v>846.99</v>
      </c>
      <c r="R4" s="73">
        <v>0</v>
      </c>
      <c r="S4" s="92">
        <f>L4+IFERROR(VLOOKUP($E:$E,'（居民）工资表-3月'!$E:$S,15,0),0)</f>
        <v>32000</v>
      </c>
      <c r="T4" s="93">
        <f>5000+IFERROR(VLOOKUP($E:$E,'（居民）工资表-3月'!$E:$T,16,0),0)</f>
        <v>20000</v>
      </c>
      <c r="U4" s="93">
        <f>Q4+IFERROR(VLOOKUP($E:$E,'（居民）工资表-3月'!$E:$U,17,0),0)</f>
        <v>2682.38</v>
      </c>
      <c r="V4" s="73"/>
      <c r="W4" s="73"/>
      <c r="X4" s="73"/>
      <c r="Y4" s="73"/>
      <c r="Z4" s="73"/>
      <c r="AA4" s="73"/>
      <c r="AB4" s="92">
        <f t="shared" ref="AB4:AB22" si="1">ROUND(SUM(V4:AA4),2)</f>
        <v>0</v>
      </c>
      <c r="AC4" s="92">
        <f>R4+IFERROR(VLOOKUP($E:$E,'（居民）工资表-3月'!$E:$AC,25,0),0)</f>
        <v>0</v>
      </c>
      <c r="AD4" s="97">
        <f t="shared" ref="AD4:AD22" si="2">ROUND(S4-T4-U4-AB4-AC4,2)</f>
        <v>9317.62</v>
      </c>
      <c r="AE4" s="98">
        <f>ROUND(MAX((AD4)*{0.03;0.1;0.2;0.25;0.3;0.35;0.45}-{0;2520;16920;31920;52920;85920;181920},0),2)</f>
        <v>279.53</v>
      </c>
      <c r="AF4" s="99">
        <f>IFERROR(VLOOKUP(E:E,'（居民）工资表-3月'!E:AF,28,0)+VLOOKUP(E:E,'（居民）工资表-3月'!E:AG,29,0),0)</f>
        <v>214.94</v>
      </c>
      <c r="AG4" s="99">
        <f t="shared" ref="AG4:AG22" si="3">IF((AE4-AF4)&lt;0,0,AE4-AF4)</f>
        <v>64.59</v>
      </c>
      <c r="AH4" s="109">
        <f t="shared" ref="AH4:AH22" si="4">ROUND(IF((L4-Q4-AG4)&lt;0,0,(L4-Q4-AG4)),2)</f>
        <v>7088.42</v>
      </c>
      <c r="AI4" s="110"/>
      <c r="AJ4" s="109">
        <f t="shared" ref="AJ4:AJ22" si="5">AH4+AI4</f>
        <v>7088.42</v>
      </c>
      <c r="AK4" s="111"/>
      <c r="AL4" s="109">
        <f t="shared" ref="AL4:AL22" si="6">AJ4+AG4+AK4</f>
        <v>7153.01</v>
      </c>
      <c r="AM4" s="111"/>
      <c r="AN4" s="111"/>
      <c r="AO4" s="111"/>
      <c r="AP4" s="111"/>
      <c r="AQ4" s="111"/>
      <c r="AR4" s="118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1" si="8">IF(SUMPRODUCT(N(E$1:E$5=E4))&gt;1,"重复","不")</f>
        <v>不</v>
      </c>
      <c r="AT4" s="118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39">
        <v>15360550807</v>
      </c>
      <c r="H5" s="40"/>
      <c r="I5" s="40"/>
      <c r="J5" s="70"/>
      <c r="K5" s="40"/>
      <c r="L5" s="71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 t="shared" si="0"/>
        <v>600.12</v>
      </c>
      <c r="R5" s="73">
        <v>0</v>
      </c>
      <c r="S5" s="92">
        <f>L5+IFERROR(VLOOKUP($E:$E,'（居民）工资表-3月'!$E:$S,15,0),0)</f>
        <v>22800</v>
      </c>
      <c r="T5" s="93">
        <f>5000+IFERROR(VLOOKUP($E:$E,'（居民）工资表-3月'!$E:$T,16,0),0)</f>
        <v>20000</v>
      </c>
      <c r="U5" s="93">
        <f>Q5+IFERROR(VLOOKUP($E:$E,'（居民）工资表-3月'!$E:$U,17,0),0)</f>
        <v>2524.72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R5+IFERROR(VLOOKUP($E:$E,'（居民）工资表-3月'!$E:$AC,25,0),0)</f>
        <v>0</v>
      </c>
      <c r="AD5" s="97">
        <f t="shared" si="2"/>
        <v>275.28</v>
      </c>
      <c r="AE5" s="98">
        <f>ROUND(MAX((AD5)*{0.03;0.1;0.2;0.25;0.3;0.35;0.45}-{0;2520;16920;31920;52920;85920;181920},0),2)</f>
        <v>8.26</v>
      </c>
      <c r="AF5" s="99">
        <f>IFERROR(VLOOKUP(E:E,'（居民）工资表-3月'!E:AF,28,0)+VLOOKUP(E:E,'（居民）工资表-3月'!E:AG,29,0),0)</f>
        <v>5.26</v>
      </c>
      <c r="AG5" s="99">
        <f t="shared" si="3"/>
        <v>3</v>
      </c>
      <c r="AH5" s="109">
        <f t="shared" si="4"/>
        <v>5096.88</v>
      </c>
      <c r="AI5" s="110"/>
      <c r="AJ5" s="109">
        <f t="shared" si="5"/>
        <v>5096.88</v>
      </c>
      <c r="AK5" s="111"/>
      <c r="AL5" s="109">
        <f t="shared" si="6"/>
        <v>5099.88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 t="shared" si="8"/>
        <v>不</v>
      </c>
      <c r="AT5" s="118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39" t="s">
        <v>151</v>
      </c>
      <c r="H6" s="40"/>
      <c r="I6" s="40"/>
      <c r="J6" s="70"/>
      <c r="K6" s="40"/>
      <c r="L6" s="71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 t="shared" si="0"/>
        <v>865.9</v>
      </c>
      <c r="R6" s="73">
        <v>0</v>
      </c>
      <c r="S6" s="92">
        <f>L6+IFERROR(VLOOKUP($E:$E,'（居民）工资表-3月'!$E:$S,15,0),0)</f>
        <v>120240</v>
      </c>
      <c r="T6" s="93">
        <f>5000+IFERROR(VLOOKUP($E:$E,'（居民）工资表-3月'!$E:$T,16,0),0)</f>
        <v>20000</v>
      </c>
      <c r="U6" s="93">
        <f>Q6+IFERROR(VLOOKUP($E:$E,'（居民）工资表-3月'!$E:$U,17,0),0)</f>
        <v>3628.9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R6+IFERROR(VLOOKUP($E:$E,'（居民）工资表-3月'!$E:$AC,25,0),0)</f>
        <v>0</v>
      </c>
      <c r="AD6" s="97">
        <f t="shared" si="2"/>
        <v>96611.1</v>
      </c>
      <c r="AE6" s="98">
        <f>ROUND(MAX((AD6)*{0.03;0.1;0.2;0.25;0.3;0.35;0.45}-{0;2520;16920;31920;52920;85920;181920},0),2)</f>
        <v>7141.11</v>
      </c>
      <c r="AF6" s="99">
        <f>IFERROR(VLOOKUP(E:E,'（居民）工资表-3月'!E:AF,28,0)+VLOOKUP(E:E,'（居民）工资表-3月'!E:AG,29,0),0)</f>
        <v>4721.7</v>
      </c>
      <c r="AG6" s="99">
        <f t="shared" si="3"/>
        <v>2419.41</v>
      </c>
      <c r="AH6" s="109">
        <f t="shared" si="4"/>
        <v>26774.69</v>
      </c>
      <c r="AI6" s="110"/>
      <c r="AJ6" s="109">
        <f t="shared" si="5"/>
        <v>26774.69</v>
      </c>
      <c r="AK6" s="111"/>
      <c r="AL6" s="109">
        <f t="shared" si="6"/>
        <v>29194.1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39" t="s">
        <v>156</v>
      </c>
      <c r="H7" s="40"/>
      <c r="I7" s="40"/>
      <c r="J7" s="70"/>
      <c r="K7" s="40"/>
      <c r="L7" s="71">
        <v>7000</v>
      </c>
      <c r="M7" s="72">
        <v>306.56</v>
      </c>
      <c r="N7" s="72">
        <v>84.64</v>
      </c>
      <c r="O7" s="72">
        <v>19.16</v>
      </c>
      <c r="P7" s="72">
        <v>75</v>
      </c>
      <c r="Q7" s="91">
        <f t="shared" si="0"/>
        <v>485.36</v>
      </c>
      <c r="R7" s="73">
        <v>0</v>
      </c>
      <c r="S7" s="92">
        <f>L7+IFERROR(VLOOKUP($E:$E,'（居民）工资表-3月'!$E:$S,15,0),0)</f>
        <v>30000</v>
      </c>
      <c r="T7" s="93">
        <f>5000+IFERROR(VLOOKUP($E:$E,'（居民）工资表-3月'!$E:$T,16,0),0)</f>
        <v>20000</v>
      </c>
      <c r="U7" s="93">
        <f>Q7+IFERROR(VLOOKUP($E:$E,'（居民）工资表-3月'!$E:$U,17,0),0)</f>
        <v>2026.14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R7+IFERROR(VLOOKUP($E:$E,'（居民）工资表-3月'!$E:$AC,25,0),0)</f>
        <v>0</v>
      </c>
      <c r="AD7" s="97">
        <f t="shared" si="2"/>
        <v>7973.86</v>
      </c>
      <c r="AE7" s="98">
        <f>ROUND(MAX((AD7)*{0.03;0.1;0.2;0.25;0.3;0.35;0.45}-{0;2520;16920;31920;52920;85920;181920},0),2)</f>
        <v>239.22</v>
      </c>
      <c r="AF7" s="99">
        <f>IFERROR(VLOOKUP(E:E,'（居民）工资表-3月'!E:AF,28,0)+VLOOKUP(E:E,'（居民）工资表-3月'!E:AG,29,0),0)</f>
        <v>193.78</v>
      </c>
      <c r="AG7" s="99">
        <f t="shared" si="3"/>
        <v>45.44</v>
      </c>
      <c r="AH7" s="109">
        <f t="shared" si="4"/>
        <v>6469.2</v>
      </c>
      <c r="AI7" s="110"/>
      <c r="AJ7" s="109">
        <f t="shared" si="5"/>
        <v>6469.2</v>
      </c>
      <c r="AK7" s="111"/>
      <c r="AL7" s="109">
        <f t="shared" si="6"/>
        <v>6514.64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39">
        <v>19356875630</v>
      </c>
      <c r="H8" s="40"/>
      <c r="I8" s="40"/>
      <c r="J8" s="70"/>
      <c r="K8" s="40"/>
      <c r="L8" s="71">
        <v>8000</v>
      </c>
      <c r="M8" s="72">
        <v>306.56</v>
      </c>
      <c r="N8" s="72">
        <v>82.64</v>
      </c>
      <c r="O8" s="72">
        <v>19.16</v>
      </c>
      <c r="P8" s="72">
        <v>172</v>
      </c>
      <c r="Q8" s="73">
        <f t="shared" si="0"/>
        <v>580.36</v>
      </c>
      <c r="R8" s="73">
        <v>0</v>
      </c>
      <c r="S8" s="94">
        <f>L8+IFERROR(VLOOKUP($E:$E,'（居民）工资表-3月'!$E:$S,15,0),0)</f>
        <v>37000</v>
      </c>
      <c r="T8" s="95">
        <f>5000+IFERROR(VLOOKUP($E:$E,'（居民）工资表-3月'!$E:$T,16,0),0)</f>
        <v>20000</v>
      </c>
      <c r="U8" s="95">
        <f>Q8+IFERROR(VLOOKUP($E:$E,'（居民）工资表-3月'!$E:$U,17,0),0)</f>
        <v>2704.72</v>
      </c>
      <c r="V8" s="73"/>
      <c r="W8" s="73"/>
      <c r="X8" s="73"/>
      <c r="Y8" s="73"/>
      <c r="Z8" s="73"/>
      <c r="AA8" s="73"/>
      <c r="AB8" s="94">
        <f t="shared" si="1"/>
        <v>0</v>
      </c>
      <c r="AC8" s="94">
        <f>R8+IFERROR(VLOOKUP($E:$E,'（居民）工资表-3月'!$E:$AC,25,0),0)</f>
        <v>0</v>
      </c>
      <c r="AD8" s="100">
        <f t="shared" si="2"/>
        <v>14295.28</v>
      </c>
      <c r="AE8" s="101">
        <f>ROUND(MAX((AD8)*{0.03;0.1;0.2;0.25;0.3;0.35;0.45}-{0;2520;16920;31920;52920;85920;181920},0),2)</f>
        <v>428.86</v>
      </c>
      <c r="AF8" s="102">
        <f>IFERROR(VLOOKUP(E:E,'（居民）工资表-3月'!E:AF,28,0)+VLOOKUP(E:E,'（居民）工资表-3月'!E:AG,29,0),0)</f>
        <v>356.27</v>
      </c>
      <c r="AG8" s="102">
        <f t="shared" si="3"/>
        <v>72.59</v>
      </c>
      <c r="AH8" s="111">
        <f t="shared" si="4"/>
        <v>7347.05</v>
      </c>
      <c r="AI8" s="110"/>
      <c r="AJ8" s="111">
        <f t="shared" si="5"/>
        <v>7347.05</v>
      </c>
      <c r="AK8" s="111"/>
      <c r="AL8" s="111">
        <f t="shared" si="6"/>
        <v>7419.64</v>
      </c>
      <c r="AM8" s="111"/>
      <c r="AN8" s="111"/>
      <c r="AO8" s="111"/>
      <c r="AP8" s="111"/>
      <c r="AQ8" s="111"/>
      <c r="AR8" s="119" t="str">
        <f t="shared" si="7"/>
        <v>正确</v>
      </c>
      <c r="AS8" s="119" t="str">
        <f t="shared" si="8"/>
        <v>不</v>
      </c>
      <c r="AT8" s="119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39">
        <v>13973652684</v>
      </c>
      <c r="H9" s="40"/>
      <c r="I9" s="40"/>
      <c r="J9" s="70"/>
      <c r="K9" s="40"/>
      <c r="L9" s="71">
        <v>6500</v>
      </c>
      <c r="M9" s="72">
        <v>315.6</v>
      </c>
      <c r="N9" s="72">
        <v>114.72</v>
      </c>
      <c r="O9" s="72">
        <v>11.84</v>
      </c>
      <c r="P9" s="72">
        <v>100</v>
      </c>
      <c r="Q9" s="91">
        <f t="shared" si="0"/>
        <v>542.16</v>
      </c>
      <c r="R9" s="73">
        <v>0</v>
      </c>
      <c r="S9" s="92">
        <f>L9+IFERROR(VLOOKUP($E:$E,'（居民）工资表-3月'!$E:$S,15,0),0)</f>
        <v>26000</v>
      </c>
      <c r="T9" s="93">
        <f>5000+IFERROR(VLOOKUP($E:$E,'（居民）工资表-3月'!$E:$T,16,0),0)</f>
        <v>20000</v>
      </c>
      <c r="U9" s="93">
        <f>Q9+IFERROR(VLOOKUP($E:$E,'（居民）工资表-3月'!$E:$U,17,0),0)</f>
        <v>2145.01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R9+IFERROR(VLOOKUP($E:$E,'（居民）工资表-3月'!$E:$AC,25,0),0)</f>
        <v>0</v>
      </c>
      <c r="AD9" s="97">
        <f t="shared" si="2"/>
        <v>3854.99</v>
      </c>
      <c r="AE9" s="98">
        <f>ROUND(MAX((AD9)*{0.03;0.1;0.2;0.25;0.3;0.35;0.45}-{0;2520;16920;31920;52920;85920;181920},0),2)</f>
        <v>115.65</v>
      </c>
      <c r="AF9" s="99">
        <f>IFERROR(VLOOKUP(E:E,'（居民）工资表-3月'!E:AF,28,0)+VLOOKUP(E:E,'（居民）工资表-3月'!E:AG,29,0),0)</f>
        <v>86.91</v>
      </c>
      <c r="AG9" s="99">
        <f t="shared" si="3"/>
        <v>28.74</v>
      </c>
      <c r="AH9" s="109">
        <f t="shared" si="4"/>
        <v>5929.1</v>
      </c>
      <c r="AI9" s="110"/>
      <c r="AJ9" s="109">
        <f t="shared" si="5"/>
        <v>5929.1</v>
      </c>
      <c r="AK9" s="111"/>
      <c r="AL9" s="109">
        <f t="shared" si="6"/>
        <v>5957.84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39" t="s">
        <v>165</v>
      </c>
      <c r="H10" s="40"/>
      <c r="I10" s="40"/>
      <c r="J10" s="70"/>
      <c r="K10" s="40"/>
      <c r="L10" s="71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L10+IFERROR(VLOOKUP($E:$E,'（居民）工资表-3月'!$E:$S,15,0),0)</f>
        <v>11000</v>
      </c>
      <c r="T10" s="93">
        <f>5000+IFERROR(VLOOKUP($E:$E,'（居民）工资表-3月'!$E:$T,16,0),0)</f>
        <v>10000</v>
      </c>
      <c r="U10" s="93">
        <f>Q10+IFERROR(VLOOKUP($E:$E,'（居民）工资表-3月'!$E:$U,17,0),0)</f>
        <v>1050.98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R10+IFERROR(VLOOKUP($E:$E,'（居民）工资表-3月'!$E:$AC,25,0),0)</f>
        <v>0</v>
      </c>
      <c r="AD10" s="97">
        <f t="shared" si="2"/>
        <v>-50.98</v>
      </c>
      <c r="AE10" s="98">
        <f>ROUND(MAX((AD10)*{0.03;0.1;0.2;0.25;0.3;0.35;0.45}-{0;2520;16920;31920;52920;85920;181920},0),2)</f>
        <v>0</v>
      </c>
      <c r="AF10" s="99">
        <f>IFERROR(VLOOKUP(E:E,'（居民）工资表-3月'!E:AF,28,0)+VLOOKUP(E:E,'（居民）工资表-3月'!E:AG,29,0),0)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39" t="s">
        <v>170</v>
      </c>
      <c r="H11" s="40"/>
      <c r="I11" s="40"/>
      <c r="J11" s="70"/>
      <c r="K11" s="40"/>
      <c r="L11" s="71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L11+IFERROR(VLOOKUP($E:$E,'（居民）工资表-3月'!$E:$S,15,0),0)</f>
        <v>18249.28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2445.72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R11+IFERROR(VLOOKUP($E:$E,'（居民）工资表-3月'!$E:$AC,25,0),0)</f>
        <v>0</v>
      </c>
      <c r="AD11" s="97">
        <f t="shared" si="2"/>
        <v>-4196.44</v>
      </c>
      <c r="AE11" s="98">
        <f>ROUND(MAX((AD11)*{0.03;0.1;0.2;0.25;0.3;0.35;0.45}-{0;2520;16920;31920;52920;85920;181920},0),2)</f>
        <v>0</v>
      </c>
      <c r="AF11" s="99">
        <f>IFERROR(VLOOKUP(E:E,'（居民）工资表-3月'!E:AF,28,0)+VLOOKUP(E:E,'（居民）工资表-3月'!E:AG,29,0),0)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39">
        <v>18356553626</v>
      </c>
      <c r="H12" s="40"/>
      <c r="I12" s="40"/>
      <c r="J12" s="70"/>
      <c r="K12" s="40"/>
      <c r="L12" s="71">
        <v>7000</v>
      </c>
      <c r="M12" s="72">
        <v>306.56</v>
      </c>
      <c r="N12" s="72">
        <v>112.49</v>
      </c>
      <c r="O12" s="72">
        <v>19.16</v>
      </c>
      <c r="P12" s="72">
        <v>140</v>
      </c>
      <c r="Q12" s="91">
        <f t="shared" si="0"/>
        <v>578.21</v>
      </c>
      <c r="R12" s="73">
        <v>0</v>
      </c>
      <c r="S12" s="92">
        <f>L12+IFERROR(VLOOKUP($E:$E,'（居民）工资表-3月'!$E:$S,15,0),0)</f>
        <v>29918.18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2209.42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R12+IFERROR(VLOOKUP($E:$E,'（居民）工资表-3月'!$E:$AC,25,0),0)</f>
        <v>0</v>
      </c>
      <c r="AD12" s="97">
        <f t="shared" si="2"/>
        <v>7708.76</v>
      </c>
      <c r="AE12" s="98">
        <f>ROUND(MAX((AD12)*{0.03;0.1;0.2;0.25;0.3;0.35;0.45}-{0;2520;16920;31920;52920;85920;181920},0),2)</f>
        <v>231.26</v>
      </c>
      <c r="AF12" s="99">
        <f>IFERROR(VLOOKUP(E:E,'（居民）工资表-3月'!E:AF,28,0)+VLOOKUP(E:E,'（居民）工资表-3月'!E:AG,29,0),0)</f>
        <v>188.61</v>
      </c>
      <c r="AG12" s="99">
        <f t="shared" si="3"/>
        <v>42.65</v>
      </c>
      <c r="AH12" s="109">
        <f t="shared" si="4"/>
        <v>6379.14</v>
      </c>
      <c r="AI12" s="110"/>
      <c r="AJ12" s="109">
        <f t="shared" si="5"/>
        <v>6379.14</v>
      </c>
      <c r="AK12" s="111"/>
      <c r="AL12" s="109">
        <f t="shared" si="6"/>
        <v>6421.79</v>
      </c>
      <c r="AM12" s="111"/>
      <c r="AN12" s="111"/>
      <c r="AO12" s="111"/>
      <c r="AP12" s="111"/>
      <c r="AQ12" s="111"/>
      <c r="AR12" s="118"/>
      <c r="AS12" s="118"/>
      <c r="AT12" s="118"/>
    </row>
    <row r="13" s="12" customFormat="1" ht="18" customHeight="1" spans="1:46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39">
        <v>18326897140</v>
      </c>
      <c r="H13" s="40"/>
      <c r="I13" s="40"/>
      <c r="J13" s="70"/>
      <c r="K13" s="40"/>
      <c r="L13" s="71">
        <v>5500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L13+IFERROR(VLOOKUP($E:$E,'（居民）工资表-3月'!$E:$S,15,0),0)</f>
        <v>24150</v>
      </c>
      <c r="T13" s="93">
        <f>5000+IFERROR(VLOOKUP($E:$E,'（居民）工资表-3月'!$E:$T,16,0),0)</f>
        <v>20000</v>
      </c>
      <c r="U13" s="93">
        <f>Q13+IFERROR(VLOOKUP($E:$E,'（居民）工资表-3月'!$E:$U,17,0),0)</f>
        <v>2704.72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R13+IFERROR(VLOOKUP($E:$E,'（居民）工资表-3月'!$E:$AC,25,0),0)</f>
        <v>0</v>
      </c>
      <c r="AD13" s="97">
        <f t="shared" si="2"/>
        <v>1445.28</v>
      </c>
      <c r="AE13" s="98">
        <f>ROUND(MAX((AD13)*{0.03;0.1;0.2;0.25;0.3;0.35;0.45}-{0;2520;16920;31920;52920;85920;181920},0),2)</f>
        <v>43.36</v>
      </c>
      <c r="AF13" s="99">
        <f>IFERROR(VLOOKUP(E:E,'（居民）工资表-3月'!E:AF,28,0)+VLOOKUP(E:E,'（居民）工资表-3月'!E:AG,29,0),0)</f>
        <v>73.68</v>
      </c>
      <c r="AG13" s="99">
        <f t="shared" si="3"/>
        <v>0</v>
      </c>
      <c r="AH13" s="109">
        <f t="shared" si="4"/>
        <v>4919.64</v>
      </c>
      <c r="AI13" s="110"/>
      <c r="AJ13" s="109">
        <f t="shared" si="5"/>
        <v>4919.64</v>
      </c>
      <c r="AK13" s="111"/>
      <c r="AL13" s="109">
        <f t="shared" si="6"/>
        <v>4919.64</v>
      </c>
      <c r="AM13" s="111"/>
      <c r="AN13" s="111"/>
      <c r="AO13" s="111"/>
      <c r="AP13" s="111"/>
      <c r="AQ13" s="111"/>
      <c r="AR13" s="118"/>
      <c r="AS13" s="118"/>
      <c r="AT13" s="118"/>
    </row>
    <row r="14" s="12" customFormat="1" ht="17" customHeight="1" spans="1:46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39">
        <v>17201857014</v>
      </c>
      <c r="H14" s="40"/>
      <c r="I14" s="40"/>
      <c r="J14" s="70"/>
      <c r="K14" s="40"/>
      <c r="L14" s="71">
        <v>5500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L14+IFERROR(VLOOKUP($E:$E,'（居民）工资表-3月'!$E:$S,15,0),0)</f>
        <v>24858.7</v>
      </c>
      <c r="T14" s="93">
        <f>5000+IFERROR(VLOOKUP($E:$E,'（居民）工资表-3月'!$E:$T,16,0),0)</f>
        <v>20000</v>
      </c>
      <c r="U14" s="93">
        <f>Q14+IFERROR(VLOOKUP($E:$E,'（居民）工资表-3月'!$E:$U,17,0),0)</f>
        <v>2704.72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R14+IFERROR(VLOOKUP($E:$E,'（居民）工资表-3月'!$E:$AC,25,0),0)</f>
        <v>0</v>
      </c>
      <c r="AD14" s="97">
        <f t="shared" si="2"/>
        <v>2153.98</v>
      </c>
      <c r="AE14" s="98">
        <f>ROUND(MAX((AD14)*{0.03;0.1;0.2;0.25;0.3;0.35;0.45}-{0;2520;16920;31920;52920;85920;181920},0),2)</f>
        <v>64.62</v>
      </c>
      <c r="AF14" s="99">
        <f>IFERROR(VLOOKUP(E:E,'（居民）工资表-3月'!E:AF,28,0)+VLOOKUP(E:E,'（居民）工资表-3月'!E:AG,29,0),0)</f>
        <v>91.94</v>
      </c>
      <c r="AG14" s="99">
        <f t="shared" si="3"/>
        <v>0</v>
      </c>
      <c r="AH14" s="109">
        <f t="shared" si="4"/>
        <v>4919.64</v>
      </c>
      <c r="AI14" s="110"/>
      <c r="AJ14" s="109">
        <f t="shared" si="5"/>
        <v>4919.64</v>
      </c>
      <c r="AK14" s="111"/>
      <c r="AL14" s="109">
        <f t="shared" si="6"/>
        <v>4919.64</v>
      </c>
      <c r="AM14" s="111"/>
      <c r="AN14" s="111"/>
      <c r="AO14" s="111"/>
      <c r="AP14" s="111"/>
      <c r="AQ14" s="111"/>
      <c r="AR14" s="118"/>
      <c r="AS14" s="118"/>
      <c r="AT14" s="118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39" t="s">
        <v>181</v>
      </c>
      <c r="H15" s="40"/>
      <c r="I15" s="40"/>
      <c r="J15" s="70"/>
      <c r="K15" s="40"/>
      <c r="L15" s="71">
        <v>7000</v>
      </c>
      <c r="M15" s="72">
        <v>306.56</v>
      </c>
      <c r="N15" s="72">
        <v>112.49</v>
      </c>
      <c r="O15" s="72">
        <v>19.16</v>
      </c>
      <c r="P15" s="72">
        <v>140</v>
      </c>
      <c r="Q15" s="91">
        <f t="shared" si="0"/>
        <v>578.21</v>
      </c>
      <c r="R15" s="73">
        <v>0</v>
      </c>
      <c r="S15" s="92">
        <f>L15+IFERROR(VLOOKUP($E:$E,'（居民）工资表-3月'!$E:$S,15,0),0)</f>
        <v>27109.09</v>
      </c>
      <c r="T15" s="93">
        <f>5000+IFERROR(VLOOKUP($E:$E,'（居民）工资表-3月'!$E:$T,16,0),0)</f>
        <v>20000</v>
      </c>
      <c r="U15" s="93">
        <f>Q15+IFERROR(VLOOKUP($E:$E,'（居民）工资表-3月'!$E:$U,17,0),0)</f>
        <v>2209.42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R15+IFERROR(VLOOKUP($E:$E,'（居民）工资表-3月'!$E:$AC,25,0),0)</f>
        <v>0</v>
      </c>
      <c r="AD15" s="97">
        <f t="shared" si="2"/>
        <v>4899.67</v>
      </c>
      <c r="AE15" s="98">
        <f>ROUND(MAX((AD15)*{0.03;0.1;0.2;0.25;0.3;0.35;0.45}-{0;2520;16920;31920;52920;85920;181920},0),2)</f>
        <v>146.99</v>
      </c>
      <c r="AF15" s="99">
        <f>IFERROR(VLOOKUP(E:E,'（居民）工资表-3月'!E:AF,28,0)+VLOOKUP(E:E,'（居民）工资表-3月'!E:AG,29,0),0)</f>
        <v>104.34</v>
      </c>
      <c r="AG15" s="99">
        <f t="shared" si="3"/>
        <v>42.65</v>
      </c>
      <c r="AH15" s="109">
        <f t="shared" si="4"/>
        <v>6379.14</v>
      </c>
      <c r="AI15" s="110"/>
      <c r="AJ15" s="109">
        <f t="shared" si="5"/>
        <v>6379.14</v>
      </c>
      <c r="AK15" s="111"/>
      <c r="AL15" s="109">
        <f t="shared" si="6"/>
        <v>6421.79</v>
      </c>
      <c r="AM15" s="111"/>
      <c r="AN15" s="111"/>
      <c r="AO15" s="111"/>
      <c r="AP15" s="111"/>
      <c r="AQ15" s="111"/>
      <c r="AR15" s="118"/>
      <c r="AS15" s="118"/>
      <c r="AT15" s="118"/>
    </row>
    <row r="16" s="12" customFormat="1" ht="17" customHeight="1" spans="1:46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39">
        <v>15855788591</v>
      </c>
      <c r="H16" s="40"/>
      <c r="I16" s="40"/>
      <c r="J16" s="70"/>
      <c r="K16" s="40"/>
      <c r="L16" s="71">
        <v>5880</v>
      </c>
      <c r="M16" s="72">
        <v>306.56</v>
      </c>
      <c r="N16" s="72">
        <v>84.64</v>
      </c>
      <c r="O16" s="72">
        <v>19.16</v>
      </c>
      <c r="P16" s="72">
        <v>75</v>
      </c>
      <c r="Q16" s="91">
        <f t="shared" si="0"/>
        <v>485.36</v>
      </c>
      <c r="R16" s="73">
        <v>0</v>
      </c>
      <c r="S16" s="92">
        <f>L16+IFERROR(VLOOKUP($E:$E,'（居民）工资表-3月'!$E:$S,15,0),0)</f>
        <v>22613.74</v>
      </c>
      <c r="T16" s="93">
        <f>5000+IFERROR(VLOOKUP($E:$E,'（居民）工资表-3月'!$E:$T,16,0),0)</f>
        <v>20000</v>
      </c>
      <c r="U16" s="93">
        <f>Q16+IFERROR(VLOOKUP($E:$E,'（居民）工资表-3月'!$E:$U,17,0),0)</f>
        <v>2026.14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R16+IFERROR(VLOOKUP($E:$E,'（居民）工资表-3月'!$E:$AC,25,0),0)</f>
        <v>0</v>
      </c>
      <c r="AD16" s="97">
        <f t="shared" si="2"/>
        <v>587.6</v>
      </c>
      <c r="AE16" s="98">
        <f>ROUND(MAX((AD16)*{0.03;0.1;0.2;0.25;0.3;0.35;0.45}-{0;2520;16920;31920;52920;85920;181920},0),2)</f>
        <v>17.63</v>
      </c>
      <c r="AF16" s="99">
        <f>IFERROR(VLOOKUP(E:E,'（居民）工资表-3月'!E:AF,28,0)+VLOOKUP(E:E,'（居民）工资表-3月'!E:AG,29,0),0)</f>
        <v>47.59</v>
      </c>
      <c r="AG16" s="99">
        <f t="shared" si="3"/>
        <v>0</v>
      </c>
      <c r="AH16" s="109">
        <f t="shared" si="4"/>
        <v>5394.64</v>
      </c>
      <c r="AI16" s="110"/>
      <c r="AJ16" s="109">
        <f t="shared" si="5"/>
        <v>5394.64</v>
      </c>
      <c r="AK16" s="111"/>
      <c r="AL16" s="109">
        <f t="shared" si="6"/>
        <v>5394.64</v>
      </c>
      <c r="AM16" s="111"/>
      <c r="AN16" s="111"/>
      <c r="AO16" s="111"/>
      <c r="AP16" s="111"/>
      <c r="AQ16" s="111"/>
      <c r="AR16" s="118"/>
      <c r="AS16" s="118"/>
      <c r="AT16" s="118"/>
    </row>
    <row r="17" s="12" customFormat="1" ht="17" customHeight="1" spans="1:46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39">
        <v>13873717760</v>
      </c>
      <c r="H17" s="40"/>
      <c r="I17" s="40"/>
      <c r="J17" s="70"/>
      <c r="K17" s="40"/>
      <c r="L17" s="71">
        <v>5585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L17+IFERROR(VLOOKUP($E:$E,'（居民）工资表-3月'!$E:$S,15,0),0)</f>
        <v>10845</v>
      </c>
      <c r="T17" s="93">
        <f>5000+IFERROR(VLOOKUP($E:$E,'（居民）工资表-3月'!$E:$T,16,0),0)</f>
        <v>10000</v>
      </c>
      <c r="U17" s="93">
        <f>Q17+IFERROR(VLOOKUP($E:$E,'（居民）工资表-3月'!$E:$U,17,0),0)</f>
        <v>1384.43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R17+IFERROR(VLOOKUP($E:$E,'（居民）工资表-3月'!$E:$AC,25,0),0)</f>
        <v>0</v>
      </c>
      <c r="AD17" s="97">
        <f t="shared" si="2"/>
        <v>-539.43</v>
      </c>
      <c r="AE17" s="98">
        <f>ROUND(MAX((AD17)*{0.03;0.1;0.2;0.25;0.3;0.35;0.45}-{0;2520;16920;31920;52920;85920;181920},0),2)</f>
        <v>0</v>
      </c>
      <c r="AF17" s="99">
        <f>IFERROR(VLOOKUP(E:E,'（居民）工资表-3月'!E:AF,28,0)+VLOOKUP(E:E,'（居民）工资表-3月'!E:AG,29,0),0)</f>
        <v>0</v>
      </c>
      <c r="AG17" s="99">
        <f t="shared" si="3"/>
        <v>0</v>
      </c>
      <c r="AH17" s="109">
        <f t="shared" si="4"/>
        <v>4995.84</v>
      </c>
      <c r="AI17" s="110"/>
      <c r="AJ17" s="109">
        <f t="shared" si="5"/>
        <v>4995.84</v>
      </c>
      <c r="AK17" s="111"/>
      <c r="AL17" s="109">
        <f t="shared" si="6"/>
        <v>4995.84</v>
      </c>
      <c r="AM17" s="111"/>
      <c r="AN17" s="111"/>
      <c r="AO17" s="111"/>
      <c r="AP17" s="111"/>
      <c r="AQ17" s="111"/>
      <c r="AR17" s="118"/>
      <c r="AS17" s="118"/>
      <c r="AT17" s="118"/>
    </row>
    <row r="18" s="12" customFormat="1" ht="17" customHeight="1" spans="1:46">
      <c r="A18" s="36">
        <v>15</v>
      </c>
      <c r="B18" s="37" t="s">
        <v>142</v>
      </c>
      <c r="C18" s="37" t="s">
        <v>225</v>
      </c>
      <c r="D18" s="37" t="s">
        <v>143</v>
      </c>
      <c r="E18" s="327" t="s">
        <v>226</v>
      </c>
      <c r="F18" s="38" t="s">
        <v>148</v>
      </c>
      <c r="G18" s="39">
        <v>13979183143</v>
      </c>
      <c r="H18" s="40"/>
      <c r="I18" s="40"/>
      <c r="J18" s="70"/>
      <c r="K18" s="40"/>
      <c r="L18" s="71">
        <v>6000</v>
      </c>
      <c r="M18" s="72">
        <v>-282.24</v>
      </c>
      <c r="N18" s="72">
        <v>-92.81</v>
      </c>
      <c r="O18" s="72">
        <v>-17.64</v>
      </c>
      <c r="P18" s="72">
        <v>-142</v>
      </c>
      <c r="Q18" s="91">
        <f t="shared" si="0"/>
        <v>-534.69</v>
      </c>
      <c r="R18" s="73">
        <v>0</v>
      </c>
      <c r="S18" s="92">
        <f>L18+IFERROR(VLOOKUP($E:$E,'（居民）工资表-3月'!$E:$S,15,0),0)</f>
        <v>15545.45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0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R18+IFERROR(VLOOKUP($E:$E,'（居民）工资表-3月'!$E:$AC,25,0),0)</f>
        <v>0</v>
      </c>
      <c r="AD18" s="97">
        <f t="shared" si="2"/>
        <v>5545.45</v>
      </c>
      <c r="AE18" s="98">
        <f>ROUND(MAX((AD18)*{0.03;0.1;0.2;0.25;0.3;0.35;0.45}-{0;2520;16920;31920;52920;85920;181920},0),2)</f>
        <v>166.36</v>
      </c>
      <c r="AF18" s="99">
        <f>IFERROR(VLOOKUP(E:E,'（居民）工资表-3月'!E:AF,28,0)+VLOOKUP(E:E,'（居民）工资表-3月'!E:AG,29,0),0)</f>
        <v>120.32</v>
      </c>
      <c r="AG18" s="99">
        <f t="shared" si="3"/>
        <v>46.04</v>
      </c>
      <c r="AH18" s="109">
        <f t="shared" si="4"/>
        <v>6488.65</v>
      </c>
      <c r="AI18" s="110"/>
      <c r="AJ18" s="109">
        <f t="shared" si="5"/>
        <v>6488.65</v>
      </c>
      <c r="AK18" s="111"/>
      <c r="AL18" s="109">
        <f t="shared" si="6"/>
        <v>6534.69</v>
      </c>
      <c r="AM18" s="111"/>
      <c r="AN18" s="111"/>
      <c r="AO18" s="111"/>
      <c r="AP18" s="111"/>
      <c r="AQ18" s="111"/>
      <c r="AR18" s="118"/>
      <c r="AS18" s="118"/>
      <c r="AT18" s="118"/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192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117823.8</v>
      </c>
      <c r="M20" s="76">
        <f t="shared" ref="M20:AL20" si="10">SUM(M4:M19)</f>
        <v>4348.34</v>
      </c>
      <c r="N20" s="76">
        <f t="shared" si="10"/>
        <v>1265.45</v>
      </c>
      <c r="O20" s="76">
        <f t="shared" si="10"/>
        <v>230.26</v>
      </c>
      <c r="P20" s="76">
        <f t="shared" si="10"/>
        <v>2052.3</v>
      </c>
      <c r="Q20" s="76">
        <f t="shared" si="10"/>
        <v>7896.35</v>
      </c>
      <c r="R20" s="76">
        <f t="shared" si="10"/>
        <v>0</v>
      </c>
      <c r="S20" s="76">
        <f t="shared" si="10"/>
        <v>452329.44</v>
      </c>
      <c r="T20" s="76">
        <f t="shared" si="10"/>
        <v>270000</v>
      </c>
      <c r="U20" s="76">
        <f t="shared" si="10"/>
        <v>32447.42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149882.02</v>
      </c>
      <c r="AE20" s="76">
        <f t="shared" si="10"/>
        <v>8882.85</v>
      </c>
      <c r="AF20" s="76">
        <f t="shared" si="10"/>
        <v>6205.34</v>
      </c>
      <c r="AG20" s="76">
        <f t="shared" si="10"/>
        <v>2765.11</v>
      </c>
      <c r="AH20" s="76">
        <f t="shared" si="10"/>
        <v>107162.34</v>
      </c>
      <c r="AI20" s="76">
        <f t="shared" si="10"/>
        <v>0</v>
      </c>
      <c r="AJ20" s="76">
        <f t="shared" si="10"/>
        <v>107162.34</v>
      </c>
      <c r="AK20" s="76">
        <f t="shared" si="10"/>
        <v>0</v>
      </c>
      <c r="AL20" s="76">
        <f t="shared" si="10"/>
        <v>109927.45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3">
      <c r="B24" s="48" t="s">
        <v>131</v>
      </c>
      <c r="C24" s="48" t="s">
        <v>193</v>
      </c>
      <c r="D24" s="48" t="s">
        <v>22</v>
      </c>
      <c r="E24" s="48" t="s">
        <v>23</v>
      </c>
      <c r="AD24" s="10"/>
      <c r="AG24" s="113"/>
    </row>
    <row r="25" ht="18.75" customHeight="1" spans="2:5">
      <c r="B25" s="49">
        <f>AJ20</f>
        <v>107162.34</v>
      </c>
      <c r="C25" s="49">
        <f>AG20</f>
        <v>2765.11</v>
      </c>
      <c r="D25" s="49">
        <f>AK20</f>
        <v>0</v>
      </c>
      <c r="E25" s="49">
        <f>B25+C25+D25</f>
        <v>109927.45</v>
      </c>
    </row>
    <row r="26" spans="2:5">
      <c r="B26" s="50"/>
      <c r="C26" s="50"/>
      <c r="D26" s="50"/>
      <c r="E26" s="51"/>
    </row>
    <row r="27" s="14" customFormat="1" spans="1:35">
      <c r="A27" s="52" t="s">
        <v>194</v>
      </c>
      <c r="B27" s="53" t="s">
        <v>195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196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197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198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199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200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201</v>
      </c>
    </row>
    <row r="35" spans="2:2">
      <c r="B35" s="60" t="s">
        <v>202</v>
      </c>
    </row>
    <row r="36" spans="2:2">
      <c r="B36" s="60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228</v>
      </c>
      <c r="C1" s="1"/>
      <c r="D1" s="1"/>
      <c r="E1" s="1"/>
    </row>
    <row r="2" ht="21" spans="2:2">
      <c r="B2" s="2"/>
    </row>
    <row r="3" ht="27.75" customHeight="1" spans="2:5">
      <c r="B3" s="3" t="s">
        <v>229</v>
      </c>
      <c r="C3" s="4" t="s">
        <v>230</v>
      </c>
      <c r="D3" s="4" t="s">
        <v>231</v>
      </c>
      <c r="E3" s="4" t="s">
        <v>232</v>
      </c>
    </row>
    <row r="4" ht="29.25" customHeight="1" spans="2:5">
      <c r="B4" s="5">
        <v>1</v>
      </c>
      <c r="C4" s="6" t="s">
        <v>233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234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235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236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237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238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239</v>
      </c>
      <c r="D10" s="7">
        <v>0.45</v>
      </c>
      <c r="E10" s="8">
        <v>181920</v>
      </c>
    </row>
    <row r="13" ht="57" customHeight="1" spans="2:5">
      <c r="B13" s="1" t="s">
        <v>240</v>
      </c>
      <c r="C13" s="1"/>
      <c r="D13" s="1"/>
      <c r="E13" s="1"/>
    </row>
    <row r="14" ht="21" spans="2:2">
      <c r="B14" s="2"/>
    </row>
    <row r="15" ht="27.75" customHeight="1" spans="2:5">
      <c r="B15" s="3" t="s">
        <v>229</v>
      </c>
      <c r="C15" s="4" t="s">
        <v>241</v>
      </c>
      <c r="D15" s="4" t="s">
        <v>231</v>
      </c>
      <c r="E15" s="4" t="s">
        <v>232</v>
      </c>
    </row>
    <row r="16" ht="29.25" customHeight="1" spans="2:5">
      <c r="B16" s="5">
        <v>1</v>
      </c>
      <c r="C16" s="6" t="s">
        <v>242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243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244</v>
      </c>
      <c r="D18" s="7">
        <v>0.4</v>
      </c>
      <c r="E18" s="8">
        <v>7000</v>
      </c>
    </row>
    <row r="21" ht="47.25" customHeight="1" spans="2:5">
      <c r="B21" s="1" t="s">
        <v>245</v>
      </c>
      <c r="C21" s="1"/>
      <c r="D21" s="1"/>
      <c r="E21" s="1"/>
    </row>
    <row r="22" ht="21" spans="2:2">
      <c r="B22" s="2"/>
    </row>
    <row r="23" ht="27.75" customHeight="1" spans="2:5">
      <c r="B23" s="3" t="s">
        <v>229</v>
      </c>
      <c r="C23" s="4" t="s">
        <v>246</v>
      </c>
      <c r="D23" s="4" t="s">
        <v>231</v>
      </c>
      <c r="E23" s="4" t="s">
        <v>232</v>
      </c>
    </row>
    <row r="24" ht="29.25" customHeight="1" spans="2:5">
      <c r="B24" s="5">
        <v>1</v>
      </c>
      <c r="C24" s="6" t="s">
        <v>247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248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249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250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251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252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253</v>
      </c>
      <c r="D30" s="7">
        <v>0.45</v>
      </c>
      <c r="E30" s="8">
        <v>15160</v>
      </c>
    </row>
    <row r="35" ht="57" customHeight="1" spans="2:5">
      <c r="B35" s="9" t="s">
        <v>254</v>
      </c>
      <c r="C35" s="9"/>
      <c r="D35" s="9"/>
      <c r="E35" s="9"/>
    </row>
    <row r="36" ht="14.25"/>
    <row r="37" ht="21.75" customHeight="1" spans="2:5">
      <c r="B37" s="3" t="s">
        <v>229</v>
      </c>
      <c r="C37" s="4" t="s">
        <v>255</v>
      </c>
      <c r="D37" s="4" t="s">
        <v>256</v>
      </c>
      <c r="E37" s="4" t="s">
        <v>232</v>
      </c>
    </row>
    <row r="38" ht="21.75" customHeight="1" spans="2:5">
      <c r="B38" s="5">
        <v>1</v>
      </c>
      <c r="C38" s="6" t="s">
        <v>247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248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249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250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251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252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253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workbookViewId="0">
      <selection activeCell="G17" sqref="G17"/>
    </sheetView>
  </sheetViews>
  <sheetFormatPr defaultColWidth="9" defaultRowHeight="13.5"/>
  <cols>
    <col min="1" max="2" width="9" style="131"/>
    <col min="3" max="3" width="10.725" style="131" customWidth="1"/>
    <col min="4" max="4" width="16.725" style="131" customWidth="1"/>
    <col min="5" max="5" width="11.725" style="131" customWidth="1"/>
    <col min="6" max="6" width="9" style="131"/>
    <col min="7" max="7" width="10.725" style="131" customWidth="1"/>
    <col min="8" max="12" width="9" style="131"/>
    <col min="13" max="13" width="9.45" style="131" customWidth="1"/>
    <col min="14" max="14" width="16.45" style="131" customWidth="1"/>
    <col min="15" max="16384" width="9" style="131"/>
  </cols>
  <sheetData>
    <row r="1" ht="25.5" spans="1:14">
      <c r="A1" s="132" t="s">
        <v>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14.25" spans="1:14">
      <c r="A2" s="133"/>
      <c r="B2" s="134"/>
      <c r="C2" s="134"/>
      <c r="D2" s="135"/>
      <c r="E2" s="135"/>
      <c r="F2" s="135"/>
      <c r="G2" s="133"/>
      <c r="H2" s="133"/>
      <c r="I2" s="133"/>
      <c r="J2" s="135"/>
      <c r="K2" s="135"/>
      <c r="L2" s="135"/>
      <c r="M2" s="135"/>
      <c r="N2" s="135"/>
    </row>
    <row r="3" spans="1:14">
      <c r="A3" s="136"/>
      <c r="B3" s="137"/>
      <c r="C3" s="138"/>
      <c r="D3" s="139"/>
      <c r="E3" s="140"/>
      <c r="F3" s="140"/>
      <c r="G3" s="141"/>
      <c r="H3" s="142"/>
      <c r="I3" s="137"/>
      <c r="J3" s="138"/>
      <c r="K3" s="139"/>
      <c r="L3" s="210"/>
      <c r="M3" s="135"/>
      <c r="N3" s="135"/>
    </row>
    <row r="4" spans="1:14">
      <c r="A4" s="136"/>
      <c r="B4" s="143" t="s">
        <v>68</v>
      </c>
      <c r="C4" s="143"/>
      <c r="D4" s="143"/>
      <c r="E4" s="143"/>
      <c r="F4" s="144"/>
      <c r="G4" s="143"/>
      <c r="H4" s="142"/>
      <c r="K4" s="135"/>
      <c r="L4" s="211"/>
      <c r="M4" s="212"/>
      <c r="N4" s="135"/>
    </row>
    <row r="5" spans="1:14">
      <c r="A5" s="145"/>
      <c r="B5" s="146" t="s">
        <v>69</v>
      </c>
      <c r="C5" s="139"/>
      <c r="D5" s="139"/>
      <c r="E5" s="139"/>
      <c r="F5" s="139"/>
      <c r="G5" s="139"/>
      <c r="H5" s="147"/>
      <c r="I5" s="142"/>
      <c r="J5" s="137"/>
      <c r="K5" s="138"/>
      <c r="L5" s="210"/>
      <c r="M5" s="135"/>
      <c r="N5" s="135"/>
    </row>
    <row r="6" ht="9.75" customHeight="1" spans="1:14">
      <c r="A6" s="148"/>
      <c r="B6" s="148"/>
      <c r="C6" s="148"/>
      <c r="D6" s="148"/>
      <c r="E6" s="148"/>
      <c r="F6" s="148"/>
      <c r="G6" s="148"/>
      <c r="H6" s="148"/>
      <c r="I6" s="213"/>
      <c r="J6" s="213"/>
      <c r="K6" s="214"/>
      <c r="L6" s="214"/>
      <c r="M6" s="214"/>
      <c r="N6" s="214"/>
    </row>
    <row r="7" ht="17.25" spans="1:14">
      <c r="A7" s="148"/>
      <c r="B7" s="149" t="s">
        <v>70</v>
      </c>
      <c r="C7" s="150"/>
      <c r="D7" s="150"/>
      <c r="E7" s="150"/>
      <c r="F7" s="150"/>
      <c r="G7" s="150"/>
      <c r="H7" s="150"/>
      <c r="I7" s="215" t="s">
        <v>71</v>
      </c>
      <c r="J7" s="215"/>
      <c r="K7" s="216" t="s">
        <v>47</v>
      </c>
      <c r="L7" s="216"/>
      <c r="M7" s="216"/>
      <c r="N7" s="217"/>
    </row>
    <row r="8" ht="17.25" spans="1:14">
      <c r="A8" s="148"/>
      <c r="B8" s="151" t="s">
        <v>72</v>
      </c>
      <c r="C8" s="152"/>
      <c r="D8" s="152"/>
      <c r="E8" s="153">
        <f>D10</f>
        <v>113621.33</v>
      </c>
      <c r="F8" s="154"/>
      <c r="G8" s="154"/>
      <c r="H8" s="155"/>
      <c r="I8" s="218" t="s">
        <v>73</v>
      </c>
      <c r="J8" s="219" t="s">
        <v>74</v>
      </c>
      <c r="K8" s="220" t="s">
        <v>75</v>
      </c>
      <c r="L8" s="220"/>
      <c r="M8" s="220"/>
      <c r="N8" s="221"/>
    </row>
    <row r="9" ht="15.75" spans="1:14">
      <c r="A9" s="148"/>
      <c r="B9" s="156" t="s">
        <v>76</v>
      </c>
      <c r="C9" s="157"/>
      <c r="D9" s="157"/>
      <c r="E9" s="158">
        <f>G24</f>
        <v>113621.33</v>
      </c>
      <c r="F9" s="159"/>
      <c r="G9" s="159"/>
      <c r="H9" s="160"/>
      <c r="I9" s="220" t="s">
        <v>73</v>
      </c>
      <c r="J9" s="222" t="s">
        <v>77</v>
      </c>
      <c r="K9" s="223" t="s">
        <v>78</v>
      </c>
      <c r="L9" s="223"/>
      <c r="M9" s="223"/>
      <c r="N9" s="224"/>
    </row>
    <row r="10" ht="30.75" spans="1:14">
      <c r="A10" s="148"/>
      <c r="B10" s="161" t="s">
        <v>79</v>
      </c>
      <c r="C10" s="162"/>
      <c r="D10" s="163">
        <f>G24</f>
        <v>113621.33</v>
      </c>
      <c r="E10" s="164" t="s">
        <v>80</v>
      </c>
      <c r="F10" s="165"/>
      <c r="G10" s="166"/>
      <c r="H10" s="167">
        <v>0</v>
      </c>
      <c r="I10" s="225" t="s">
        <v>73</v>
      </c>
      <c r="J10" s="226" t="s">
        <v>81</v>
      </c>
      <c r="K10" s="227" t="s">
        <v>82</v>
      </c>
      <c r="L10" s="227"/>
      <c r="M10" s="227"/>
      <c r="N10" s="228"/>
    </row>
    <row r="11" ht="14.25" spans="1:14">
      <c r="A11" s="148"/>
      <c r="B11" s="168" t="s">
        <v>83</v>
      </c>
      <c r="C11" s="169"/>
      <c r="D11" s="170"/>
      <c r="E11" s="171" t="s">
        <v>84</v>
      </c>
      <c r="F11" s="172"/>
      <c r="G11" s="173"/>
      <c r="H11" s="174"/>
      <c r="I11" s="229"/>
      <c r="J11" s="230"/>
      <c r="K11" s="229"/>
      <c r="L11" s="229"/>
      <c r="M11" s="229"/>
      <c r="N11" s="231"/>
    </row>
    <row r="12" spans="1:14">
      <c r="A12" s="145"/>
      <c r="B12" s="168" t="s">
        <v>85</v>
      </c>
      <c r="C12" s="169"/>
      <c r="D12" s="170">
        <v>0</v>
      </c>
      <c r="E12" s="171" t="s">
        <v>86</v>
      </c>
      <c r="F12" s="172"/>
      <c r="G12" s="173"/>
      <c r="H12" s="174"/>
      <c r="I12" s="232"/>
      <c r="J12" s="233"/>
      <c r="K12" s="234"/>
      <c r="L12" s="234"/>
      <c r="M12" s="234"/>
      <c r="N12" s="234"/>
    </row>
    <row r="13" ht="14.25" spans="1:14">
      <c r="A13" s="135"/>
      <c r="B13" s="175" t="s">
        <v>87</v>
      </c>
      <c r="C13" s="176"/>
      <c r="D13" s="177">
        <v>0</v>
      </c>
      <c r="E13" s="178"/>
      <c r="F13" s="179"/>
      <c r="G13" s="180"/>
      <c r="H13" s="181"/>
      <c r="I13" s="148"/>
      <c r="J13" s="235"/>
      <c r="K13" s="236"/>
      <c r="L13" s="236"/>
      <c r="M13" s="236"/>
      <c r="N13" s="236"/>
    </row>
    <row r="14" ht="5.25" customHeight="1" spans="1:14">
      <c r="A14" s="182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14">
      <c r="A15" s="135" t="s">
        <v>88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ht="3" customHeight="1" spans="1:14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ht="18.75" spans="2:13">
      <c r="B17" s="183" t="s">
        <v>0</v>
      </c>
      <c r="C17" s="184" t="s">
        <v>89</v>
      </c>
      <c r="D17" s="184" t="s">
        <v>90</v>
      </c>
      <c r="E17" s="184"/>
      <c r="F17" s="185" t="s">
        <v>91</v>
      </c>
      <c r="G17" s="186" t="s">
        <v>31</v>
      </c>
      <c r="H17" s="187" t="s">
        <v>24</v>
      </c>
      <c r="J17" s="237" t="s">
        <v>92</v>
      </c>
      <c r="K17" s="237"/>
      <c r="L17" s="237"/>
      <c r="M17" s="237"/>
    </row>
    <row r="18" ht="16.5" spans="2:13">
      <c r="B18" s="188">
        <v>1</v>
      </c>
      <c r="C18" s="189" t="s">
        <v>93</v>
      </c>
      <c r="D18" s="190" t="s">
        <v>94</v>
      </c>
      <c r="E18" s="190"/>
      <c r="F18" s="191"/>
      <c r="G18" s="192">
        <f>'（居民）工资表-2月'!E24</f>
        <v>113621.33</v>
      </c>
      <c r="H18" s="193"/>
      <c r="J18" s="237"/>
      <c r="K18" s="237"/>
      <c r="L18" s="237"/>
      <c r="M18" s="237"/>
    </row>
    <row r="19" ht="16.5" spans="2:13">
      <c r="B19" s="188">
        <v>2</v>
      </c>
      <c r="C19" s="189"/>
      <c r="D19" s="194" t="s">
        <v>95</v>
      </c>
      <c r="E19" s="195" t="s">
        <v>96</v>
      </c>
      <c r="F19" s="191"/>
      <c r="G19" s="192"/>
      <c r="H19" s="196"/>
      <c r="J19" s="237"/>
      <c r="K19" s="237"/>
      <c r="L19" s="237"/>
      <c r="M19" s="237"/>
    </row>
    <row r="20" ht="16.5" spans="2:13">
      <c r="B20" s="188">
        <v>3</v>
      </c>
      <c r="C20" s="189"/>
      <c r="D20" s="194" t="s">
        <v>97</v>
      </c>
      <c r="E20" s="195" t="s">
        <v>96</v>
      </c>
      <c r="F20" s="191"/>
      <c r="G20" s="192"/>
      <c r="H20" s="196"/>
      <c r="J20" s="237"/>
      <c r="K20" s="237"/>
      <c r="L20" s="237"/>
      <c r="M20" s="237"/>
    </row>
    <row r="21" ht="16.5" spans="2:13">
      <c r="B21" s="188">
        <v>4</v>
      </c>
      <c r="C21" s="189"/>
      <c r="D21" s="197" t="s">
        <v>38</v>
      </c>
      <c r="E21" s="197"/>
      <c r="F21" s="191"/>
      <c r="G21" s="198">
        <f>G18+G19+G20</f>
        <v>113621.33</v>
      </c>
      <c r="H21" s="199"/>
      <c r="J21" s="237"/>
      <c r="K21" s="237"/>
      <c r="L21" s="237"/>
      <c r="M21" s="237"/>
    </row>
    <row r="22" ht="16.5" spans="2:13">
      <c r="B22" s="188">
        <v>5</v>
      </c>
      <c r="C22" s="189" t="s">
        <v>98</v>
      </c>
      <c r="D22" s="197" t="s">
        <v>99</v>
      </c>
      <c r="E22" s="197"/>
      <c r="F22" s="191"/>
      <c r="G22" s="198"/>
      <c r="H22" s="193"/>
      <c r="J22" s="237"/>
      <c r="K22" s="237"/>
      <c r="L22" s="237"/>
      <c r="M22" s="237"/>
    </row>
    <row r="23" ht="18" customHeight="1" spans="2:13">
      <c r="B23" s="188">
        <v>6</v>
      </c>
      <c r="C23" s="200" t="s">
        <v>100</v>
      </c>
      <c r="D23" s="201">
        <v>0.056</v>
      </c>
      <c r="E23" s="201"/>
      <c r="F23" s="201"/>
      <c r="G23" s="198"/>
      <c r="H23" s="193"/>
      <c r="J23" s="237"/>
      <c r="K23" s="237"/>
      <c r="L23" s="237"/>
      <c r="M23" s="237"/>
    </row>
    <row r="24" ht="16.5" spans="2:8">
      <c r="B24" s="202" t="s">
        <v>101</v>
      </c>
      <c r="C24" s="203"/>
      <c r="D24" s="203"/>
      <c r="E24" s="203"/>
      <c r="F24" s="203"/>
      <c r="G24" s="204">
        <f>G21+G22</f>
        <v>113621.33</v>
      </c>
      <c r="H24" s="205"/>
    </row>
    <row r="25" ht="16" customHeight="1" spans="2:8">
      <c r="B25" s="206" t="s">
        <v>102</v>
      </c>
      <c r="C25" s="207"/>
      <c r="D25" s="207"/>
      <c r="E25" s="207"/>
      <c r="F25" s="207"/>
      <c r="G25" s="208">
        <f>G24</f>
        <v>113621.33</v>
      </c>
      <c r="H25" s="209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11" sqref="M11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>ROUND(SUM(M4:P4),2)</f>
        <v>560.99</v>
      </c>
      <c r="R4" s="73">
        <v>0</v>
      </c>
      <c r="S4" s="92">
        <f>L4+IFERROR(VLOOKUP($E:$E,'（居民）工资表-6月'!$E:$S,15,0),0)</f>
        <v>56000</v>
      </c>
      <c r="T4" s="93">
        <f>5000+IFERROR(VLOOKUP($E:$E,'（居民）工资表-6月'!$E:$T,16,0),0)</f>
        <v>35000</v>
      </c>
      <c r="U4" s="93">
        <f>Q4+IFERROR(VLOOKUP($E:$E,'（居民）工资表-6月'!$E:$U,17,0),0)</f>
        <v>4365.35</v>
      </c>
      <c r="V4" s="73">
        <v>7000</v>
      </c>
      <c r="W4" s="73"/>
      <c r="X4" s="73">
        <v>7000</v>
      </c>
      <c r="Y4" s="73"/>
      <c r="Z4" s="73">
        <v>2800</v>
      </c>
      <c r="AA4" s="73"/>
      <c r="AB4" s="92">
        <f>ROUND(SUM(V4:AA4),2)</f>
        <v>16800</v>
      </c>
      <c r="AC4" s="92">
        <f>R4+IFERROR(VLOOKUP($E:$E,'（居民）工资表-6月'!$E:$AC,25,0),0)</f>
        <v>0</v>
      </c>
      <c r="AD4" s="97">
        <f>ROUND(S4-T4-U4-AB4-AC4,2)</f>
        <v>-165.35</v>
      </c>
      <c r="AE4" s="98">
        <f>ROUND(MAX((AD4)*{0.03;0.1;0.2;0.25;0.3;0.35;0.45}-{0;2520;16920;31920;52920;85920;181920},0),2)</f>
        <v>0</v>
      </c>
      <c r="AF4" s="99">
        <f>IFERROR(VLOOKUP(E:E,'（居民）工资表-6月'!E:AF,28,0)+VLOOKUP(E:E,'（居民）工资表-6月'!E:AG,29,0),0)</f>
        <v>425.87</v>
      </c>
      <c r="AG4" s="99">
        <f>IF((AE4-AF4)&lt;0,0,AE4-AF4)</f>
        <v>0</v>
      </c>
      <c r="AH4" s="109">
        <f>ROUND(IF((L4-Q4-AG4)&lt;0,0,(L4-Q4-AG4)),2)</f>
        <v>7439.01</v>
      </c>
      <c r="AI4" s="110"/>
      <c r="AJ4" s="109">
        <f>AH4+AI4</f>
        <v>7439.01</v>
      </c>
      <c r="AK4" s="111"/>
      <c r="AL4" s="109">
        <f>AJ4+AG4+AK4</f>
        <v>7439.01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>ROUND(SUM(M5:P5),2)</f>
        <v>600.12</v>
      </c>
      <c r="R5" s="73">
        <v>0</v>
      </c>
      <c r="S5" s="92">
        <f>L5+IFERROR(VLOOKUP($E:$E,'（居民）工资表-6月'!$E:$S,15,0),0)</f>
        <v>39900</v>
      </c>
      <c r="T5" s="93">
        <f>5000+IFERROR(VLOOKUP($E:$E,'（居民）工资表-6月'!$E:$T,16,0),0)</f>
        <v>35000</v>
      </c>
      <c r="U5" s="93">
        <f>Q5+IFERROR(VLOOKUP($E:$E,'（居民）工资表-6月'!$E:$U,17,0),0)</f>
        <v>4325.08</v>
      </c>
      <c r="V5" s="73"/>
      <c r="W5" s="73"/>
      <c r="X5" s="73">
        <v>7000</v>
      </c>
      <c r="Y5" s="73"/>
      <c r="Z5" s="73"/>
      <c r="AA5" s="73"/>
      <c r="AB5" s="92">
        <f>ROUND(SUM(V5:AA5),2)</f>
        <v>7000</v>
      </c>
      <c r="AC5" s="92">
        <f>R5+IFERROR(VLOOKUP($E:$E,'（居民）工资表-6月'!$E:$AC,25,0),0)</f>
        <v>0</v>
      </c>
      <c r="AD5" s="97">
        <f>ROUND(S5-T5-U5-AB5-AC5,2)</f>
        <v>-6425.08</v>
      </c>
      <c r="AE5" s="98">
        <f>ROUND(MAX((AD5)*{0.03;0.1;0.2;0.25;0.3;0.35;0.45}-{0;2520;16920;31920;52920;85920;181920},0),2)</f>
        <v>0</v>
      </c>
      <c r="AF5" s="99">
        <f>IFERROR(VLOOKUP(E:E,'（居民）工资表-6月'!E:AF,28,0)+VLOOKUP(E:E,'（居民）工资表-6月'!E:AG,29,0),0)</f>
        <v>14.25</v>
      </c>
      <c r="AG5" s="99">
        <f>IF((AE5-AF5)&lt;0,0,AE5-AF5)</f>
        <v>0</v>
      </c>
      <c r="AH5" s="109">
        <f>ROUND(IF((L5-Q5-AG5)&lt;0,0,(L5-Q5-AG5)),2)</f>
        <v>5099.88</v>
      </c>
      <c r="AI5" s="110"/>
      <c r="AJ5" s="109">
        <f>AH5+AI5</f>
        <v>5099.88</v>
      </c>
      <c r="AK5" s="111"/>
      <c r="AL5" s="109">
        <f>AJ5+AG5+AK5</f>
        <v>5099.88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30560</v>
      </c>
      <c r="M6" s="72">
        <v>584.8</v>
      </c>
      <c r="N6" s="72">
        <v>146.2</v>
      </c>
      <c r="O6" s="72">
        <v>36.55</v>
      </c>
      <c r="P6" s="72">
        <v>181.3</v>
      </c>
      <c r="Q6" s="91">
        <f>ROUND(SUM(M6:P6),2)</f>
        <v>948.85</v>
      </c>
      <c r="R6" s="73">
        <v>0</v>
      </c>
      <c r="S6" s="92">
        <f>L6+IFERROR(VLOOKUP($E:$E,'（居民）工资表-6月'!$E:$S,15,0),0)</f>
        <v>210920</v>
      </c>
      <c r="T6" s="93">
        <f>5000+IFERROR(VLOOKUP($E:$E,'（居民）工资表-6月'!$E:$T,16,0),0)</f>
        <v>35000</v>
      </c>
      <c r="U6" s="93">
        <f>Q6+IFERROR(VLOOKUP($E:$E,'（居民）工资表-6月'!$E:$U,17,0),0)</f>
        <v>6309.55</v>
      </c>
      <c r="V6" s="73"/>
      <c r="W6" s="73"/>
      <c r="X6" s="73"/>
      <c r="Y6" s="73">
        <v>10500</v>
      </c>
      <c r="Z6" s="73"/>
      <c r="AA6" s="73"/>
      <c r="AB6" s="92">
        <f>ROUND(SUM(V6:AA6),2)</f>
        <v>10500</v>
      </c>
      <c r="AC6" s="92">
        <f>R6+IFERROR(VLOOKUP($E:$E,'（居民）工资表-6月'!$E:$AC,25,0),0)</f>
        <v>0</v>
      </c>
      <c r="AD6" s="97">
        <f>ROUND(S6-T6-U6-AB6-AC6,2)</f>
        <v>159110.45</v>
      </c>
      <c r="AE6" s="98">
        <f>ROUND(MAX((AD6)*{0.03;0.1;0.2;0.25;0.3;0.35;0.45}-{0;2520;16920;31920;52920;85920;181920},0),2)</f>
        <v>14902.09</v>
      </c>
      <c r="AF6" s="99">
        <f>IFERROR(VLOOKUP(E:E,'（居民）工资表-6月'!E:AF,28,0)+VLOOKUP(E:E,'（居民）工资表-6月'!E:AG,29,0),0)</f>
        <v>12079.86</v>
      </c>
      <c r="AG6" s="99">
        <f>IF((AE6-AF6)&lt;0,0,AE6-AF6)</f>
        <v>2822.23</v>
      </c>
      <c r="AH6" s="109">
        <f>ROUND(IF((L6-Q6-AG6)&lt;0,0,(L6-Q6-AG6)),2)</f>
        <v>26788.92</v>
      </c>
      <c r="AI6" s="110"/>
      <c r="AJ6" s="109">
        <f>AH6+AI6</f>
        <v>26788.92</v>
      </c>
      <c r="AK6" s="111"/>
      <c r="AL6" s="109">
        <f>AJ6+AG6+AK6</f>
        <v>29611.15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9100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ref="Q7:Q19" si="0">ROUND(SUM(M7:P7),2)</f>
        <v>507.36</v>
      </c>
      <c r="R7" s="73">
        <v>0</v>
      </c>
      <c r="S7" s="92">
        <f>L7+IFERROR(VLOOKUP($E:$E,'（居民）工资表-6月'!$E:$S,15,0),0)</f>
        <v>53100</v>
      </c>
      <c r="T7" s="93">
        <f>5000+IFERROR(VLOOKUP($E:$E,'（居民）工资表-6月'!$E:$T,16,0),0)</f>
        <v>35000</v>
      </c>
      <c r="U7" s="93">
        <f>Q7+IFERROR(VLOOKUP($E:$E,'（居民）工资表-6月'!$E:$U,17,0),0)</f>
        <v>3613.22</v>
      </c>
      <c r="V7" s="73"/>
      <c r="W7" s="73"/>
      <c r="X7" s="73">
        <v>5000</v>
      </c>
      <c r="Y7" s="73"/>
      <c r="Z7" s="73"/>
      <c r="AA7" s="73"/>
      <c r="AB7" s="92">
        <f t="shared" ref="AB7:AB19" si="1">ROUND(SUM(V7:AA7),2)</f>
        <v>5000</v>
      </c>
      <c r="AC7" s="92">
        <f>R7+IFERROR(VLOOKUP($E:$E,'（居民）工资表-6月'!$E:$AC,25,0),0)</f>
        <v>0</v>
      </c>
      <c r="AD7" s="97">
        <f t="shared" ref="AD7:AD19" si="2">ROUND(S7-T7-U7-AB7-AC7,2)</f>
        <v>9486.78</v>
      </c>
      <c r="AE7" s="98">
        <f>ROUND(MAX((AD7)*{0.03;0.1;0.2;0.25;0.3;0.35;0.45}-{0;2520;16920;31920;52920;85920;181920},0),2)</f>
        <v>284.6</v>
      </c>
      <c r="AF7" s="99">
        <f>IFERROR(VLOOKUP(E:E,'（居民）工资表-6月'!E:AF,28,0)+VLOOKUP(E:E,'（居民）工资表-6月'!E:AG,29,0),0)</f>
        <v>326.82</v>
      </c>
      <c r="AG7" s="99">
        <f t="shared" ref="AG7:AG19" si="3">IF((AE7-AF7)&lt;0,0,AE7-AF7)</f>
        <v>0</v>
      </c>
      <c r="AH7" s="109">
        <f t="shared" ref="AH7:AH19" si="4">ROUND(IF((L7-Q7-AG7)&lt;0,0,(L7-Q7-AG7)),2)</f>
        <v>8592.64</v>
      </c>
      <c r="AI7" s="110"/>
      <c r="AJ7" s="109">
        <f t="shared" ref="AJ7:AJ19" si="5">AH7+AI7</f>
        <v>8592.64</v>
      </c>
      <c r="AK7" s="111"/>
      <c r="AL7" s="109">
        <f t="shared" ref="AL7:AL19" si="6">AJ7+AG7+AK7</f>
        <v>8592.64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10300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L8+IFERROR(VLOOKUP($E:$E,'（居民）工资表-6月'!$E:$S,15,0),0)</f>
        <v>64800</v>
      </c>
      <c r="T8" s="93">
        <f>5000+IFERROR(VLOOKUP($E:$E,'（居民）工资表-6月'!$E:$T,16,0),0)</f>
        <v>35000</v>
      </c>
      <c r="U8" s="93">
        <f>Q8+IFERROR(VLOOKUP($E:$E,'（居民）工资表-6月'!$E:$U,17,0),0)</f>
        <v>4445.8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R8+IFERROR(VLOOKUP($E:$E,'（居民）工资表-6月'!$E:$AC,25,0),0)</f>
        <v>0</v>
      </c>
      <c r="AD8" s="97">
        <f t="shared" si="2"/>
        <v>25354.2</v>
      </c>
      <c r="AE8" s="98">
        <f>ROUND(MAX((AD8)*{0.03;0.1;0.2;0.25;0.3;0.35;0.45}-{0;2520;16920;31920;52920;85920;181920},0),2)</f>
        <v>760.63</v>
      </c>
      <c r="AF8" s="99">
        <f>IFERROR(VLOOKUP(E:E,'（居民）工资表-6月'!E:AF,28,0)+VLOOKUP(E:E,'（居民）工资表-6月'!E:AG,29,0),0)</f>
        <v>619.04</v>
      </c>
      <c r="AG8" s="99">
        <f t="shared" si="3"/>
        <v>141.59</v>
      </c>
      <c r="AH8" s="109">
        <f t="shared" si="4"/>
        <v>9578.05</v>
      </c>
      <c r="AI8" s="110"/>
      <c r="AJ8" s="109">
        <f t="shared" si="5"/>
        <v>9578.05</v>
      </c>
      <c r="AK8" s="111"/>
      <c r="AL8" s="109">
        <f t="shared" si="6"/>
        <v>9719.64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L9+IFERROR(VLOOKUP($E:$E,'（居民）工资表-6月'!$E:$S,15,0),0)</f>
        <v>45500</v>
      </c>
      <c r="T9" s="93">
        <f>5000+IFERROR(VLOOKUP($E:$E,'（居民）工资表-6月'!$E:$T,16,0),0)</f>
        <v>35000</v>
      </c>
      <c r="U9" s="93">
        <f>Q9+IFERROR(VLOOKUP($E:$E,'（居民）工资表-6月'!$E:$U,17,0),0)</f>
        <v>3687.49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R9+IFERROR(VLOOKUP($E:$E,'（居民）工资表-6月'!$E:$AC,25,0),0)</f>
        <v>0</v>
      </c>
      <c r="AD9" s="97">
        <f t="shared" si="2"/>
        <v>6812.51</v>
      </c>
      <c r="AE9" s="98">
        <f>ROUND(MAX((AD9)*{0.03;0.1;0.2;0.25;0.3;0.35;0.45}-{0;2520;16920;31920;52920;85920;181920},0),2)</f>
        <v>204.38</v>
      </c>
      <c r="AF9" s="99">
        <f>IFERROR(VLOOKUP(E:E,'（居民）工资表-6月'!E:AF,28,0)+VLOOKUP(E:E,'（居民）工资表-6月'!E:AG,29,0),0)</f>
        <v>174.8</v>
      </c>
      <c r="AG9" s="99">
        <f t="shared" si="3"/>
        <v>29.58</v>
      </c>
      <c r="AH9" s="109">
        <f t="shared" si="4"/>
        <v>5956.26</v>
      </c>
      <c r="AI9" s="110"/>
      <c r="AJ9" s="109">
        <f t="shared" si="5"/>
        <v>5956.26</v>
      </c>
      <c r="AK9" s="111"/>
      <c r="AL9" s="109">
        <f t="shared" si="6"/>
        <v>5985.84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L10+IFERROR(VLOOKUP($E:$E,'（居民）工资表-6月'!$E:$S,15,0),0)</f>
        <v>27500</v>
      </c>
      <c r="T10" s="93">
        <f>5000+IFERROR(VLOOKUP($E:$E,'（居民）工资表-6月'!$E:$T,16,0),0)</f>
        <v>25000</v>
      </c>
      <c r="U10" s="93">
        <f>Q10+IFERROR(VLOOKUP($E:$E,'（居民）工资表-6月'!$E:$U,17,0),0)</f>
        <v>2627.45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R10+IFERROR(VLOOKUP($E:$E,'（居民）工资表-6月'!$E:$AC,25,0),0)</f>
        <v>0</v>
      </c>
      <c r="AD10" s="97">
        <f t="shared" si="2"/>
        <v>-127.45</v>
      </c>
      <c r="AE10" s="98">
        <f>ROUND(MAX((AD10)*{0.03;0.1;0.2;0.25;0.3;0.35;0.45}-{0;2520;16920;31920;52920;85920;181920},0),2)</f>
        <v>0</v>
      </c>
      <c r="AF10" s="99">
        <f>IFERROR(VLOOKUP(E:E,'（居民）工资表-6月'!E:AF,28,0)+VLOOKUP(E:E,'（居民）工资表-6月'!E:AG,29,0),0)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41" t="s">
        <v>170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L11+IFERROR(VLOOKUP($E:$E,'（居民）工资表-6月'!$E:$S,15,0),0)</f>
        <v>32045.68</v>
      </c>
      <c r="T11" s="93">
        <f>5000+IFERROR(VLOOKUP($E:$E,'（居民）工资表-6月'!$E:$T,16,0),0)</f>
        <v>35000</v>
      </c>
      <c r="U11" s="93">
        <f>Q11+IFERROR(VLOOKUP($E:$E,'（居民）工资表-6月'!$E:$U,17,0),0)</f>
        <v>4223.72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R11+IFERROR(VLOOKUP($E:$E,'（居民）工资表-6月'!$E:$AC,25,0),0)</f>
        <v>0</v>
      </c>
      <c r="AD11" s="97">
        <f t="shared" si="2"/>
        <v>-7178.04</v>
      </c>
      <c r="AE11" s="98">
        <f>ROUND(MAX((AD11)*{0.03;0.1;0.2;0.25;0.3;0.35;0.45}-{0;2520;16920;31920;52920;85920;181920},0),2)</f>
        <v>0</v>
      </c>
      <c r="AF11" s="99">
        <f>IFERROR(VLOOKUP(E:E,'（居民）工资表-6月'!E:AF,28,0)+VLOOKUP(E:E,'（居民）工资表-6月'!E:AG,29,0),0)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2" t="s">
        <v>171</v>
      </c>
      <c r="AN11" s="12" t="s">
        <v>172</v>
      </c>
    </row>
    <row r="12" s="12" customFormat="1" ht="18" customHeight="1" spans="1:40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41">
        <v>18356553626</v>
      </c>
      <c r="H12" s="40"/>
      <c r="I12" s="40"/>
      <c r="J12" s="70"/>
      <c r="K12" s="40"/>
      <c r="L12" s="73">
        <v>10300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L12+IFERROR(VLOOKUP($E:$E,'（居民）工资表-6月'!$E:$S,15,0),0)</f>
        <v>54218.18</v>
      </c>
      <c r="T12" s="93">
        <f>5000+IFERROR(VLOOKUP($E:$E,'（居民）工资表-6月'!$E:$T,16,0),0)</f>
        <v>35000</v>
      </c>
      <c r="U12" s="93">
        <f>Q12+IFERROR(VLOOKUP($E:$E,'（居民）工资表-6月'!$E:$U,17,0),0)</f>
        <v>3815.05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R12+IFERROR(VLOOKUP($E:$E,'（居民）工资表-6月'!$E:$AC,25,0),0)</f>
        <v>0</v>
      </c>
      <c r="AD12" s="97">
        <f t="shared" si="2"/>
        <v>15403.13</v>
      </c>
      <c r="AE12" s="98">
        <f>ROUND(MAX((AD12)*{0.03;0.1;0.2;0.25;0.3;0.35;0.45}-{0;2520;16920;31920;52920;85920;181920},0),2)</f>
        <v>462.09</v>
      </c>
      <c r="AF12" s="99">
        <f>IFERROR(VLOOKUP(E:E,'（居民）工资表-6月'!E:AF,28,0)+VLOOKUP(E:E,'（居民）工资表-6月'!E:AG,29,0),0)</f>
        <v>319.15</v>
      </c>
      <c r="AG12" s="99">
        <f t="shared" si="3"/>
        <v>142.94</v>
      </c>
      <c r="AH12" s="109">
        <f t="shared" si="4"/>
        <v>9621.85</v>
      </c>
      <c r="AI12" s="110"/>
      <c r="AJ12" s="109">
        <f t="shared" si="5"/>
        <v>9621.85</v>
      </c>
      <c r="AK12" s="111"/>
      <c r="AL12" s="109">
        <f t="shared" si="6"/>
        <v>9764.79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41">
        <v>18326897140</v>
      </c>
      <c r="H13" s="40"/>
      <c r="I13" s="40"/>
      <c r="J13" s="70"/>
      <c r="K13" s="40"/>
      <c r="L13" s="73">
        <v>9000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L13+IFERROR(VLOOKUP($E:$E,'（居民）工资表-6月'!$E:$S,15,0),0)</f>
        <v>45650</v>
      </c>
      <c r="T13" s="93">
        <f>5000+IFERROR(VLOOKUP($E:$E,'（居民）工资表-6月'!$E:$T,16,0),0)</f>
        <v>35000</v>
      </c>
      <c r="U13" s="93">
        <f>Q13+IFERROR(VLOOKUP($E:$E,'（居民）工资表-6月'!$E:$U,17,0),0)</f>
        <v>4445.8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R13+IFERROR(VLOOKUP($E:$E,'（居民）工资表-6月'!$E:$AC,25,0),0)</f>
        <v>0</v>
      </c>
      <c r="AD13" s="97">
        <f t="shared" si="2"/>
        <v>6204.2</v>
      </c>
      <c r="AE13" s="98">
        <f>ROUND(MAX((AD13)*{0.03;0.1;0.2;0.25;0.3;0.35;0.45}-{0;2520;16920;31920;52920;85920;181920},0),2)</f>
        <v>186.13</v>
      </c>
      <c r="AF13" s="99">
        <f>IFERROR(VLOOKUP(E:E,'（居民）工资表-6月'!E:AF,28,0)+VLOOKUP(E:E,'（居民）工资表-6月'!E:AG,29,0),0)</f>
        <v>83.54</v>
      </c>
      <c r="AG13" s="99">
        <f t="shared" si="3"/>
        <v>102.59</v>
      </c>
      <c r="AH13" s="109">
        <f t="shared" si="4"/>
        <v>8317.05</v>
      </c>
      <c r="AI13" s="110"/>
      <c r="AJ13" s="109">
        <f t="shared" si="5"/>
        <v>8317.05</v>
      </c>
      <c r="AK13" s="111"/>
      <c r="AL13" s="109">
        <f t="shared" si="6"/>
        <v>8419.64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41">
        <v>17201857014</v>
      </c>
      <c r="H14" s="40"/>
      <c r="I14" s="40"/>
      <c r="J14" s="70"/>
      <c r="K14" s="40"/>
      <c r="L14" s="73">
        <v>9000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L14+IFERROR(VLOOKUP($E:$E,'（居民）工资表-6月'!$E:$S,15,0),0)</f>
        <v>46358.7</v>
      </c>
      <c r="T14" s="93">
        <f>5000+IFERROR(VLOOKUP($E:$E,'（居民）工资表-6月'!$E:$T,16,0),0)</f>
        <v>35000</v>
      </c>
      <c r="U14" s="93">
        <f>Q14+IFERROR(VLOOKUP($E:$E,'（居民）工资表-6月'!$E:$U,17,0),0)</f>
        <v>4445.8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R14+IFERROR(VLOOKUP($E:$E,'（居民）工资表-6月'!$E:$AC,25,0),0)</f>
        <v>0</v>
      </c>
      <c r="AD14" s="97">
        <f t="shared" si="2"/>
        <v>6912.9</v>
      </c>
      <c r="AE14" s="98">
        <f>ROUND(MAX((AD14)*{0.03;0.1;0.2;0.25;0.3;0.35;0.45}-{0;2520;16920;31920;52920;85920;181920},0),2)</f>
        <v>207.39</v>
      </c>
      <c r="AF14" s="99">
        <f>IFERROR(VLOOKUP(E:E,'（居民）工资表-6月'!E:AF,28,0)+VLOOKUP(E:E,'（居民）工资表-6月'!E:AG,29,0),0)</f>
        <v>104.8</v>
      </c>
      <c r="AG14" s="99">
        <f t="shared" si="3"/>
        <v>102.59</v>
      </c>
      <c r="AH14" s="109">
        <f t="shared" si="4"/>
        <v>8317.05</v>
      </c>
      <c r="AI14" s="110"/>
      <c r="AJ14" s="109">
        <f t="shared" si="5"/>
        <v>8317.05</v>
      </c>
      <c r="AK14" s="111"/>
      <c r="AL14" s="109">
        <f t="shared" si="6"/>
        <v>8419.64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41" t="s">
        <v>181</v>
      </c>
      <c r="H15" s="40"/>
      <c r="I15" s="40"/>
      <c r="J15" s="70"/>
      <c r="K15" s="40"/>
      <c r="L15" s="73">
        <v>8800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L15+IFERROR(VLOOKUP($E:$E,'（居民）工资表-6月'!$E:$S,15,0),0)</f>
        <v>49909.09</v>
      </c>
      <c r="T15" s="93">
        <f>5000+IFERROR(VLOOKUP($E:$E,'（居民）工资表-6月'!$E:$T,16,0),0)</f>
        <v>35000</v>
      </c>
      <c r="U15" s="93">
        <f>Q15+IFERROR(VLOOKUP($E:$E,'（居民）工资表-6月'!$E:$U,17,0),0)</f>
        <v>3815.05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R15+IFERROR(VLOOKUP($E:$E,'（居民）工资表-6月'!$E:$AC,25,0),0)</f>
        <v>0</v>
      </c>
      <c r="AD15" s="97">
        <f t="shared" si="2"/>
        <v>11094.04</v>
      </c>
      <c r="AE15" s="98">
        <f>ROUND(MAX((AD15)*{0.03;0.1;0.2;0.25;0.3;0.35;0.45}-{0;2520;16920;31920;52920;85920;181920},0),2)</f>
        <v>332.82</v>
      </c>
      <c r="AF15" s="99">
        <f>IFERROR(VLOOKUP(E:E,'（居民）工资表-6月'!E:AF,28,0)+VLOOKUP(E:E,'（居民）工资表-6月'!E:AG,29,0),0)</f>
        <v>234.88</v>
      </c>
      <c r="AG15" s="99">
        <f t="shared" si="3"/>
        <v>97.94</v>
      </c>
      <c r="AH15" s="109">
        <f t="shared" si="4"/>
        <v>8166.85</v>
      </c>
      <c r="AI15" s="110"/>
      <c r="AJ15" s="109">
        <f t="shared" si="5"/>
        <v>8166.85</v>
      </c>
      <c r="AK15" s="111"/>
      <c r="AL15" s="109">
        <f t="shared" si="6"/>
        <v>8264.79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41">
        <v>15855788591</v>
      </c>
      <c r="H16" s="40"/>
      <c r="I16" s="40"/>
      <c r="J16" s="70"/>
      <c r="K16" s="40"/>
      <c r="L16" s="73">
        <v>7360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L16+IFERROR(VLOOKUP($E:$E,'（居民）工资表-6月'!$E:$S,15,0),0)</f>
        <v>42093.74</v>
      </c>
      <c r="T16" s="93">
        <f>5000+IFERROR(VLOOKUP($E:$E,'（居民）工资表-6月'!$E:$T,16,0),0)</f>
        <v>35000</v>
      </c>
      <c r="U16" s="93">
        <f>Q16+IFERROR(VLOOKUP($E:$E,'（居民）工资表-6月'!$E:$U,17,0),0)</f>
        <v>3613.22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R16+IFERROR(VLOOKUP($E:$E,'（居民）工资表-6月'!$E:$AC,25,0),0)</f>
        <v>0</v>
      </c>
      <c r="AD16" s="97">
        <f t="shared" si="2"/>
        <v>3480.52</v>
      </c>
      <c r="AE16" s="98">
        <f>ROUND(MAX((AD16)*{0.03;0.1;0.2;0.25;0.3;0.35;0.45}-{0;2520;16920;31920;52920;85920;181920},0),2)</f>
        <v>104.42</v>
      </c>
      <c r="AF16" s="99">
        <f>IFERROR(VLOOKUP(E:E,'（居民）工资表-6月'!E:AF,28,0)+VLOOKUP(E:E,'（居民）工资表-6月'!E:AG,29,0),0)</f>
        <v>48.84</v>
      </c>
      <c r="AG16" s="99">
        <f t="shared" si="3"/>
        <v>55.58</v>
      </c>
      <c r="AH16" s="109">
        <f t="shared" si="4"/>
        <v>6797.06</v>
      </c>
      <c r="AI16" s="110"/>
      <c r="AJ16" s="109">
        <f t="shared" si="5"/>
        <v>6797.06</v>
      </c>
      <c r="AK16" s="111"/>
      <c r="AL16" s="109">
        <f t="shared" si="6"/>
        <v>6852.64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41">
        <v>13873717760</v>
      </c>
      <c r="H17" s="40"/>
      <c r="I17" s="40"/>
      <c r="J17" s="70"/>
      <c r="K17" s="40"/>
      <c r="L17" s="73">
        <v>7060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L17+IFERROR(VLOOKUP($E:$E,'（居民）工资表-6月'!$E:$S,15,0),0)</f>
        <v>31025</v>
      </c>
      <c r="T17" s="93">
        <f>5000+IFERROR(VLOOKUP($E:$E,'（居民）工资表-6月'!$E:$T,16,0),0)</f>
        <v>25000</v>
      </c>
      <c r="U17" s="93">
        <f>Q17+IFERROR(VLOOKUP($E:$E,'（居民）工资表-6月'!$E:$U,17,0),0)</f>
        <v>3151.91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R17+IFERROR(VLOOKUP($E:$E,'（居民）工资表-6月'!$E:$AC,25,0),0)</f>
        <v>0</v>
      </c>
      <c r="AD17" s="97">
        <f t="shared" si="2"/>
        <v>2873.09</v>
      </c>
      <c r="AE17" s="98">
        <f>ROUND(MAX((AD17)*{0.03;0.1;0.2;0.25;0.3;0.35;0.45}-{0;2520;16920;31920;52920;85920;181920},0),2)</f>
        <v>86.19</v>
      </c>
      <c r="AF17" s="99">
        <f>IFERROR(VLOOKUP(E:E,'（居民）工资表-6月'!E:AF,28,0)+VLOOKUP(E:E,'（居民）工资表-6月'!E:AG,29,0),0)</f>
        <v>42.07</v>
      </c>
      <c r="AG17" s="99">
        <f t="shared" si="3"/>
        <v>44.12</v>
      </c>
      <c r="AH17" s="109">
        <f t="shared" si="4"/>
        <v>6426.72</v>
      </c>
      <c r="AI17" s="110"/>
      <c r="AJ17" s="109">
        <f t="shared" si="5"/>
        <v>6426.72</v>
      </c>
      <c r="AK17" s="111"/>
      <c r="AL17" s="109">
        <f t="shared" si="6"/>
        <v>6470.84</v>
      </c>
      <c r="AM17" s="12" t="s">
        <v>162</v>
      </c>
      <c r="AN17" s="12" t="s">
        <v>51</v>
      </c>
    </row>
    <row r="18" s="12" customFormat="1" ht="18" customHeight="1" spans="1:40">
      <c r="A18" s="36">
        <v>15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38" t="s">
        <v>148</v>
      </c>
      <c r="G18" s="41"/>
      <c r="H18" s="40"/>
      <c r="I18" s="40"/>
      <c r="J18" s="70"/>
      <c r="K18" s="40"/>
      <c r="L18" s="73">
        <v>5400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L18+IFERROR(VLOOKUP($E:$E,'（居民）工资表-6月'!$E:$S,15,0),0)</f>
        <v>13036.37</v>
      </c>
      <c r="T18" s="93">
        <f>5000+IFERROR(VLOOKUP($E:$E,'（居民）工资表-6月'!$E:$T,16,0),0)</f>
        <v>15000</v>
      </c>
      <c r="U18" s="93">
        <f>Q18+IFERROR(VLOOKUP($E:$E,'（居民）工资表-6月'!$E:$U,17,0),0)</f>
        <v>2021.44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R18+IFERROR(VLOOKUP($E:$E,'（居民）工资表-6月'!$E:$AC,25,0),0)</f>
        <v>0</v>
      </c>
      <c r="AD18" s="97">
        <f t="shared" si="2"/>
        <v>-3985.07</v>
      </c>
      <c r="AE18" s="98">
        <f>ROUND(MAX((AD18)*{0.03;0.1;0.2;0.25;0.3;0.35;0.45}-{0;2520;16920;31920;52920;85920;181920},0),2)</f>
        <v>0</v>
      </c>
      <c r="AF18" s="99">
        <f>IFERROR(VLOOKUP(E:E,'（居民）工资表-6月'!E:AF,28,0)+VLOOKUP(E:E,'（居民）工资表-6月'!E:AG,29,0),0)</f>
        <v>0</v>
      </c>
      <c r="AG18" s="99">
        <f t="shared" si="3"/>
        <v>0</v>
      </c>
      <c r="AH18" s="109">
        <f t="shared" si="4"/>
        <v>4894.64</v>
      </c>
      <c r="AI18" s="110"/>
      <c r="AJ18" s="109">
        <f t="shared" si="5"/>
        <v>4894.64</v>
      </c>
      <c r="AK18" s="111"/>
      <c r="AL18" s="109">
        <f t="shared" si="6"/>
        <v>4894.64</v>
      </c>
      <c r="AM18" s="12" t="s">
        <v>157</v>
      </c>
      <c r="AN18" s="12" t="s">
        <v>51</v>
      </c>
    </row>
    <row r="19" s="12" customFormat="1" ht="18" customHeight="1" spans="1:40">
      <c r="A19" s="36">
        <v>15</v>
      </c>
      <c r="B19" s="37" t="s">
        <v>142</v>
      </c>
      <c r="C19" s="37" t="s">
        <v>188</v>
      </c>
      <c r="D19" s="37" t="s">
        <v>143</v>
      </c>
      <c r="E19" s="327" t="s">
        <v>189</v>
      </c>
      <c r="F19" s="38" t="s">
        <v>148</v>
      </c>
      <c r="G19" s="41">
        <v>15571147351</v>
      </c>
      <c r="H19" s="40"/>
      <c r="I19" s="40"/>
      <c r="J19" s="70"/>
      <c r="K19" s="40"/>
      <c r="L19" s="73">
        <v>1466.67</v>
      </c>
      <c r="M19" s="72">
        <v>652.32</v>
      </c>
      <c r="N19" s="72">
        <v>170.08</v>
      </c>
      <c r="O19" s="72">
        <v>24.46</v>
      </c>
      <c r="P19" s="72">
        <v>201</v>
      </c>
      <c r="Q19" s="91">
        <f t="shared" si="0"/>
        <v>1047.86</v>
      </c>
      <c r="R19" s="73">
        <v>0</v>
      </c>
      <c r="S19" s="92">
        <f>L19+IFERROR(VLOOKUP($E:$E,'（居民）工资表-6月'!$E:$S,15,0),0)</f>
        <v>1466.67</v>
      </c>
      <c r="T19" s="93">
        <f>5000+IFERROR(VLOOKUP($E:$E,'（居民）工资表-6月'!$E:$T,16,0),0)</f>
        <v>5000</v>
      </c>
      <c r="U19" s="93">
        <f>Q19+IFERROR(VLOOKUP($E:$E,'（居民）工资表-6月'!$E:$U,17,0),0)</f>
        <v>1047.86</v>
      </c>
      <c r="V19" s="73"/>
      <c r="W19" s="73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R19+IFERROR(VLOOKUP($E:$E,'（居民）工资表-6月'!$E:$AC,25,0),0)</f>
        <v>0</v>
      </c>
      <c r="AD19" s="97">
        <f t="shared" si="2"/>
        <v>-4581.19</v>
      </c>
      <c r="AE19" s="98">
        <f>ROUND(MAX((AD19)*{0.03;0.1;0.2;0.25;0.3;0.35;0.45}-{0;2520;16920;31920;52920;85920;181920},0),2)</f>
        <v>0</v>
      </c>
      <c r="AF19" s="99">
        <f>IFERROR(VLOOKUP(E:E,'（居民）工资表-6月'!E:AF,28,0)+VLOOKUP(E:E,'（居民）工资表-6月'!E:AG,29,0),0)</f>
        <v>0</v>
      </c>
      <c r="AG19" s="99">
        <f t="shared" si="3"/>
        <v>0</v>
      </c>
      <c r="AH19" s="109">
        <f t="shared" si="4"/>
        <v>418.81</v>
      </c>
      <c r="AI19" s="110"/>
      <c r="AJ19" s="109">
        <f t="shared" si="5"/>
        <v>418.81</v>
      </c>
      <c r="AK19" s="111"/>
      <c r="AL19" s="109">
        <f t="shared" si="6"/>
        <v>418.81</v>
      </c>
      <c r="AM19" s="12" t="s">
        <v>190</v>
      </c>
      <c r="AN19" s="12" t="s">
        <v>191</v>
      </c>
    </row>
    <row r="20" s="13" customFormat="1" ht="18" customHeight="1" spans="1:38">
      <c r="A20" s="42"/>
      <c r="B20" s="43" t="s">
        <v>192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138645.47</v>
      </c>
      <c r="M20" s="76">
        <f t="shared" ref="M20:AL20" si="7">SUM(M4:M19)</f>
        <v>5652.66</v>
      </c>
      <c r="N20" s="76">
        <f t="shared" si="7"/>
        <v>1592.78</v>
      </c>
      <c r="O20" s="76">
        <f t="shared" si="7"/>
        <v>295.47</v>
      </c>
      <c r="P20" s="76">
        <f t="shared" si="7"/>
        <v>2170.3</v>
      </c>
      <c r="Q20" s="76">
        <f t="shared" si="7"/>
        <v>9711.21</v>
      </c>
      <c r="R20" s="76">
        <f t="shared" si="7"/>
        <v>0</v>
      </c>
      <c r="S20" s="76">
        <f t="shared" si="7"/>
        <v>813523.43</v>
      </c>
      <c r="T20" s="76">
        <f t="shared" si="7"/>
        <v>490000</v>
      </c>
      <c r="U20" s="76">
        <f t="shared" si="7"/>
        <v>59953.79</v>
      </c>
      <c r="V20" s="76">
        <f t="shared" si="7"/>
        <v>7000</v>
      </c>
      <c r="W20" s="76">
        <f t="shared" si="7"/>
        <v>0</v>
      </c>
      <c r="X20" s="76">
        <f t="shared" si="7"/>
        <v>19000</v>
      </c>
      <c r="Y20" s="76">
        <f t="shared" si="7"/>
        <v>10500</v>
      </c>
      <c r="Z20" s="76">
        <f t="shared" si="7"/>
        <v>2800</v>
      </c>
      <c r="AA20" s="76">
        <f t="shared" si="7"/>
        <v>0</v>
      </c>
      <c r="AB20" s="76">
        <f t="shared" si="7"/>
        <v>39300</v>
      </c>
      <c r="AC20" s="76">
        <f t="shared" si="7"/>
        <v>0</v>
      </c>
      <c r="AD20" s="76">
        <f t="shared" si="7"/>
        <v>224269.64</v>
      </c>
      <c r="AE20" s="76">
        <f t="shared" si="7"/>
        <v>17530.74</v>
      </c>
      <c r="AF20" s="76">
        <f t="shared" si="7"/>
        <v>14473.92</v>
      </c>
      <c r="AG20" s="76">
        <f t="shared" si="7"/>
        <v>3539.16</v>
      </c>
      <c r="AH20" s="76">
        <f t="shared" si="7"/>
        <v>125395.1</v>
      </c>
      <c r="AI20" s="76">
        <f t="shared" si="7"/>
        <v>0</v>
      </c>
      <c r="AJ20" s="76">
        <f t="shared" si="7"/>
        <v>125395.1</v>
      </c>
      <c r="AK20" s="76">
        <f t="shared" si="7"/>
        <v>0</v>
      </c>
      <c r="AL20" s="76">
        <f t="shared" si="7"/>
        <v>128934.26</v>
      </c>
    </row>
    <row r="23" spans="30:30">
      <c r="AD23" s="103"/>
    </row>
    <row r="24" ht="18.75" customHeight="1" spans="2:30">
      <c r="B24" s="48" t="s">
        <v>131</v>
      </c>
      <c r="C24" s="48" t="s">
        <v>193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125395.1</v>
      </c>
      <c r="C25" s="49">
        <f>AG20</f>
        <v>3539.16</v>
      </c>
      <c r="D25" s="49">
        <f>AK20</f>
        <v>0</v>
      </c>
      <c r="E25" s="49">
        <f>B25+C25+D25</f>
        <v>128934.26</v>
      </c>
    </row>
    <row r="26" spans="2:5">
      <c r="B26" s="50"/>
      <c r="C26" s="50"/>
      <c r="D26" s="50"/>
      <c r="E26" s="50" t="e">
        <f>#REF!</f>
        <v>#REF!</v>
      </c>
    </row>
    <row r="27" s="14" customFormat="1" spans="1:35">
      <c r="A27" s="52" t="s">
        <v>194</v>
      </c>
      <c r="B27" s="53" t="s">
        <v>195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196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197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198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199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200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201</v>
      </c>
    </row>
    <row r="35" spans="2:2">
      <c r="B35" s="60" t="s">
        <v>202</v>
      </c>
    </row>
    <row r="36" spans="2:2">
      <c r="B36" s="60" t="s">
        <v>203</v>
      </c>
    </row>
  </sheetData>
  <autoFilter ref="A3:AL2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0" sqref="E20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customWidth="1"/>
    <col min="9" max="9" width="5.26666666666667" style="15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70"/>
      <c r="K4" s="40"/>
      <c r="L4" s="71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 t="shared" ref="Q4:Q7" si="0">ROUND(SUM(M4:P4),2)</f>
        <v>560.99</v>
      </c>
      <c r="R4" s="73">
        <v>0</v>
      </c>
      <c r="S4" s="92">
        <f>L4+IFERROR(VLOOKUP($E:$E,'（居民）工资表-4月'!$E:$S,15,0),0)</f>
        <v>40000</v>
      </c>
      <c r="T4" s="93">
        <f>5000+IFERROR(VLOOKUP($E:$E,'（居民）工资表-4月'!$E:$T,16,0),0)</f>
        <v>25000</v>
      </c>
      <c r="U4" s="93">
        <f>Q4+IFERROR(VLOOKUP($E:$E,'（居民）工资表-4月'!$E:$U,17,0),0)</f>
        <v>3243.37</v>
      </c>
      <c r="V4" s="73"/>
      <c r="W4" s="73"/>
      <c r="X4" s="73"/>
      <c r="Y4" s="73"/>
      <c r="Z4" s="73"/>
      <c r="AA4" s="73"/>
      <c r="AB4" s="92">
        <f t="shared" ref="AB4:AB7" si="1">ROUND(SUM(V4:AA4),2)</f>
        <v>0</v>
      </c>
      <c r="AC4" s="92">
        <f>R4+IFERROR(VLOOKUP($E:$E,'（居民）工资表-4月'!$E:$AC,25,0),0)</f>
        <v>0</v>
      </c>
      <c r="AD4" s="97">
        <f t="shared" ref="AD4:AD7" si="2">ROUND(S4-T4-U4-AB4-AC4,2)</f>
        <v>11756.63</v>
      </c>
      <c r="AE4" s="98">
        <f>ROUND(MAX((AD4)*{0.03;0.1;0.2;0.25;0.3;0.35;0.45}-{0;2520;16920;31920;52920;85920;181920},0),2)</f>
        <v>352.7</v>
      </c>
      <c r="AF4" s="99">
        <f>IFERROR(VLOOKUP(E:E,'（居民）工资表-4月'!E:AF,28,0)+VLOOKUP(E:E,'（居民）工资表-4月'!E:AG,29,0),0)</f>
        <v>279.53</v>
      </c>
      <c r="AG4" s="99">
        <f t="shared" ref="AG4:AG6" si="3">IF((AE4-AF4)&lt;0,0,AE4-AF4)</f>
        <v>73.17</v>
      </c>
      <c r="AH4" s="109">
        <f t="shared" ref="AH4:AH6" si="4">ROUND(IF((L4-Q4-AG4)&lt;0,0,(L4-Q4-AG4)),2)</f>
        <v>7365.84</v>
      </c>
      <c r="AI4" s="110"/>
      <c r="AJ4" s="109">
        <f t="shared" ref="AJ4:AJ7" si="5">AH4+AI4</f>
        <v>7365.84</v>
      </c>
      <c r="AK4" s="111"/>
      <c r="AL4" s="109">
        <f t="shared" ref="AL4:AL7" si="6">AJ4+AG4+AK4</f>
        <v>7439.01</v>
      </c>
      <c r="AM4" s="111"/>
      <c r="AN4" s="111"/>
      <c r="AO4" s="111"/>
      <c r="AP4" s="111"/>
      <c r="AQ4" s="111"/>
      <c r="AR4" s="118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IF(SUMPRODUCT(N(E$1:E$7=E4))&gt;1,"重复","不")</f>
        <v>不</v>
      </c>
      <c r="AT4" s="118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39">
        <v>15360550807</v>
      </c>
      <c r="H5" s="40"/>
      <c r="I5" s="40"/>
      <c r="J5" s="70"/>
      <c r="K5" s="40"/>
      <c r="L5" s="71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 t="shared" si="0"/>
        <v>600.12</v>
      </c>
      <c r="R5" s="73">
        <v>0</v>
      </c>
      <c r="S5" s="92">
        <f>L5+IFERROR(VLOOKUP($E:$E,'（居民）工资表-4月'!$E:$S,15,0),0)</f>
        <v>28500</v>
      </c>
      <c r="T5" s="93">
        <f>5000+IFERROR(VLOOKUP($E:$E,'（居民）工资表-4月'!$E:$T,16,0),0)</f>
        <v>25000</v>
      </c>
      <c r="U5" s="93">
        <f>Q5+IFERROR(VLOOKUP($E:$E,'（居民）工资表-4月'!$E:$U,17,0),0)</f>
        <v>3124.84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R5+IFERROR(VLOOKUP($E:$E,'（居民）工资表-4月'!$E:$AC,25,0),0)</f>
        <v>0</v>
      </c>
      <c r="AD5" s="97">
        <f t="shared" si="2"/>
        <v>375.16</v>
      </c>
      <c r="AE5" s="98">
        <f>ROUND(MAX((AD5)*{0.03;0.1;0.2;0.25;0.3;0.35;0.45}-{0;2520;16920;31920;52920;85920;181920},0),2)</f>
        <v>11.25</v>
      </c>
      <c r="AF5" s="99">
        <f>IFERROR(VLOOKUP(E:E,'（居民）工资表-4月'!E:AF,28,0)+VLOOKUP(E:E,'（居民）工资表-4月'!E:AG,29,0),0)</f>
        <v>8.26</v>
      </c>
      <c r="AG5" s="99">
        <f t="shared" si="3"/>
        <v>2.99</v>
      </c>
      <c r="AH5" s="109">
        <f t="shared" si="4"/>
        <v>5096.89</v>
      </c>
      <c r="AI5" s="110"/>
      <c r="AJ5" s="109">
        <f t="shared" si="5"/>
        <v>5096.89</v>
      </c>
      <c r="AK5" s="111"/>
      <c r="AL5" s="109">
        <f t="shared" si="6"/>
        <v>5099.88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>IF(SUMPRODUCT(N(E$1:E$7=E5))&gt;1,"重复","不")</f>
        <v>不</v>
      </c>
      <c r="AT5" s="118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39" t="s">
        <v>151</v>
      </c>
      <c r="H6" s="40"/>
      <c r="I6" s="40"/>
      <c r="J6" s="70"/>
      <c r="K6" s="40"/>
      <c r="L6" s="71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 t="shared" si="0"/>
        <v>865.9</v>
      </c>
      <c r="R6" s="73">
        <v>0</v>
      </c>
      <c r="S6" s="92">
        <f>L6+IFERROR(VLOOKUP($E:$E,'（居民）工资表-4月'!$E:$S,15,0),0)</f>
        <v>150300</v>
      </c>
      <c r="T6" s="93">
        <f>5000+IFERROR(VLOOKUP($E:$E,'（居民）工资表-4月'!$E:$T,16,0),0)</f>
        <v>25000</v>
      </c>
      <c r="U6" s="93">
        <f>Q6+IFERROR(VLOOKUP($E:$E,'（居民）工资表-4月'!$E:$U,17,0),0)</f>
        <v>4494.8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R6+IFERROR(VLOOKUP($E:$E,'（居民）工资表-4月'!$E:$AC,25,0),0)</f>
        <v>0</v>
      </c>
      <c r="AD6" s="97">
        <f t="shared" si="2"/>
        <v>120805.2</v>
      </c>
      <c r="AE6" s="98">
        <f>ROUND(MAX((AD6)*{0.03;0.1;0.2;0.25;0.3;0.35;0.45}-{0;2520;16920;31920;52920;85920;181920},0),2)</f>
        <v>9560.52</v>
      </c>
      <c r="AF6" s="99">
        <f>IFERROR(VLOOKUP(E:E,'（居民）工资表-4月'!E:AF,28,0)+VLOOKUP(E:E,'（居民）工资表-4月'!E:AG,29,0),0)</f>
        <v>7141.11</v>
      </c>
      <c r="AG6" s="99">
        <f t="shared" si="3"/>
        <v>2419.41</v>
      </c>
      <c r="AH6" s="109">
        <f t="shared" si="4"/>
        <v>26774.69</v>
      </c>
      <c r="AI6" s="110"/>
      <c r="AJ6" s="109">
        <f t="shared" si="5"/>
        <v>26774.69</v>
      </c>
      <c r="AK6" s="111"/>
      <c r="AL6" s="109">
        <f t="shared" si="6"/>
        <v>29194.1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>IF(SUMPRODUCT(N(E$1:E$7=E6))&gt;1,"重复","不")</f>
        <v>不</v>
      </c>
      <c r="AT6" s="118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39" t="s">
        <v>156</v>
      </c>
      <c r="H7" s="40"/>
      <c r="I7" s="40"/>
      <c r="J7" s="70"/>
      <c r="K7" s="40"/>
      <c r="L7" s="71">
        <v>7000</v>
      </c>
      <c r="M7" s="72">
        <v>306.56</v>
      </c>
      <c r="N7" s="72">
        <v>84.64</v>
      </c>
      <c r="O7" s="72">
        <v>19.16</v>
      </c>
      <c r="P7" s="72">
        <v>162</v>
      </c>
      <c r="Q7" s="91">
        <f t="shared" si="0"/>
        <v>572.36</v>
      </c>
      <c r="R7" s="73">
        <v>0</v>
      </c>
      <c r="S7" s="92">
        <f>L7+IFERROR(VLOOKUP($E:$E,'（居民）工资表-4月'!$E:$S,15,0),0)</f>
        <v>37000</v>
      </c>
      <c r="T7" s="93">
        <f>5000+IFERROR(VLOOKUP($E:$E,'（居民）工资表-4月'!$E:$T,16,0),0)</f>
        <v>25000</v>
      </c>
      <c r="U7" s="93">
        <f>Q7+IFERROR(VLOOKUP($E:$E,'（居民）工资表-4月'!$E:$U,17,0),0)</f>
        <v>2598.5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R7+IFERROR(VLOOKUP($E:$E,'（居民）工资表-4月'!$E:$AC,25,0),0)</f>
        <v>0</v>
      </c>
      <c r="AD7" s="97">
        <f t="shared" si="2"/>
        <v>9401.5</v>
      </c>
      <c r="AE7" s="98">
        <f>ROUND(MAX((AD7)*{0.03;0.1;0.2;0.25;0.3;0.35;0.45}-{0;2520;16920;31920;52920;85920;181920},0),2)</f>
        <v>282.05</v>
      </c>
      <c r="AF7" s="99">
        <f>IFERROR(VLOOKUP(E:E,'（居民）工资表-4月'!E:AF,28,0)+VLOOKUP(E:E,'（居民）工资表-4月'!E:AG,29,0),0)</f>
        <v>239.22</v>
      </c>
      <c r="AG7" s="99">
        <f t="shared" ref="AG7:AG19" si="8">IF((AE7-AF7)&lt;0,0,AE7-AF7)</f>
        <v>42.83</v>
      </c>
      <c r="AH7" s="109">
        <f t="shared" ref="AH7:AH19" si="9">ROUND(IF((L7-Q7-AG7)&lt;0,0,(L7-Q7-AG7)),2)</f>
        <v>6384.81</v>
      </c>
      <c r="AI7" s="110"/>
      <c r="AJ7" s="109">
        <f t="shared" si="5"/>
        <v>6384.81</v>
      </c>
      <c r="AK7" s="111"/>
      <c r="AL7" s="109">
        <f t="shared" si="6"/>
        <v>6427.64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>IF(SUMPRODUCT(N(E$1:E$7=E7))&gt;1,"重复","不")</f>
        <v>不</v>
      </c>
      <c r="AT7" s="118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127" t="s">
        <v>144</v>
      </c>
      <c r="G8" s="39">
        <v>19356875630</v>
      </c>
      <c r="H8" s="40"/>
      <c r="I8" s="40"/>
      <c r="J8" s="70"/>
      <c r="K8" s="40"/>
      <c r="L8" s="71">
        <v>8000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ref="Q8:Q19" si="10">ROUND(SUM(M8:P8),2)</f>
        <v>580.36</v>
      </c>
      <c r="R8" s="73">
        <v>0</v>
      </c>
      <c r="S8" s="92">
        <f>L8+IFERROR(VLOOKUP($E:$E,'（居民）工资表-4月'!$E:$S,15,0),0)</f>
        <v>45000</v>
      </c>
      <c r="T8" s="93">
        <f>5000+IFERROR(VLOOKUP($E:$E,'（居民）工资表-4月'!$E:$T,16,0),0)</f>
        <v>25000</v>
      </c>
      <c r="U8" s="93">
        <f>Q8+IFERROR(VLOOKUP($E:$E,'（居民）工资表-4月'!$E:$U,17,0),0)</f>
        <v>3285.08</v>
      </c>
      <c r="V8" s="73"/>
      <c r="W8" s="73"/>
      <c r="X8" s="73"/>
      <c r="Y8" s="73"/>
      <c r="Z8" s="73"/>
      <c r="AA8" s="73"/>
      <c r="AB8" s="92">
        <f t="shared" ref="AB8:AB19" si="11">ROUND(SUM(V8:AA8),2)</f>
        <v>0</v>
      </c>
      <c r="AC8" s="92">
        <f>R8+IFERROR(VLOOKUP($E:$E,'（居民）工资表-4月'!$E:$AC,25,0),0)</f>
        <v>0</v>
      </c>
      <c r="AD8" s="97">
        <f t="shared" ref="AD8:AD19" si="12">ROUND(S8-T8-U8-AB8-AC8,2)</f>
        <v>16714.92</v>
      </c>
      <c r="AE8" s="98">
        <f>ROUND(MAX((AD8)*{0.03;0.1;0.2;0.25;0.3;0.35;0.45}-{0;2520;16920;31920;52920;85920;181920},0),2)</f>
        <v>501.45</v>
      </c>
      <c r="AF8" s="99">
        <f>IFERROR(VLOOKUP(E:E,'（居民）工资表-4月'!E:AF,28,0)+VLOOKUP(E:E,'（居民）工资表-4月'!E:AG,29,0),0)</f>
        <v>428.86</v>
      </c>
      <c r="AG8" s="99">
        <f t="shared" si="8"/>
        <v>72.59</v>
      </c>
      <c r="AH8" s="109">
        <f t="shared" si="9"/>
        <v>7347.05</v>
      </c>
      <c r="AI8" s="110"/>
      <c r="AJ8" s="109">
        <f t="shared" ref="AJ8:AJ19" si="13">AH8+AI8</f>
        <v>7347.05</v>
      </c>
      <c r="AK8" s="111"/>
      <c r="AL8" s="109">
        <f t="shared" ref="AL8:AL19" si="14">AJ8+AG8+AK8</f>
        <v>7419.64</v>
      </c>
      <c r="AM8" s="111"/>
      <c r="AN8" s="111"/>
      <c r="AO8" s="111"/>
      <c r="AP8" s="111"/>
      <c r="AQ8" s="111"/>
      <c r="AR8" s="118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8" t="str">
        <f t="shared" ref="AS8:AS16" si="16">IF(SUMPRODUCT(N(E$1:E$7=E8))&gt;1,"重复","不")</f>
        <v>不</v>
      </c>
      <c r="AT8" s="118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127" t="s">
        <v>144</v>
      </c>
      <c r="G9" s="39">
        <v>13973652684</v>
      </c>
      <c r="H9" s="40"/>
      <c r="I9" s="40"/>
      <c r="J9" s="70"/>
      <c r="K9" s="40"/>
      <c r="L9" s="71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10"/>
        <v>514.16</v>
      </c>
      <c r="R9" s="73">
        <v>0</v>
      </c>
      <c r="S9" s="92">
        <f>L9+IFERROR(VLOOKUP($E:$E,'（居民）工资表-4月'!$E:$S,15,0),0)</f>
        <v>32500</v>
      </c>
      <c r="T9" s="93">
        <f>5000+IFERROR(VLOOKUP($E:$E,'（居民）工资表-4月'!$E:$T,16,0),0)</f>
        <v>25000</v>
      </c>
      <c r="U9" s="93">
        <f>Q9+IFERROR(VLOOKUP($E:$E,'（居民）工资表-4月'!$E:$U,17,0),0)</f>
        <v>2659.17</v>
      </c>
      <c r="V9" s="73"/>
      <c r="W9" s="73"/>
      <c r="X9" s="73"/>
      <c r="Y9" s="73"/>
      <c r="Z9" s="73"/>
      <c r="AA9" s="73"/>
      <c r="AB9" s="92">
        <f t="shared" si="11"/>
        <v>0</v>
      </c>
      <c r="AC9" s="92">
        <f>R9+IFERROR(VLOOKUP($E:$E,'（居民）工资表-4月'!$E:$AC,25,0),0)</f>
        <v>0</v>
      </c>
      <c r="AD9" s="97">
        <f t="shared" si="12"/>
        <v>4840.83</v>
      </c>
      <c r="AE9" s="98">
        <f>ROUND(MAX((AD9)*{0.03;0.1;0.2;0.25;0.3;0.35;0.45}-{0;2520;16920;31920;52920;85920;181920},0),2)</f>
        <v>145.22</v>
      </c>
      <c r="AF9" s="99">
        <f>IFERROR(VLOOKUP(E:E,'（居民）工资表-4月'!E:AF,28,0)+VLOOKUP(E:E,'（居民）工资表-4月'!E:AG,29,0),0)</f>
        <v>115.65</v>
      </c>
      <c r="AG9" s="99">
        <f t="shared" si="8"/>
        <v>29.57</v>
      </c>
      <c r="AH9" s="109">
        <f t="shared" si="9"/>
        <v>5956.27</v>
      </c>
      <c r="AI9" s="110"/>
      <c r="AJ9" s="109">
        <f t="shared" si="13"/>
        <v>5956.27</v>
      </c>
      <c r="AK9" s="111"/>
      <c r="AL9" s="109">
        <f t="shared" si="14"/>
        <v>5985.84</v>
      </c>
      <c r="AM9" s="111"/>
      <c r="AN9" s="111"/>
      <c r="AO9" s="111"/>
      <c r="AP9" s="111"/>
      <c r="AQ9" s="111"/>
      <c r="AR9" s="118" t="str">
        <f t="shared" si="15"/>
        <v>正确</v>
      </c>
      <c r="AS9" s="118" t="str">
        <f t="shared" si="16"/>
        <v>不</v>
      </c>
      <c r="AT9" s="118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39" t="s">
        <v>165</v>
      </c>
      <c r="H10" s="40"/>
      <c r="I10" s="40"/>
      <c r="J10" s="70"/>
      <c r="K10" s="40"/>
      <c r="L10" s="71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10"/>
        <v>525.49</v>
      </c>
      <c r="R10" s="73">
        <v>0</v>
      </c>
      <c r="S10" s="92">
        <f>L10+IFERROR(VLOOKUP($E:$E,'（居民）工资表-4月'!$E:$S,15,0),0)</f>
        <v>16500</v>
      </c>
      <c r="T10" s="93">
        <f>5000+IFERROR(VLOOKUP($E:$E,'（居民）工资表-4月'!$E:$T,16,0),0)</f>
        <v>15000</v>
      </c>
      <c r="U10" s="93">
        <f>Q10+IFERROR(VLOOKUP($E:$E,'（居民）工资表-4月'!$E:$U,17,0),0)</f>
        <v>1576.47</v>
      </c>
      <c r="V10" s="73"/>
      <c r="W10" s="73"/>
      <c r="X10" s="73"/>
      <c r="Y10" s="73"/>
      <c r="Z10" s="73"/>
      <c r="AA10" s="73"/>
      <c r="AB10" s="92">
        <f t="shared" si="11"/>
        <v>0</v>
      </c>
      <c r="AC10" s="92">
        <f>R10+IFERROR(VLOOKUP($E:$E,'（居民）工资表-4月'!$E:$AC,25,0),0)</f>
        <v>0</v>
      </c>
      <c r="AD10" s="97">
        <f t="shared" si="12"/>
        <v>-76.47</v>
      </c>
      <c r="AE10" s="98">
        <f>ROUND(MAX((AD10)*{0.03;0.1;0.2;0.25;0.3;0.35;0.45}-{0;2520;16920;31920;52920;85920;181920},0),2)</f>
        <v>0</v>
      </c>
      <c r="AF10" s="99">
        <f>IFERROR(VLOOKUP(E:E,'（居民）工资表-4月'!E:AF,28,0)+VLOOKUP(E:E,'（居民）工资表-4月'!E:AG,29,0),0)</f>
        <v>0</v>
      </c>
      <c r="AG10" s="99">
        <f t="shared" si="8"/>
        <v>0</v>
      </c>
      <c r="AH10" s="109">
        <f t="shared" si="9"/>
        <v>4974.51</v>
      </c>
      <c r="AI10" s="110"/>
      <c r="AJ10" s="109">
        <f t="shared" si="13"/>
        <v>4974.51</v>
      </c>
      <c r="AK10" s="111"/>
      <c r="AL10" s="109">
        <f t="shared" si="14"/>
        <v>4974.51</v>
      </c>
      <c r="AM10" s="111"/>
      <c r="AN10" s="111"/>
      <c r="AO10" s="111"/>
      <c r="AP10" s="111"/>
      <c r="AQ10" s="111"/>
      <c r="AR10" s="118" t="str">
        <f t="shared" si="15"/>
        <v>正确</v>
      </c>
      <c r="AS10" s="118" t="str">
        <f t="shared" si="16"/>
        <v>不</v>
      </c>
      <c r="AT10" s="118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39" t="s">
        <v>170</v>
      </c>
      <c r="H11" s="40"/>
      <c r="I11" s="40"/>
      <c r="J11" s="70"/>
      <c r="K11" s="40"/>
      <c r="L11" s="71">
        <v>4598.8</v>
      </c>
      <c r="M11" s="72">
        <v>352</v>
      </c>
      <c r="N11" s="72">
        <v>109</v>
      </c>
      <c r="O11" s="72">
        <v>22</v>
      </c>
      <c r="P11" s="72">
        <v>109</v>
      </c>
      <c r="Q11" s="91">
        <f t="shared" si="10"/>
        <v>592</v>
      </c>
      <c r="R11" s="73">
        <v>0</v>
      </c>
      <c r="S11" s="92">
        <f>L11+IFERROR(VLOOKUP($E:$E,'（居民）工资表-4月'!$E:$S,15,0),0)</f>
        <v>22848.08</v>
      </c>
      <c r="T11" s="93">
        <f>5000+IFERROR(VLOOKUP($E:$E,'（居民）工资表-4月'!$E:$T,16,0),0)</f>
        <v>25000</v>
      </c>
      <c r="U11" s="93">
        <f>Q11+IFERROR(VLOOKUP($E:$E,'（居民）工资表-4月'!$E:$U,17,0),0)</f>
        <v>3037.72</v>
      </c>
      <c r="V11" s="73"/>
      <c r="W11" s="73"/>
      <c r="X11" s="73"/>
      <c r="Y11" s="73"/>
      <c r="Z11" s="73"/>
      <c r="AA11" s="73"/>
      <c r="AB11" s="92">
        <f t="shared" si="11"/>
        <v>0</v>
      </c>
      <c r="AC11" s="92">
        <f>R11+IFERROR(VLOOKUP($E:$E,'（居民）工资表-4月'!$E:$AC,25,0),0)</f>
        <v>0</v>
      </c>
      <c r="AD11" s="97">
        <f t="shared" si="12"/>
        <v>-5189.64</v>
      </c>
      <c r="AE11" s="98">
        <f>ROUND(MAX((AD11)*{0.03;0.1;0.2;0.25;0.3;0.35;0.45}-{0;2520;16920;31920;52920;85920;181920},0),2)</f>
        <v>0</v>
      </c>
      <c r="AF11" s="99">
        <f>IFERROR(VLOOKUP(E:E,'（居民）工资表-4月'!E:AF,28,0)+VLOOKUP(E:E,'（居民）工资表-4月'!E:AG,29,0),0)</f>
        <v>0</v>
      </c>
      <c r="AG11" s="99">
        <f t="shared" si="8"/>
        <v>0</v>
      </c>
      <c r="AH11" s="109">
        <f t="shared" si="9"/>
        <v>4006.8</v>
      </c>
      <c r="AI11" s="110"/>
      <c r="AJ11" s="109">
        <f t="shared" si="13"/>
        <v>4006.8</v>
      </c>
      <c r="AK11" s="111"/>
      <c r="AL11" s="109">
        <f t="shared" si="14"/>
        <v>4006.8</v>
      </c>
      <c r="AM11" s="111"/>
      <c r="AN11" s="111"/>
      <c r="AO11" s="111"/>
      <c r="AP11" s="111"/>
      <c r="AQ11" s="111"/>
      <c r="AR11" s="118" t="str">
        <f t="shared" si="15"/>
        <v>正确</v>
      </c>
      <c r="AS11" s="118" t="str">
        <f t="shared" si="16"/>
        <v>不</v>
      </c>
      <c r="AT11" s="118" t="str">
        <f t="shared" si="17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39">
        <v>18356553626</v>
      </c>
      <c r="H12" s="40"/>
      <c r="I12" s="40"/>
      <c r="J12" s="70"/>
      <c r="K12" s="40"/>
      <c r="L12" s="71">
        <v>7000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10"/>
        <v>535.21</v>
      </c>
      <c r="R12" s="73">
        <v>0</v>
      </c>
      <c r="S12" s="92">
        <f>L12+IFERROR(VLOOKUP($E:$E,'（居民）工资表-4月'!$E:$S,15,0),0)</f>
        <v>36918.18</v>
      </c>
      <c r="T12" s="93">
        <f>5000+IFERROR(VLOOKUP($E:$E,'（居民）工资表-4月'!$E:$T,16,0),0)</f>
        <v>25000</v>
      </c>
      <c r="U12" s="93">
        <f>Q12+IFERROR(VLOOKUP($E:$E,'（居民）工资表-4月'!$E:$U,17,0),0)</f>
        <v>2744.63</v>
      </c>
      <c r="V12" s="73"/>
      <c r="W12" s="73"/>
      <c r="X12" s="73"/>
      <c r="Y12" s="73"/>
      <c r="Z12" s="73"/>
      <c r="AA12" s="73"/>
      <c r="AB12" s="92">
        <f t="shared" si="11"/>
        <v>0</v>
      </c>
      <c r="AC12" s="92">
        <f>R12+IFERROR(VLOOKUP($E:$E,'（居民）工资表-4月'!$E:$AC,25,0),0)</f>
        <v>0</v>
      </c>
      <c r="AD12" s="97">
        <f t="shared" si="12"/>
        <v>9173.55</v>
      </c>
      <c r="AE12" s="98">
        <f>ROUND(MAX((AD12)*{0.03;0.1;0.2;0.25;0.3;0.35;0.45}-{0;2520;16920;31920;52920;85920;181920},0),2)</f>
        <v>275.21</v>
      </c>
      <c r="AF12" s="99">
        <f>IFERROR(VLOOKUP(E:E,'（居民）工资表-4月'!E:AF,28,0)+VLOOKUP(E:E,'（居民）工资表-4月'!E:AG,29,0),0)</f>
        <v>231.26</v>
      </c>
      <c r="AG12" s="99">
        <f t="shared" si="8"/>
        <v>43.95</v>
      </c>
      <c r="AH12" s="109">
        <f t="shared" si="9"/>
        <v>6420.84</v>
      </c>
      <c r="AI12" s="110"/>
      <c r="AJ12" s="109">
        <f t="shared" si="13"/>
        <v>6420.84</v>
      </c>
      <c r="AK12" s="111"/>
      <c r="AL12" s="109">
        <f t="shared" si="14"/>
        <v>6464.79</v>
      </c>
      <c r="AM12" s="111"/>
      <c r="AN12" s="111"/>
      <c r="AO12" s="111"/>
      <c r="AP12" s="111"/>
      <c r="AQ12" s="111"/>
      <c r="AR12" s="118" t="str">
        <f t="shared" si="15"/>
        <v>正确</v>
      </c>
      <c r="AS12" s="118" t="str">
        <f t="shared" si="16"/>
        <v>不</v>
      </c>
      <c r="AT12" s="118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39">
        <v>18326897140</v>
      </c>
      <c r="H13" s="40"/>
      <c r="I13" s="40"/>
      <c r="J13" s="70"/>
      <c r="K13" s="40"/>
      <c r="L13" s="71">
        <v>5500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10"/>
        <v>580.36</v>
      </c>
      <c r="R13" s="73">
        <v>0</v>
      </c>
      <c r="S13" s="92">
        <f>L13+IFERROR(VLOOKUP($E:$E,'（居民）工资表-4月'!$E:$S,15,0),0)</f>
        <v>29650</v>
      </c>
      <c r="T13" s="93">
        <f>5000+IFERROR(VLOOKUP($E:$E,'（居民）工资表-4月'!$E:$T,16,0),0)</f>
        <v>25000</v>
      </c>
      <c r="U13" s="93">
        <f>Q13+IFERROR(VLOOKUP($E:$E,'（居民）工资表-4月'!$E:$U,17,0),0)</f>
        <v>3285.08</v>
      </c>
      <c r="V13" s="73"/>
      <c r="W13" s="73"/>
      <c r="X13" s="73"/>
      <c r="Y13" s="73"/>
      <c r="Z13" s="73"/>
      <c r="AA13" s="73"/>
      <c r="AB13" s="92">
        <f t="shared" si="11"/>
        <v>0</v>
      </c>
      <c r="AC13" s="92">
        <f>R13+IFERROR(VLOOKUP($E:$E,'（居民）工资表-4月'!$E:$AC,25,0),0)</f>
        <v>0</v>
      </c>
      <c r="AD13" s="97">
        <f t="shared" si="12"/>
        <v>1364.92</v>
      </c>
      <c r="AE13" s="98">
        <f>ROUND(MAX((AD13)*{0.03;0.1;0.2;0.25;0.3;0.35;0.45}-{0;2520;16920;31920;52920;85920;181920},0),2)</f>
        <v>40.95</v>
      </c>
      <c r="AF13" s="99">
        <f>IFERROR(VLOOKUP(E:E,'（居民）工资表-4月'!E:AF,28,0)+VLOOKUP(E:E,'（居民）工资表-4月'!E:AG,29,0),0)</f>
        <v>73.68</v>
      </c>
      <c r="AG13" s="99">
        <f t="shared" si="8"/>
        <v>0</v>
      </c>
      <c r="AH13" s="109">
        <f t="shared" si="9"/>
        <v>4919.64</v>
      </c>
      <c r="AI13" s="110"/>
      <c r="AJ13" s="109">
        <f t="shared" si="13"/>
        <v>4919.64</v>
      </c>
      <c r="AK13" s="111"/>
      <c r="AL13" s="109">
        <f t="shared" si="14"/>
        <v>4919.64</v>
      </c>
      <c r="AM13" s="111"/>
      <c r="AN13" s="111"/>
      <c r="AO13" s="111"/>
      <c r="AP13" s="111"/>
      <c r="AQ13" s="111"/>
      <c r="AR13" s="118" t="str">
        <f t="shared" si="15"/>
        <v>正确</v>
      </c>
      <c r="AS13" s="118" t="str">
        <f t="shared" si="16"/>
        <v>不</v>
      </c>
      <c r="AT13" s="118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39">
        <v>17201857014</v>
      </c>
      <c r="H14" s="40"/>
      <c r="I14" s="40"/>
      <c r="J14" s="70"/>
      <c r="K14" s="40"/>
      <c r="L14" s="71">
        <v>5500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10"/>
        <v>580.36</v>
      </c>
      <c r="R14" s="73">
        <v>0</v>
      </c>
      <c r="S14" s="92">
        <f>L14+IFERROR(VLOOKUP($E:$E,'（居民）工资表-4月'!$E:$S,15,0),0)</f>
        <v>30358.7</v>
      </c>
      <c r="T14" s="93">
        <f>5000+IFERROR(VLOOKUP($E:$E,'（居民）工资表-4月'!$E:$T,16,0),0)</f>
        <v>25000</v>
      </c>
      <c r="U14" s="93">
        <f>Q14+IFERROR(VLOOKUP($E:$E,'（居民）工资表-4月'!$E:$U,17,0),0)</f>
        <v>3285.08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R14+IFERROR(VLOOKUP($E:$E,'（居民）工资表-4月'!$E:$AC,25,0),0)</f>
        <v>0</v>
      </c>
      <c r="AD14" s="97">
        <f t="shared" si="12"/>
        <v>2073.62</v>
      </c>
      <c r="AE14" s="98">
        <f>ROUND(MAX((AD14)*{0.03;0.1;0.2;0.25;0.3;0.35;0.45}-{0;2520;16920;31920;52920;85920;181920},0),2)</f>
        <v>62.21</v>
      </c>
      <c r="AF14" s="99">
        <f>IFERROR(VLOOKUP(E:E,'（居民）工资表-4月'!E:AF,28,0)+VLOOKUP(E:E,'（居民）工资表-4月'!E:AG,29,0),0)</f>
        <v>91.94</v>
      </c>
      <c r="AG14" s="99">
        <f t="shared" si="8"/>
        <v>0</v>
      </c>
      <c r="AH14" s="109">
        <f t="shared" si="9"/>
        <v>4919.64</v>
      </c>
      <c r="AI14" s="110"/>
      <c r="AJ14" s="109">
        <f t="shared" si="13"/>
        <v>4919.64</v>
      </c>
      <c r="AK14" s="111"/>
      <c r="AL14" s="109">
        <f t="shared" si="14"/>
        <v>4919.64</v>
      </c>
      <c r="AM14" s="111"/>
      <c r="AN14" s="111"/>
      <c r="AO14" s="111"/>
      <c r="AP14" s="111"/>
      <c r="AQ14" s="111"/>
      <c r="AR14" s="118" t="str">
        <f t="shared" si="15"/>
        <v>正确</v>
      </c>
      <c r="AS14" s="118" t="str">
        <f t="shared" si="16"/>
        <v>不</v>
      </c>
      <c r="AT14" s="118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39" t="s">
        <v>181</v>
      </c>
      <c r="H15" s="40"/>
      <c r="I15" s="40"/>
      <c r="J15" s="70"/>
      <c r="K15" s="40"/>
      <c r="L15" s="71">
        <v>7000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10"/>
        <v>535.21</v>
      </c>
      <c r="R15" s="73">
        <v>0</v>
      </c>
      <c r="S15" s="92">
        <f>L15+IFERROR(VLOOKUP($E:$E,'（居民）工资表-4月'!$E:$S,15,0),0)</f>
        <v>34109.09</v>
      </c>
      <c r="T15" s="93">
        <f>5000+IFERROR(VLOOKUP($E:$E,'（居民）工资表-4月'!$E:$T,16,0),0)</f>
        <v>25000</v>
      </c>
      <c r="U15" s="93">
        <f>Q15+IFERROR(VLOOKUP($E:$E,'（居民）工资表-4月'!$E:$U,17,0),0)</f>
        <v>2744.63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R15+IFERROR(VLOOKUP($E:$E,'（居民）工资表-4月'!$E:$AC,25,0),0)</f>
        <v>0</v>
      </c>
      <c r="AD15" s="97">
        <f t="shared" si="12"/>
        <v>6364.46</v>
      </c>
      <c r="AE15" s="98">
        <f>ROUND(MAX((AD15)*{0.03;0.1;0.2;0.25;0.3;0.35;0.45}-{0;2520;16920;31920;52920;85920;181920},0),2)</f>
        <v>190.93</v>
      </c>
      <c r="AF15" s="99">
        <f>IFERROR(VLOOKUP(E:E,'（居民）工资表-4月'!E:AF,28,0)+VLOOKUP(E:E,'（居民）工资表-4月'!E:AG,29,0),0)</f>
        <v>146.99</v>
      </c>
      <c r="AG15" s="99">
        <f t="shared" si="8"/>
        <v>43.94</v>
      </c>
      <c r="AH15" s="109">
        <f t="shared" si="9"/>
        <v>6420.85</v>
      </c>
      <c r="AI15" s="110"/>
      <c r="AJ15" s="109">
        <f t="shared" si="13"/>
        <v>6420.85</v>
      </c>
      <c r="AK15" s="111"/>
      <c r="AL15" s="109">
        <f t="shared" si="14"/>
        <v>6464.79</v>
      </c>
      <c r="AM15" s="111"/>
      <c r="AN15" s="111"/>
      <c r="AO15" s="111"/>
      <c r="AP15" s="111"/>
      <c r="AQ15" s="111"/>
      <c r="AR15" s="118" t="str">
        <f t="shared" si="15"/>
        <v>正确</v>
      </c>
      <c r="AS15" s="118" t="str">
        <f t="shared" si="16"/>
        <v>不</v>
      </c>
      <c r="AT15" s="118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39">
        <v>15855788591</v>
      </c>
      <c r="H16" s="40"/>
      <c r="I16" s="40"/>
      <c r="J16" s="70"/>
      <c r="K16" s="40"/>
      <c r="L16" s="71">
        <v>6060</v>
      </c>
      <c r="M16" s="72">
        <v>306.56</v>
      </c>
      <c r="N16" s="72">
        <v>84.64</v>
      </c>
      <c r="O16" s="72">
        <v>19.16</v>
      </c>
      <c r="P16" s="72">
        <v>162</v>
      </c>
      <c r="Q16" s="91">
        <f t="shared" si="10"/>
        <v>572.36</v>
      </c>
      <c r="R16" s="73">
        <v>0</v>
      </c>
      <c r="S16" s="92">
        <f>L16+IFERROR(VLOOKUP($E:$E,'（居民）工资表-4月'!$E:$S,15,0),0)</f>
        <v>28673.74</v>
      </c>
      <c r="T16" s="93">
        <f>5000+IFERROR(VLOOKUP($E:$E,'（居民）工资表-4月'!$E:$T,16,0),0)</f>
        <v>25000</v>
      </c>
      <c r="U16" s="93">
        <f>Q16+IFERROR(VLOOKUP($E:$E,'（居民）工资表-4月'!$E:$U,17,0),0)</f>
        <v>2598.5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R16+IFERROR(VLOOKUP($E:$E,'（居民）工资表-4月'!$E:$AC,25,0),0)</f>
        <v>0</v>
      </c>
      <c r="AD16" s="97">
        <f t="shared" si="12"/>
        <v>1075.24</v>
      </c>
      <c r="AE16" s="98">
        <f>ROUND(MAX((AD16)*{0.03;0.1;0.2;0.25;0.3;0.35;0.45}-{0;2520;16920;31920;52920;85920;181920},0),2)</f>
        <v>32.26</v>
      </c>
      <c r="AF16" s="99">
        <f>IFERROR(VLOOKUP(E:E,'（居民）工资表-4月'!E:AF,28,0)+VLOOKUP(E:E,'（居民）工资表-4月'!E:AG,29,0),0)</f>
        <v>47.59</v>
      </c>
      <c r="AG16" s="99">
        <f t="shared" si="8"/>
        <v>0</v>
      </c>
      <c r="AH16" s="109">
        <f t="shared" si="9"/>
        <v>5487.64</v>
      </c>
      <c r="AI16" s="110"/>
      <c r="AJ16" s="109">
        <f t="shared" si="13"/>
        <v>5487.64</v>
      </c>
      <c r="AK16" s="111"/>
      <c r="AL16" s="109">
        <f t="shared" si="14"/>
        <v>5487.64</v>
      </c>
      <c r="AM16" s="111"/>
      <c r="AN16" s="111"/>
      <c r="AO16" s="111"/>
      <c r="AP16" s="111"/>
      <c r="AQ16" s="111"/>
      <c r="AR16" s="118" t="str">
        <f t="shared" si="15"/>
        <v>正确</v>
      </c>
      <c r="AS16" s="118" t="str">
        <f t="shared" si="16"/>
        <v>不</v>
      </c>
      <c r="AT16" s="118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39">
        <v>13873717760</v>
      </c>
      <c r="H17" s="40"/>
      <c r="I17" s="40"/>
      <c r="J17" s="70"/>
      <c r="K17" s="40"/>
      <c r="L17" s="71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10"/>
        <v>589.16</v>
      </c>
      <c r="R17" s="73">
        <v>0</v>
      </c>
      <c r="S17" s="92">
        <f>L17+IFERROR(VLOOKUP($E:$E,'（居民）工资表-4月'!$E:$S,15,0),0)</f>
        <v>17405</v>
      </c>
      <c r="T17" s="93">
        <f>5000+IFERROR(VLOOKUP($E:$E,'（居民）工资表-4月'!$E:$T,16,0),0)</f>
        <v>15000</v>
      </c>
      <c r="U17" s="93">
        <f>Q17+IFERROR(VLOOKUP($E:$E,'（居民）工资表-4月'!$E:$U,17,0),0)</f>
        <v>1973.59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R17+IFERROR(VLOOKUP($E:$E,'（居民）工资表-4月'!$E:$AC,25,0),0)</f>
        <v>0</v>
      </c>
      <c r="AD17" s="97">
        <f t="shared" si="12"/>
        <v>431.41</v>
      </c>
      <c r="AE17" s="98">
        <f>ROUND(MAX((AD17)*{0.03;0.1;0.2;0.25;0.3;0.35;0.45}-{0;2520;16920;31920;52920;85920;181920},0),2)</f>
        <v>12.94</v>
      </c>
      <c r="AF17" s="99">
        <f>IFERROR(VLOOKUP(E:E,'（居民）工资表-4月'!E:AF,28,0)+VLOOKUP(E:E,'（居民）工资表-4月'!E:AG,29,0),0)</f>
        <v>0</v>
      </c>
      <c r="AG17" s="99">
        <f t="shared" si="8"/>
        <v>12.94</v>
      </c>
      <c r="AH17" s="109">
        <f t="shared" si="9"/>
        <v>5957.9</v>
      </c>
      <c r="AI17" s="110"/>
      <c r="AJ17" s="109">
        <f t="shared" si="13"/>
        <v>5957.9</v>
      </c>
      <c r="AK17" s="111"/>
      <c r="AL17" s="109">
        <f t="shared" si="14"/>
        <v>5970.84</v>
      </c>
      <c r="AM17" s="111"/>
      <c r="AN17" s="111"/>
      <c r="AO17" s="111"/>
      <c r="AP17" s="111"/>
      <c r="AQ17" s="111"/>
      <c r="AR17" s="118" t="str">
        <f t="shared" si="15"/>
        <v>正确</v>
      </c>
      <c r="AS17" s="118" t="str">
        <f>IF(SUMPRODUCT(N(E$1:E$7=E17))&gt;1,"重复","不")</f>
        <v>不</v>
      </c>
      <c r="AT17" s="118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8" t="s">
        <v>187</v>
      </c>
      <c r="F18" s="38" t="s">
        <v>148</v>
      </c>
      <c r="G18" s="39"/>
      <c r="H18" s="40"/>
      <c r="I18" s="40"/>
      <c r="J18" s="70"/>
      <c r="K18" s="40"/>
      <c r="L18" s="71">
        <v>2836.37</v>
      </c>
      <c r="M18" s="72">
        <v>613.12</v>
      </c>
      <c r="N18" s="72">
        <v>153.28</v>
      </c>
      <c r="O18" s="72">
        <v>38.32</v>
      </c>
      <c r="P18" s="72">
        <v>206</v>
      </c>
      <c r="Q18" s="91">
        <f t="shared" si="10"/>
        <v>1010.72</v>
      </c>
      <c r="R18" s="73">
        <v>0</v>
      </c>
      <c r="S18" s="92">
        <f>L18+IFERROR(VLOOKUP($E:$E,'（居民）工资表-4月'!$E:$S,15,0),0)</f>
        <v>2836.37</v>
      </c>
      <c r="T18" s="93">
        <f>5000+IFERROR(VLOOKUP($E:$E,'（居民）工资表-4月'!$E:$T,16,0),0)</f>
        <v>5000</v>
      </c>
      <c r="U18" s="93">
        <f>Q18+IFERROR(VLOOKUP($E:$E,'（居民）工资表-4月'!$E:$U,17,0),0)</f>
        <v>1010.72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R18+IFERROR(VLOOKUP($E:$E,'（居民）工资表-4月'!$E:$AC,25,0),0)</f>
        <v>0</v>
      </c>
      <c r="AD18" s="97">
        <f t="shared" si="12"/>
        <v>-3174.35</v>
      </c>
      <c r="AE18" s="98">
        <f>ROUND(MAX((AD18)*{0.03;0.1;0.2;0.25;0.3;0.35;0.45}-{0;2520;16920;31920;52920;85920;181920},0),2)</f>
        <v>0</v>
      </c>
      <c r="AF18" s="99">
        <f>IFERROR(VLOOKUP(E:E,'（居民）工资表-4月'!E:AF,28,0)+VLOOKUP(E:E,'（居民）工资表-4月'!E:AG,29,0),0)</f>
        <v>0</v>
      </c>
      <c r="AG18" s="99">
        <f t="shared" si="8"/>
        <v>0</v>
      </c>
      <c r="AH18" s="109">
        <f t="shared" si="9"/>
        <v>1825.65</v>
      </c>
      <c r="AI18" s="110"/>
      <c r="AJ18" s="109">
        <f t="shared" si="13"/>
        <v>1825.65</v>
      </c>
      <c r="AK18" s="111"/>
      <c r="AL18" s="109">
        <f t="shared" si="14"/>
        <v>1825.65</v>
      </c>
      <c r="AM18" s="111"/>
      <c r="AN18" s="111"/>
      <c r="AO18" s="111"/>
      <c r="AP18" s="111"/>
      <c r="AQ18" s="111"/>
      <c r="AR18" s="118" t="str">
        <f t="shared" si="15"/>
        <v>正确</v>
      </c>
      <c r="AS18" s="118" t="str">
        <f>IF(SUMPRODUCT(N(E$1:E$7=E18))&gt;1,"重复","不")</f>
        <v>不</v>
      </c>
      <c r="AT18" s="118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192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Q20" si="18">SUM(L4:L18)</f>
        <v>115815.17</v>
      </c>
      <c r="M20" s="76">
        <f t="shared" si="18"/>
        <v>5243.7</v>
      </c>
      <c r="N20" s="76">
        <f t="shared" si="18"/>
        <v>1482.54</v>
      </c>
      <c r="O20" s="76">
        <f t="shared" si="18"/>
        <v>286.22</v>
      </c>
      <c r="P20" s="76">
        <f t="shared" si="18"/>
        <v>2202.3</v>
      </c>
      <c r="Q20" s="76">
        <f t="shared" si="18"/>
        <v>9214.76</v>
      </c>
      <c r="R20" s="76">
        <f t="shared" ref="R20:AL20" si="19">SUM(R4:R18)</f>
        <v>0</v>
      </c>
      <c r="S20" s="76">
        <f t="shared" si="19"/>
        <v>552599.16</v>
      </c>
      <c r="T20" s="76">
        <f t="shared" si="19"/>
        <v>335000</v>
      </c>
      <c r="U20" s="76">
        <f t="shared" si="19"/>
        <v>41662.18</v>
      </c>
      <c r="V20" s="76">
        <f t="shared" si="19"/>
        <v>0</v>
      </c>
      <c r="W20" s="76">
        <f t="shared" si="19"/>
        <v>0</v>
      </c>
      <c r="X20" s="76">
        <f t="shared" si="19"/>
        <v>0</v>
      </c>
      <c r="Y20" s="76">
        <f t="shared" si="19"/>
        <v>0</v>
      </c>
      <c r="Z20" s="76">
        <f t="shared" si="19"/>
        <v>0</v>
      </c>
      <c r="AA20" s="76">
        <f t="shared" si="19"/>
        <v>0</v>
      </c>
      <c r="AB20" s="76">
        <f t="shared" si="19"/>
        <v>0</v>
      </c>
      <c r="AC20" s="76">
        <f t="shared" si="19"/>
        <v>0</v>
      </c>
      <c r="AD20" s="76">
        <f t="shared" si="19"/>
        <v>175936.98</v>
      </c>
      <c r="AE20" s="76">
        <f t="shared" si="19"/>
        <v>11467.69</v>
      </c>
      <c r="AF20" s="76">
        <f t="shared" si="19"/>
        <v>8804.09</v>
      </c>
      <c r="AG20" s="76">
        <f t="shared" si="19"/>
        <v>2741.39</v>
      </c>
      <c r="AH20" s="76">
        <f t="shared" si="19"/>
        <v>103859.02</v>
      </c>
      <c r="AI20" s="76">
        <f t="shared" si="19"/>
        <v>0</v>
      </c>
      <c r="AJ20" s="76">
        <f t="shared" si="19"/>
        <v>103859.02</v>
      </c>
      <c r="AK20" s="76">
        <f t="shared" si="19"/>
        <v>0</v>
      </c>
      <c r="AL20" s="76">
        <f t="shared" si="19"/>
        <v>106600.41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3">
      <c r="B24" s="48" t="s">
        <v>131</v>
      </c>
      <c r="C24" s="48" t="s">
        <v>193</v>
      </c>
      <c r="D24" s="48" t="s">
        <v>22</v>
      </c>
      <c r="E24" s="48" t="s">
        <v>23</v>
      </c>
      <c r="AD24" s="10"/>
      <c r="AG24" s="19"/>
    </row>
    <row r="25" ht="18.75" customHeight="1" spans="2:5">
      <c r="B25" s="49">
        <f>AJ20</f>
        <v>103859.02</v>
      </c>
      <c r="C25" s="49">
        <f>AG20</f>
        <v>2741.39</v>
      </c>
      <c r="D25" s="49">
        <f>AK20</f>
        <v>0</v>
      </c>
      <c r="E25" s="49">
        <f>B25+C25</f>
        <v>106600.41</v>
      </c>
    </row>
    <row r="26" spans="2:5">
      <c r="B26" s="50"/>
      <c r="C26" s="50"/>
      <c r="D26" s="50"/>
      <c r="E26" s="50"/>
    </row>
    <row r="27" s="14" customFormat="1" spans="1:35">
      <c r="A27" s="52" t="s">
        <v>194</v>
      </c>
      <c r="B27" s="53" t="s">
        <v>195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196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197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198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199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200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201</v>
      </c>
    </row>
    <row r="35" spans="2:2">
      <c r="B35" s="60" t="s">
        <v>202</v>
      </c>
    </row>
    <row r="36" spans="2:2">
      <c r="B36" s="60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E18">
    <cfRule type="duplicateValues" dxfId="4" priority="4"/>
    <cfRule type="duplicateValues" dxfId="4" priority="3"/>
    <cfRule type="duplicateValues" dxfId="4" priority="2" stopIfTrue="1"/>
    <cfRule type="duplicateValues" dxfId="4" priority="1"/>
  </conditionalFormatting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T14" sqref="T1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>ROUND(SUM(M4:P4),2)</f>
        <v>560.99</v>
      </c>
      <c r="R4" s="73">
        <v>0</v>
      </c>
      <c r="S4" s="92">
        <f>L4+IFERROR(VLOOKUP($E:$E,'（居民）工资表-5月'!$E:$S,15,0),0)</f>
        <v>48000</v>
      </c>
      <c r="T4" s="93">
        <f>5000+IFERROR(VLOOKUP($E:$E,'（居民）工资表-5月'!$E:$T,16,0),0)</f>
        <v>30000</v>
      </c>
      <c r="U4" s="93">
        <f>Q4+IFERROR(VLOOKUP($E:$E,'（居民）工资表-5月'!$E:$U,17,0),0)</f>
        <v>3804.36</v>
      </c>
      <c r="V4" s="73"/>
      <c r="W4" s="73"/>
      <c r="X4" s="73"/>
      <c r="Y4" s="73"/>
      <c r="Z4" s="73"/>
      <c r="AA4" s="73"/>
      <c r="AB4" s="92">
        <f>ROUND(SUM(V4:AA4),2)</f>
        <v>0</v>
      </c>
      <c r="AC4" s="92">
        <f>R4+IFERROR(VLOOKUP($E:$E,'（居民）工资表-5月'!$E:$AC,25,0),0)</f>
        <v>0</v>
      </c>
      <c r="AD4" s="97">
        <f>ROUND(S4-T4-U4-AB4-AC4,2)</f>
        <v>14195.64</v>
      </c>
      <c r="AE4" s="98">
        <f>ROUND(MAX((AD4)*{0.03;0.1;0.2;0.25;0.3;0.35;0.45}-{0;2520;16920;31920;52920;85920;181920},0),2)</f>
        <v>425.87</v>
      </c>
      <c r="AF4" s="99">
        <f>IFERROR(VLOOKUP(E:E,'（居民）工资表-5月'!E:AF,28,0)+VLOOKUP(E:E,'（居民）工资表-5月'!E:AG,29,0),0)</f>
        <v>352.7</v>
      </c>
      <c r="AG4" s="99">
        <f>IF((AE4-AF4)&lt;0,0,AE4-AF4)</f>
        <v>73.17</v>
      </c>
      <c r="AH4" s="109">
        <f>ROUND(IF((L4-Q4-AG4)&lt;0,0,(L4-Q4-AG4)),2)</f>
        <v>7365.84</v>
      </c>
      <c r="AI4" s="110"/>
      <c r="AJ4" s="109">
        <f>AH4+AI4</f>
        <v>7365.84</v>
      </c>
      <c r="AK4" s="111"/>
      <c r="AL4" s="109">
        <f>AJ4+AG4+AK4</f>
        <v>7439.01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IF(SUMPRODUCT(N(E$1:E$19=E4))&gt;1,"重复","不")</f>
        <v>不</v>
      </c>
      <c r="AT4" s="118" t="str">
        <f>IF(SUMPRODUCT(N(AO$1:AO$19=AO4))&gt;1,"重复","不")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>ROUND(SUM(M5:P5),2)</f>
        <v>600.12</v>
      </c>
      <c r="R5" s="73">
        <v>0</v>
      </c>
      <c r="S5" s="92">
        <f>L5+IFERROR(VLOOKUP($E:$E,'（居民）工资表-5月'!$E:$S,15,0),0)</f>
        <v>34200</v>
      </c>
      <c r="T5" s="93">
        <f>5000+IFERROR(VLOOKUP($E:$E,'（居民）工资表-5月'!$E:$T,16,0),0)</f>
        <v>30000</v>
      </c>
      <c r="U5" s="93">
        <f>Q5+IFERROR(VLOOKUP($E:$E,'（居民）工资表-5月'!$E:$U,17,0),0)</f>
        <v>3724.96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R5+IFERROR(VLOOKUP($E:$E,'（居民）工资表-5月'!$E:$AC,25,0),0)</f>
        <v>0</v>
      </c>
      <c r="AD5" s="97">
        <f>ROUND(S5-T5-U5-AB5-AC5,2)</f>
        <v>475.04</v>
      </c>
      <c r="AE5" s="98">
        <f>ROUND(MAX((AD5)*{0.03;0.1;0.2;0.25;0.3;0.35;0.45}-{0;2520;16920;31920;52920;85920;181920},0),2)</f>
        <v>14.25</v>
      </c>
      <c r="AF5" s="99">
        <f>IFERROR(VLOOKUP(E:E,'（居民）工资表-5月'!E:AF,28,0)+VLOOKUP(E:E,'（居民）工资表-5月'!E:AG,29,0),0)</f>
        <v>11.25</v>
      </c>
      <c r="AG5" s="99">
        <f>IF((AE5-AF5)&lt;0,0,AE5-AF5)</f>
        <v>3</v>
      </c>
      <c r="AH5" s="109">
        <f>ROUND(IF((L5-Q5-AG5)&lt;0,0,(L5-Q5-AG5)),2)</f>
        <v>5096.88</v>
      </c>
      <c r="AI5" s="110"/>
      <c r="AJ5" s="109">
        <f>AH5+AI5</f>
        <v>5096.88</v>
      </c>
      <c r="AK5" s="111"/>
      <c r="AL5" s="109">
        <f>AJ5+AG5+AK5</f>
        <v>5099.88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IF(SUMPRODUCT(N(E$1:E$19=E5))&gt;1,"重复","不")</f>
        <v>不</v>
      </c>
      <c r="AT5" s="118" t="str">
        <f>IF(SUMPRODUCT(N(AO$1:AO$19=AO5))&gt;1,"重复","不")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>ROUND(SUM(M6:P6),2)</f>
        <v>865.9</v>
      </c>
      <c r="R6" s="73">
        <v>0</v>
      </c>
      <c r="S6" s="92">
        <f>L6+IFERROR(VLOOKUP($E:$E,'（居民）工资表-5月'!$E:$S,15,0),0)</f>
        <v>180360</v>
      </c>
      <c r="T6" s="93">
        <f>5000+IFERROR(VLOOKUP($E:$E,'（居民）工资表-5月'!$E:$T,16,0),0)</f>
        <v>30000</v>
      </c>
      <c r="U6" s="93">
        <f>Q6+IFERROR(VLOOKUP($E:$E,'（居民）工资表-5月'!$E:$U,17,0),0)</f>
        <v>5360.7</v>
      </c>
      <c r="V6" s="73"/>
      <c r="W6" s="73"/>
      <c r="X6" s="73"/>
      <c r="Y6" s="73"/>
      <c r="Z6" s="73"/>
      <c r="AA6" s="73"/>
      <c r="AB6" s="92">
        <f>ROUND(SUM(V6:AA6),2)</f>
        <v>0</v>
      </c>
      <c r="AC6" s="92">
        <f>R6+IFERROR(VLOOKUP($E:$E,'（居民）工资表-5月'!$E:$AC,25,0),0)</f>
        <v>0</v>
      </c>
      <c r="AD6" s="97">
        <f>ROUND(S6-T6-U6-AB6-AC6,2)</f>
        <v>144999.3</v>
      </c>
      <c r="AE6" s="98">
        <f>ROUND(MAX((AD6)*{0.03;0.1;0.2;0.25;0.3;0.35;0.45}-{0;2520;16920;31920;52920;85920;181920},0),2)</f>
        <v>12079.86</v>
      </c>
      <c r="AF6" s="99">
        <f>IFERROR(VLOOKUP(E:E,'（居民）工资表-5月'!E:AF,28,0)+VLOOKUP(E:E,'（居民）工资表-5月'!E:AG,29,0),0)</f>
        <v>9560.52</v>
      </c>
      <c r="AG6" s="99">
        <f>IF((AE6-AF6)&lt;0,0,AE6-AF6)</f>
        <v>2519.34</v>
      </c>
      <c r="AH6" s="109">
        <f>ROUND(IF((L6-Q6-AG6)&lt;0,0,(L6-Q6-AG6)),2)</f>
        <v>26674.76</v>
      </c>
      <c r="AI6" s="110"/>
      <c r="AJ6" s="109">
        <f>AH6+AI6</f>
        <v>26674.76</v>
      </c>
      <c r="AK6" s="111"/>
      <c r="AL6" s="109">
        <f>AJ6+AG6+AK6</f>
        <v>29194.1</v>
      </c>
      <c r="AM6" s="111"/>
      <c r="AN6" s="111"/>
      <c r="AO6" s="111"/>
      <c r="AP6" s="111"/>
      <c r="AQ6" s="111"/>
      <c r="AR6" s="11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>IF(SUMPRODUCT(N(E$1:E$19=E6))&gt;1,"重复","不")</f>
        <v>不</v>
      </c>
      <c r="AT6" s="118" t="str">
        <f>IF(SUMPRODUCT(N(AO$1:AO$19=AO6))&gt;1,"重复","不")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7000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ref="Q7:Q18" si="0">ROUND(SUM(M7:P7),2)</f>
        <v>507.36</v>
      </c>
      <c r="R7" s="73">
        <v>0</v>
      </c>
      <c r="S7" s="92">
        <f>L7+IFERROR(VLOOKUP($E:$E,'（居民）工资表-5月'!$E:$S,15,0),0)</f>
        <v>44000</v>
      </c>
      <c r="T7" s="93">
        <f>5000+IFERROR(VLOOKUP($E:$E,'（居民）工资表-5月'!$E:$T,16,0),0)</f>
        <v>30000</v>
      </c>
      <c r="U7" s="93">
        <f>Q7+IFERROR(VLOOKUP($E:$E,'（居民）工资表-5月'!$E:$U,17,0),0)</f>
        <v>3105.86</v>
      </c>
      <c r="V7" s="73"/>
      <c r="W7" s="73"/>
      <c r="X7" s="73"/>
      <c r="Y7" s="73"/>
      <c r="Z7" s="73"/>
      <c r="AA7" s="73"/>
      <c r="AB7" s="92">
        <f t="shared" ref="AB7:AB18" si="1">ROUND(SUM(V7:AA7),2)</f>
        <v>0</v>
      </c>
      <c r="AC7" s="92">
        <f>R7+IFERROR(VLOOKUP($E:$E,'（居民）工资表-5月'!$E:$AC,25,0),0)</f>
        <v>0</v>
      </c>
      <c r="AD7" s="97">
        <f t="shared" ref="AD7:AD18" si="2">ROUND(S7-T7-U7-AB7-AC7,2)</f>
        <v>10894.14</v>
      </c>
      <c r="AE7" s="98">
        <f>ROUND(MAX((AD7)*{0.03;0.1;0.2;0.25;0.3;0.35;0.45}-{0;2520;16920;31920;52920;85920;181920},0),2)</f>
        <v>326.82</v>
      </c>
      <c r="AF7" s="99">
        <f>IFERROR(VLOOKUP(E:E,'（居民）工资表-5月'!E:AF,28,0)+VLOOKUP(E:E,'（居民）工资表-5月'!E:AG,29,0),0)</f>
        <v>282.05</v>
      </c>
      <c r="AG7" s="99">
        <f t="shared" ref="AG7:AG18" si="3">IF((AE7-AF7)&lt;0,0,AE7-AF7)</f>
        <v>44.77</v>
      </c>
      <c r="AH7" s="109">
        <f t="shared" ref="AH7:AH18" si="4">ROUND(IF((L7-Q7-AG7)&lt;0,0,(L7-Q7-AG7)),2)</f>
        <v>6447.87</v>
      </c>
      <c r="AI7" s="110"/>
      <c r="AJ7" s="109">
        <f t="shared" ref="AJ7:AJ18" si="5">AH7+AI7</f>
        <v>6447.87</v>
      </c>
      <c r="AK7" s="111"/>
      <c r="AL7" s="109">
        <f t="shared" ref="AL7:AL18" si="6">AJ7+AG7+AK7</f>
        <v>6492.64</v>
      </c>
      <c r="AM7" s="111"/>
      <c r="AN7" s="111"/>
      <c r="AO7" s="111"/>
      <c r="AP7" s="111"/>
      <c r="AQ7" s="111"/>
      <c r="AR7" s="118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8" t="str">
        <f t="shared" ref="AS7:AS17" si="8">IF(SUMPRODUCT(N(E$1:E$19=E7))&gt;1,"重复","不")</f>
        <v>不</v>
      </c>
      <c r="AT7" s="118" t="str">
        <f t="shared" ref="AT7:AT17" si="9">IF(SUMPRODUCT(N(AO$1:AO$19=AO7))&gt;1,"重复","不")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9500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L8+IFERROR(VLOOKUP($E:$E,'（居民）工资表-5月'!$E:$S,15,0),0)</f>
        <v>54500</v>
      </c>
      <c r="T8" s="93">
        <f>5000+IFERROR(VLOOKUP($E:$E,'（居民）工资表-5月'!$E:$T,16,0),0)</f>
        <v>30000</v>
      </c>
      <c r="U8" s="93">
        <f>Q8+IFERROR(VLOOKUP($E:$E,'（居民）工资表-5月'!$E:$U,17,0),0)</f>
        <v>3865.44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R8+IFERROR(VLOOKUP($E:$E,'（居民）工资表-5月'!$E:$AC,25,0),0)</f>
        <v>0</v>
      </c>
      <c r="AD8" s="97">
        <f t="shared" si="2"/>
        <v>20634.56</v>
      </c>
      <c r="AE8" s="98">
        <f>ROUND(MAX((AD8)*{0.03;0.1;0.2;0.25;0.3;0.35;0.45}-{0;2520;16920;31920;52920;85920;181920},0),2)</f>
        <v>619.04</v>
      </c>
      <c r="AF8" s="99">
        <f>IFERROR(VLOOKUP(E:E,'（居民）工资表-5月'!E:AF,28,0)+VLOOKUP(E:E,'（居民）工资表-5月'!E:AG,29,0),0)</f>
        <v>501.45</v>
      </c>
      <c r="AG8" s="99">
        <f t="shared" si="3"/>
        <v>117.59</v>
      </c>
      <c r="AH8" s="109">
        <f t="shared" si="4"/>
        <v>8802.05</v>
      </c>
      <c r="AI8" s="110"/>
      <c r="AJ8" s="109">
        <f t="shared" si="5"/>
        <v>8802.05</v>
      </c>
      <c r="AK8" s="111"/>
      <c r="AL8" s="109">
        <f t="shared" si="6"/>
        <v>8919.64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L9+IFERROR(VLOOKUP($E:$E,'（居民）工资表-5月'!$E:$S,15,0),0)</f>
        <v>39000</v>
      </c>
      <c r="T9" s="93">
        <f>5000+IFERROR(VLOOKUP($E:$E,'（居民）工资表-5月'!$E:$T,16,0),0)</f>
        <v>30000</v>
      </c>
      <c r="U9" s="93">
        <f>Q9+IFERROR(VLOOKUP($E:$E,'（居民）工资表-5月'!$E:$U,17,0),0)</f>
        <v>3173.33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R9+IFERROR(VLOOKUP($E:$E,'（居民）工资表-5月'!$E:$AC,25,0),0)</f>
        <v>0</v>
      </c>
      <c r="AD9" s="97">
        <f t="shared" si="2"/>
        <v>5826.67</v>
      </c>
      <c r="AE9" s="98">
        <f>ROUND(MAX((AD9)*{0.03;0.1;0.2;0.25;0.3;0.35;0.45}-{0;2520;16920;31920;52920;85920;181920},0),2)</f>
        <v>174.8</v>
      </c>
      <c r="AF9" s="99">
        <f>IFERROR(VLOOKUP(E:E,'（居民）工资表-5月'!E:AF,28,0)+VLOOKUP(E:E,'（居民）工资表-5月'!E:AG,29,0),0)</f>
        <v>145.22</v>
      </c>
      <c r="AG9" s="99">
        <f t="shared" si="3"/>
        <v>29.58</v>
      </c>
      <c r="AH9" s="109">
        <f t="shared" si="4"/>
        <v>5956.26</v>
      </c>
      <c r="AI9" s="110"/>
      <c r="AJ9" s="109">
        <f t="shared" si="5"/>
        <v>5956.26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L10+IFERROR(VLOOKUP($E:$E,'（居民）工资表-5月'!$E:$S,15,0),0)</f>
        <v>22000</v>
      </c>
      <c r="T10" s="93">
        <f>5000+IFERROR(VLOOKUP($E:$E,'（居民）工资表-5月'!$E:$T,16,0),0)</f>
        <v>20000</v>
      </c>
      <c r="U10" s="93">
        <f>Q10+IFERROR(VLOOKUP($E:$E,'（居民）工资表-5月'!$E:$U,17,0),0)</f>
        <v>2101.96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R10+IFERROR(VLOOKUP($E:$E,'（居民）工资表-5月'!$E:$AC,25,0),0)</f>
        <v>0</v>
      </c>
      <c r="AD10" s="97">
        <f t="shared" si="2"/>
        <v>-101.96</v>
      </c>
      <c r="AE10" s="98">
        <f>ROUND(MAX((AD10)*{0.03;0.1;0.2;0.25;0.3;0.35;0.45}-{0;2520;16920;31920;52920;85920;181920},0),2)</f>
        <v>0</v>
      </c>
      <c r="AF10" s="99">
        <f>IFERROR(VLOOKUP(E:E,'（居民）工资表-5月'!E:AF,28,0)+VLOOKUP(E:E,'（居民）工资表-5月'!E:AG,29,0),0)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41" t="s">
        <v>170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L11+IFERROR(VLOOKUP($E:$E,'（居民）工资表-5月'!$E:$S,15,0),0)</f>
        <v>27446.88</v>
      </c>
      <c r="T11" s="93">
        <f>5000+IFERROR(VLOOKUP($E:$E,'（居民）工资表-5月'!$E:$T,16,0),0)</f>
        <v>30000</v>
      </c>
      <c r="U11" s="93">
        <f>Q11+IFERROR(VLOOKUP($E:$E,'（居民）工资表-5月'!$E:$U,17,0),0)</f>
        <v>3630.72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R11+IFERROR(VLOOKUP($E:$E,'（居民）工资表-5月'!$E:$AC,25,0),0)</f>
        <v>0</v>
      </c>
      <c r="AD11" s="97">
        <f t="shared" si="2"/>
        <v>-6183.84</v>
      </c>
      <c r="AE11" s="98">
        <f>ROUND(MAX((AD11)*{0.03;0.1;0.2;0.25;0.3;0.35;0.45}-{0;2520;16920;31920;52920;85920;181920},0),2)</f>
        <v>0</v>
      </c>
      <c r="AF11" s="99">
        <f>IFERROR(VLOOKUP(E:E,'（居民）工资表-5月'!E:AF,28,0)+VLOOKUP(E:E,'（居民）工资表-5月'!E:AG,29,0),0)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41">
        <v>18356553626</v>
      </c>
      <c r="H12" s="40"/>
      <c r="I12" s="40"/>
      <c r="J12" s="70"/>
      <c r="K12" s="40"/>
      <c r="L12" s="73">
        <v>7000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L12+IFERROR(VLOOKUP($E:$E,'（居民）工资表-5月'!$E:$S,15,0),0)</f>
        <v>43918.18</v>
      </c>
      <c r="T12" s="93">
        <f>5000+IFERROR(VLOOKUP($E:$E,'（居民）工资表-5月'!$E:$T,16,0),0)</f>
        <v>30000</v>
      </c>
      <c r="U12" s="93">
        <f>Q12+IFERROR(VLOOKUP($E:$E,'（居民）工资表-5月'!$E:$U,17,0),0)</f>
        <v>3279.84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R12+IFERROR(VLOOKUP($E:$E,'（居民）工资表-5月'!$E:$AC,25,0),0)</f>
        <v>0</v>
      </c>
      <c r="AD12" s="97">
        <f t="shared" si="2"/>
        <v>10638.34</v>
      </c>
      <c r="AE12" s="98">
        <f>ROUND(MAX((AD12)*{0.03;0.1;0.2;0.25;0.3;0.35;0.45}-{0;2520;16920;31920;52920;85920;181920},0),2)</f>
        <v>319.15</v>
      </c>
      <c r="AF12" s="99">
        <f>IFERROR(VLOOKUP(E:E,'（居民）工资表-5月'!E:AF,28,0)+VLOOKUP(E:E,'（居民）工资表-5月'!E:AG,29,0),0)</f>
        <v>275.21</v>
      </c>
      <c r="AG12" s="99">
        <f t="shared" si="3"/>
        <v>43.94</v>
      </c>
      <c r="AH12" s="109">
        <f t="shared" si="4"/>
        <v>6420.85</v>
      </c>
      <c r="AI12" s="110"/>
      <c r="AJ12" s="109">
        <f t="shared" si="5"/>
        <v>6420.85</v>
      </c>
      <c r="AK12" s="111"/>
      <c r="AL12" s="109">
        <f t="shared" si="6"/>
        <v>6464.79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41">
        <v>18326897140</v>
      </c>
      <c r="H13" s="40"/>
      <c r="I13" s="40"/>
      <c r="J13" s="70"/>
      <c r="K13" s="40"/>
      <c r="L13" s="73">
        <v>7000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L13+IFERROR(VLOOKUP($E:$E,'（居民）工资表-5月'!$E:$S,15,0),0)</f>
        <v>36650</v>
      </c>
      <c r="T13" s="93">
        <f>5000+IFERROR(VLOOKUP($E:$E,'（居民）工资表-5月'!$E:$T,16,0),0)</f>
        <v>30000</v>
      </c>
      <c r="U13" s="93">
        <f>Q13+IFERROR(VLOOKUP($E:$E,'（居民）工资表-5月'!$E:$U,17,0),0)</f>
        <v>3865.44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R13+IFERROR(VLOOKUP($E:$E,'（居民）工资表-5月'!$E:$AC,25,0),0)</f>
        <v>0</v>
      </c>
      <c r="AD13" s="97">
        <f t="shared" si="2"/>
        <v>2784.56</v>
      </c>
      <c r="AE13" s="98">
        <f>ROUND(MAX((AD13)*{0.03;0.1;0.2;0.25;0.3;0.35;0.45}-{0;2520;16920;31920;52920;85920;181920},0),2)</f>
        <v>83.54</v>
      </c>
      <c r="AF13" s="99">
        <f>IFERROR(VLOOKUP(E:E,'（居民）工资表-5月'!E:AF,28,0)+VLOOKUP(E:E,'（居民）工资表-5月'!E:AG,29,0),0)</f>
        <v>73.68</v>
      </c>
      <c r="AG13" s="99">
        <f t="shared" si="3"/>
        <v>9.86</v>
      </c>
      <c r="AH13" s="109">
        <f t="shared" si="4"/>
        <v>6409.78</v>
      </c>
      <c r="AI13" s="110"/>
      <c r="AJ13" s="109">
        <f t="shared" si="5"/>
        <v>6409.78</v>
      </c>
      <c r="AK13" s="111"/>
      <c r="AL13" s="109">
        <f t="shared" si="6"/>
        <v>6419.64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41">
        <v>17201857014</v>
      </c>
      <c r="H14" s="40"/>
      <c r="I14" s="40"/>
      <c r="J14" s="70"/>
      <c r="K14" s="40"/>
      <c r="L14" s="73">
        <v>7000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L14+IFERROR(VLOOKUP($E:$E,'（居民）工资表-5月'!$E:$S,15,0),0)</f>
        <v>37358.7</v>
      </c>
      <c r="T14" s="93">
        <f>5000+IFERROR(VLOOKUP($E:$E,'（居民）工资表-5月'!$E:$T,16,0),0)</f>
        <v>30000</v>
      </c>
      <c r="U14" s="93">
        <f>Q14+IFERROR(VLOOKUP($E:$E,'（居民）工资表-5月'!$E:$U,17,0),0)</f>
        <v>3865.44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R14+IFERROR(VLOOKUP($E:$E,'（居民）工资表-5月'!$E:$AC,25,0),0)</f>
        <v>0</v>
      </c>
      <c r="AD14" s="97">
        <f t="shared" si="2"/>
        <v>3493.26</v>
      </c>
      <c r="AE14" s="98">
        <f>ROUND(MAX((AD14)*{0.03;0.1;0.2;0.25;0.3;0.35;0.45}-{0;2520;16920;31920;52920;85920;181920},0),2)</f>
        <v>104.8</v>
      </c>
      <c r="AF14" s="99">
        <f>IFERROR(VLOOKUP(E:E,'（居民）工资表-5月'!E:AF,28,0)+VLOOKUP(E:E,'（居民）工资表-5月'!E:AG,29,0),0)</f>
        <v>91.94</v>
      </c>
      <c r="AG14" s="99">
        <f t="shared" si="3"/>
        <v>12.86</v>
      </c>
      <c r="AH14" s="109">
        <f t="shared" si="4"/>
        <v>6406.78</v>
      </c>
      <c r="AI14" s="110"/>
      <c r="AJ14" s="109">
        <f t="shared" si="5"/>
        <v>6406.78</v>
      </c>
      <c r="AK14" s="111"/>
      <c r="AL14" s="109">
        <f t="shared" si="6"/>
        <v>6419.64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41" t="s">
        <v>181</v>
      </c>
      <c r="H15" s="40"/>
      <c r="I15" s="40"/>
      <c r="J15" s="70"/>
      <c r="K15" s="40"/>
      <c r="L15" s="73">
        <v>7000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L15+IFERROR(VLOOKUP($E:$E,'（居民）工资表-5月'!$E:$S,15,0),0)</f>
        <v>41109.09</v>
      </c>
      <c r="T15" s="93">
        <f>5000+IFERROR(VLOOKUP($E:$E,'（居民）工资表-5月'!$E:$T,16,0),0)</f>
        <v>30000</v>
      </c>
      <c r="U15" s="93">
        <f>Q15+IFERROR(VLOOKUP($E:$E,'（居民）工资表-5月'!$E:$U,17,0),0)</f>
        <v>3279.84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R15+IFERROR(VLOOKUP($E:$E,'（居民）工资表-5月'!$E:$AC,25,0),0)</f>
        <v>0</v>
      </c>
      <c r="AD15" s="97">
        <f t="shared" si="2"/>
        <v>7829.25</v>
      </c>
      <c r="AE15" s="98">
        <f>ROUND(MAX((AD15)*{0.03;0.1;0.2;0.25;0.3;0.35;0.45}-{0;2520;16920;31920;52920;85920;181920},0),2)</f>
        <v>234.88</v>
      </c>
      <c r="AF15" s="99">
        <f>IFERROR(VLOOKUP(E:E,'（居民）工资表-5月'!E:AF,28,0)+VLOOKUP(E:E,'（居民）工资表-5月'!E:AG,29,0),0)</f>
        <v>190.93</v>
      </c>
      <c r="AG15" s="99">
        <f t="shared" si="3"/>
        <v>43.95</v>
      </c>
      <c r="AH15" s="109">
        <f t="shared" si="4"/>
        <v>6420.84</v>
      </c>
      <c r="AI15" s="110"/>
      <c r="AJ15" s="109">
        <f t="shared" si="5"/>
        <v>6420.84</v>
      </c>
      <c r="AK15" s="111"/>
      <c r="AL15" s="109">
        <f t="shared" si="6"/>
        <v>6464.79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41">
        <v>15855788591</v>
      </c>
      <c r="H16" s="40"/>
      <c r="I16" s="40"/>
      <c r="J16" s="70"/>
      <c r="K16" s="40"/>
      <c r="L16" s="73">
        <v>6060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L16+IFERROR(VLOOKUP($E:$E,'（居民）工资表-5月'!$E:$S,15,0),0)</f>
        <v>34733.74</v>
      </c>
      <c r="T16" s="93">
        <f>5000+IFERROR(VLOOKUP($E:$E,'（居民）工资表-5月'!$E:$T,16,0),0)</f>
        <v>30000</v>
      </c>
      <c r="U16" s="93">
        <f>Q16+IFERROR(VLOOKUP($E:$E,'（居民）工资表-5月'!$E:$U,17,0),0)</f>
        <v>3105.86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R16+IFERROR(VLOOKUP($E:$E,'（居民）工资表-5月'!$E:$AC,25,0),0)</f>
        <v>0</v>
      </c>
      <c r="AD16" s="97">
        <f t="shared" si="2"/>
        <v>1627.88</v>
      </c>
      <c r="AE16" s="98">
        <f>ROUND(MAX((AD16)*{0.03;0.1;0.2;0.25;0.3;0.35;0.45}-{0;2520;16920;31920;52920;85920;181920},0),2)</f>
        <v>48.84</v>
      </c>
      <c r="AF16" s="99">
        <f>IFERROR(VLOOKUP(E:E,'（居民）工资表-5月'!E:AF,28,0)+VLOOKUP(E:E,'（居民）工资表-5月'!E:AG,29,0),0)</f>
        <v>47.59</v>
      </c>
      <c r="AG16" s="99">
        <f t="shared" si="3"/>
        <v>1.25</v>
      </c>
      <c r="AH16" s="109">
        <f t="shared" si="4"/>
        <v>5551.39</v>
      </c>
      <c r="AI16" s="110"/>
      <c r="AJ16" s="109">
        <f t="shared" si="5"/>
        <v>5551.39</v>
      </c>
      <c r="AK16" s="111"/>
      <c r="AL16" s="109">
        <f t="shared" si="6"/>
        <v>5552.64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41">
        <v>13873717760</v>
      </c>
      <c r="H17" s="40"/>
      <c r="I17" s="40"/>
      <c r="J17" s="70"/>
      <c r="K17" s="40"/>
      <c r="L17" s="73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L17+IFERROR(VLOOKUP($E:$E,'（居民）工资表-5月'!$E:$S,15,0),0)</f>
        <v>23965</v>
      </c>
      <c r="T17" s="93">
        <f>5000+IFERROR(VLOOKUP($E:$E,'（居民）工资表-5月'!$E:$T,16,0),0)</f>
        <v>20000</v>
      </c>
      <c r="U17" s="93">
        <f>Q17+IFERROR(VLOOKUP($E:$E,'（居民）工资表-5月'!$E:$U,17,0),0)</f>
        <v>2562.75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R17+IFERROR(VLOOKUP($E:$E,'（居民）工资表-5月'!$E:$AC,25,0),0)</f>
        <v>0</v>
      </c>
      <c r="AD17" s="97">
        <f t="shared" si="2"/>
        <v>1402.25</v>
      </c>
      <c r="AE17" s="98">
        <f>ROUND(MAX((AD17)*{0.03;0.1;0.2;0.25;0.3;0.35;0.45}-{0;2520;16920;31920;52920;85920;181920},0),2)</f>
        <v>42.07</v>
      </c>
      <c r="AF17" s="99">
        <f>IFERROR(VLOOKUP(E:E,'（居民）工资表-5月'!E:AF,28,0)+VLOOKUP(E:E,'（居民）工资表-5月'!E:AG,29,0),0)</f>
        <v>12.94</v>
      </c>
      <c r="AG17" s="99">
        <f t="shared" si="3"/>
        <v>29.13</v>
      </c>
      <c r="AH17" s="109">
        <f t="shared" si="4"/>
        <v>5941.71</v>
      </c>
      <c r="AI17" s="110"/>
      <c r="AJ17" s="109">
        <f t="shared" si="5"/>
        <v>5941.71</v>
      </c>
      <c r="AK17" s="111"/>
      <c r="AL17" s="109">
        <f t="shared" si="6"/>
        <v>5970.84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 t="shared" si="8"/>
        <v>不</v>
      </c>
      <c r="AT17" s="118" t="str">
        <f t="shared" si="9"/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38" t="s">
        <v>148</v>
      </c>
      <c r="G18" s="41"/>
      <c r="H18" s="40"/>
      <c r="I18" s="40"/>
      <c r="J18" s="70"/>
      <c r="K18" s="40"/>
      <c r="L18" s="73">
        <v>4800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L18+IFERROR(VLOOKUP($E:$E,'（居民）工资表-5月'!$E:$S,15,0),0)</f>
        <v>7636.37</v>
      </c>
      <c r="T18" s="93">
        <f>5000+IFERROR(VLOOKUP($E:$E,'（居民）工资表-5月'!$E:$T,16,0),0)</f>
        <v>10000</v>
      </c>
      <c r="U18" s="93">
        <f>Q18+IFERROR(VLOOKUP($E:$E,'（居民）工资表-5月'!$E:$U,17,0),0)</f>
        <v>1516.08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R18+IFERROR(VLOOKUP($E:$E,'（居民）工资表-5月'!$E:$AC,25,0),0)</f>
        <v>0</v>
      </c>
      <c r="AD18" s="97">
        <f t="shared" si="2"/>
        <v>-3879.71</v>
      </c>
      <c r="AE18" s="98">
        <f>ROUND(MAX((AD18)*{0.03;0.1;0.2;0.25;0.3;0.35;0.45}-{0;2520;16920;31920;52920;85920;181920},0),2)</f>
        <v>0</v>
      </c>
      <c r="AF18" s="99">
        <f>IFERROR(VLOOKUP(E:E,'（居民）工资表-5月'!E:AF,28,0)+VLOOKUP(E:E,'（居民）工资表-5月'!E:AG,29,0),0)</f>
        <v>0</v>
      </c>
      <c r="AG18" s="99">
        <f t="shared" si="3"/>
        <v>0</v>
      </c>
      <c r="AH18" s="109">
        <f t="shared" si="4"/>
        <v>4294.64</v>
      </c>
      <c r="AI18" s="110"/>
      <c r="AJ18" s="109">
        <f t="shared" si="5"/>
        <v>4294.64</v>
      </c>
      <c r="AK18" s="111"/>
      <c r="AL18" s="109">
        <f t="shared" si="6"/>
        <v>4294.64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>IF(SUMPRODUCT(N(E$1:E$19=E18))&gt;1,"重复","不")</f>
        <v>不</v>
      </c>
      <c r="AT18" s="118" t="str">
        <f>IF(SUMPRODUCT(N(AO$1:AO$19=AO18))&gt;1,"重复","不")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192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AL20" si="10">SUM(L4:L19)</f>
        <v>122278.8</v>
      </c>
      <c r="M20" s="76">
        <f t="shared" si="10"/>
        <v>4937.14</v>
      </c>
      <c r="N20" s="76">
        <f t="shared" si="10"/>
        <v>1406.9</v>
      </c>
      <c r="O20" s="76">
        <f t="shared" si="10"/>
        <v>267.06</v>
      </c>
      <c r="P20" s="76">
        <f t="shared" si="10"/>
        <v>1969.3</v>
      </c>
      <c r="Q20" s="76">
        <f t="shared" si="10"/>
        <v>8580.4</v>
      </c>
      <c r="R20" s="76">
        <f t="shared" si="10"/>
        <v>0</v>
      </c>
      <c r="S20" s="76">
        <f t="shared" si="10"/>
        <v>674877.96</v>
      </c>
      <c r="T20" s="76">
        <f t="shared" si="10"/>
        <v>410000</v>
      </c>
      <c r="U20" s="76">
        <f t="shared" si="10"/>
        <v>50242.58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214635.38</v>
      </c>
      <c r="AE20" s="76">
        <f t="shared" si="10"/>
        <v>14473.92</v>
      </c>
      <c r="AF20" s="76">
        <f t="shared" si="10"/>
        <v>11545.48</v>
      </c>
      <c r="AG20" s="76">
        <f t="shared" si="10"/>
        <v>2928.44</v>
      </c>
      <c r="AH20" s="76">
        <f t="shared" si="10"/>
        <v>110769.96</v>
      </c>
      <c r="AI20" s="126">
        <f t="shared" si="10"/>
        <v>0</v>
      </c>
      <c r="AJ20" s="76">
        <f t="shared" si="10"/>
        <v>110769.96</v>
      </c>
      <c r="AK20" s="76">
        <f t="shared" si="10"/>
        <v>0</v>
      </c>
      <c r="AL20" s="76">
        <f t="shared" si="10"/>
        <v>113698.4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6">
      <c r="B24" s="48" t="s">
        <v>131</v>
      </c>
      <c r="C24" s="48" t="s">
        <v>193</v>
      </c>
      <c r="D24" s="48" t="s">
        <v>22</v>
      </c>
      <c r="E24" s="48" t="s">
        <v>23</v>
      </c>
      <c r="AD24" s="10"/>
      <c r="AJ24" s="15">
        <v>80</v>
      </c>
    </row>
    <row r="25" ht="18.75" customHeight="1" spans="2:5">
      <c r="B25" s="49">
        <f>AJ20</f>
        <v>110769.96</v>
      </c>
      <c r="C25" s="49">
        <f>AG20</f>
        <v>2928.44</v>
      </c>
      <c r="D25" s="49">
        <f>AK20</f>
        <v>0</v>
      </c>
      <c r="E25" s="49">
        <f>B25+C25+D25</f>
        <v>113698.4</v>
      </c>
    </row>
    <row r="26" spans="2:5">
      <c r="B26" s="50"/>
      <c r="C26" s="50"/>
      <c r="D26" s="50"/>
      <c r="E26" s="50"/>
    </row>
    <row r="27" s="14" customFormat="1" spans="1:35">
      <c r="A27" s="52" t="s">
        <v>194</v>
      </c>
      <c r="B27" s="53" t="s">
        <v>195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196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197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198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199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200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201</v>
      </c>
    </row>
    <row r="35" spans="2:2">
      <c r="B35" s="60" t="s">
        <v>202</v>
      </c>
    </row>
    <row r="36" spans="2:2">
      <c r="B36" s="60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342.66</v>
      </c>
      <c r="N4" s="72">
        <v>76.62</v>
      </c>
      <c r="O4" s="72">
        <v>12.85</v>
      </c>
      <c r="P4" s="72">
        <v>177</v>
      </c>
      <c r="Q4" s="91">
        <f>ROUND(SUM(M4:P4),2)</f>
        <v>609.13</v>
      </c>
      <c r="R4" s="73">
        <v>0</v>
      </c>
      <c r="S4" s="92">
        <f>L4+IFERROR(VLOOKUP($E:$E,'（居民）工资表-7月'!$E:$S,15,0),0)</f>
        <v>64000</v>
      </c>
      <c r="T4" s="93">
        <f>5000+IFERROR(VLOOKUP($E:$E,'（居民）工资表-7月'!$E:$T,16,0),0)</f>
        <v>40000</v>
      </c>
      <c r="U4" s="93">
        <f>Q4+IFERROR(VLOOKUP($E:$E,'（居民）工资表-7月'!$E:$U,17,0),0)</f>
        <v>4974.48</v>
      </c>
      <c r="V4" s="73"/>
      <c r="W4" s="73"/>
      <c r="X4" s="73"/>
      <c r="Y4" s="73"/>
      <c r="Z4" s="73"/>
      <c r="AA4" s="73"/>
      <c r="AB4" s="92">
        <f>ROUND(SUM(V4:AA4),2)</f>
        <v>0</v>
      </c>
      <c r="AC4" s="92">
        <f>R4+IFERROR(VLOOKUP($E:$E,'（居民）工资表-7月'!$E:$AC,25,0),0)</f>
        <v>0</v>
      </c>
      <c r="AD4" s="97">
        <f>ROUND(S4-T4-U4-AB4-AC4,2)</f>
        <v>19025.52</v>
      </c>
      <c r="AE4" s="98">
        <f>ROUND(MAX((AD4)*{0.03;0.1;0.2;0.25;0.3;0.35;0.45}-{0;2520;16920;31920;52920;85920;181920},0),2)</f>
        <v>570.77</v>
      </c>
      <c r="AF4" s="99">
        <f>IFERROR(VLOOKUP(E:E,'（居民）工资表-7月'!E:AF,28,0)+VLOOKUP(E:E,'（居民）工资表-7月'!E:AG,29,0),0)</f>
        <v>425.87</v>
      </c>
      <c r="AG4" s="99">
        <f>IF((AE4-AF4)&lt;0,0,AE4-AF4)</f>
        <v>144.9</v>
      </c>
      <c r="AH4" s="109">
        <f>ROUND(IF((L4-Q4-AG4)&lt;0,0,(L4-Q4-AG4)),2)</f>
        <v>7245.97</v>
      </c>
      <c r="AI4" s="110"/>
      <c r="AJ4" s="109">
        <f>AH4+AI4</f>
        <v>7245.97</v>
      </c>
      <c r="AK4" s="111"/>
      <c r="AL4" s="109">
        <f>AJ4+AG4+AK4</f>
        <v>7390.87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IF(SUMPRODUCT(N(E$1:E$18=E4))&gt;1,"重复","不")</f>
        <v>不</v>
      </c>
      <c r="AT4" s="118" t="str">
        <f>IF(SUMPRODUCT(N(AO$1:AO$18=AO4))&gt;1,"重复","不")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478.4</v>
      </c>
      <c r="N5" s="72">
        <v>113.48</v>
      </c>
      <c r="O5" s="72">
        <v>4.6</v>
      </c>
      <c r="P5" s="72">
        <v>115</v>
      </c>
      <c r="Q5" s="91">
        <f>ROUND(SUM(M5:P5),2)</f>
        <v>711.48</v>
      </c>
      <c r="R5" s="73">
        <v>0</v>
      </c>
      <c r="S5" s="92">
        <f>L5+IFERROR(VLOOKUP($E:$E,'（居民）工资表-7月'!$E:$S,15,0),0)</f>
        <v>45600</v>
      </c>
      <c r="T5" s="93">
        <f>5000+IFERROR(VLOOKUP($E:$E,'（居民）工资表-7月'!$E:$T,16,0),0)</f>
        <v>40000</v>
      </c>
      <c r="U5" s="93">
        <f>Q5+IFERROR(VLOOKUP($E:$E,'（居民）工资表-7月'!$E:$U,17,0),0)</f>
        <v>5036.56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R5+IFERROR(VLOOKUP($E:$E,'（居民）工资表-7月'!$E:$AC,25,0),0)</f>
        <v>0</v>
      </c>
      <c r="AD5" s="97">
        <f>ROUND(S5-T5-U5-AB5-AC5,2)</f>
        <v>563.44</v>
      </c>
      <c r="AE5" s="98">
        <f>ROUND(MAX((AD5)*{0.03;0.1;0.2;0.25;0.3;0.35;0.45}-{0;2520;16920;31920;52920;85920;181920},0),2)</f>
        <v>16.9</v>
      </c>
      <c r="AF5" s="99">
        <f>IFERROR(VLOOKUP(E:E,'（居民）工资表-7月'!E:AF,28,0)+VLOOKUP(E:E,'（居民）工资表-7月'!E:AG,29,0),0)</f>
        <v>14.25</v>
      </c>
      <c r="AG5" s="99">
        <f>IF((AE5-AF5)&lt;0,0,AE5-AF5)</f>
        <v>2.65</v>
      </c>
      <c r="AH5" s="109">
        <f>ROUND(IF((L5-Q5-AG5)&lt;0,0,(L5-Q5-AG5)),2)</f>
        <v>4985.87</v>
      </c>
      <c r="AI5" s="110"/>
      <c r="AJ5" s="109">
        <f>AH5+AI5</f>
        <v>4985.87</v>
      </c>
      <c r="AK5" s="111"/>
      <c r="AL5" s="109">
        <f>AJ5+AG5+AK5</f>
        <v>4988.52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IF(SUMPRODUCT(N(E$1:E$18=E5))&gt;1,"重复","不")</f>
        <v>不</v>
      </c>
      <c r="AT5" s="118" t="str">
        <f>IF(SUMPRODUCT(N(AO$1:AO$18=AO5))&gt;1,"重复","不")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181.3</v>
      </c>
      <c r="Q6" s="91">
        <f t="shared" ref="Q6:Q19" si="0">ROUND(SUM(M6:P6),2)</f>
        <v>948.85</v>
      </c>
      <c r="R6" s="73">
        <v>0</v>
      </c>
      <c r="S6" s="92">
        <f>L6+IFERROR(VLOOKUP($E:$E,'（居民）工资表-7月'!$E:$S,15,0),0)</f>
        <v>242480</v>
      </c>
      <c r="T6" s="93">
        <f>5000+IFERROR(VLOOKUP($E:$E,'（居民）工资表-7月'!$E:$T,16,0),0)</f>
        <v>40000</v>
      </c>
      <c r="U6" s="93">
        <f>Q6+IFERROR(VLOOKUP($E:$E,'（居民）工资表-7月'!$E:$U,17,0),0)</f>
        <v>7258.4</v>
      </c>
      <c r="V6" s="73"/>
      <c r="W6" s="73"/>
      <c r="X6" s="73"/>
      <c r="Y6" s="73"/>
      <c r="Z6" s="73"/>
      <c r="AA6" s="73"/>
      <c r="AB6" s="92">
        <f t="shared" ref="AB6:AB19" si="1">ROUND(SUM(V6:AA6),2)</f>
        <v>0</v>
      </c>
      <c r="AC6" s="92">
        <f>R6+IFERROR(VLOOKUP($E:$E,'（居民）工资表-7月'!$E:$AC,25,0),0)</f>
        <v>0</v>
      </c>
      <c r="AD6" s="97">
        <f t="shared" ref="AD6:AD19" si="2">ROUND(S6-T6-U6-AB6-AC6,2)</f>
        <v>195221.6</v>
      </c>
      <c r="AE6" s="98">
        <f>ROUND(MAX((AD6)*{0.03;0.1;0.2;0.25;0.3;0.35;0.45}-{0;2520;16920;31920;52920;85920;181920},0),2)</f>
        <v>22124.32</v>
      </c>
      <c r="AF6" s="99">
        <f>IFERROR(VLOOKUP(E:E,'（居民）工资表-7月'!E:AF,28,0)+VLOOKUP(E:E,'（居民）工资表-7月'!E:AG,29,0),0)</f>
        <v>14902.09</v>
      </c>
      <c r="AG6" s="99">
        <f t="shared" ref="AG6:AG19" si="3">IF((AE6-AF6)&lt;0,0,AE6-AF6)</f>
        <v>7222.23</v>
      </c>
      <c r="AH6" s="109">
        <f t="shared" ref="AH6:AH19" si="4">ROUND(IF((L6-Q6-AG6)&lt;0,0,(L6-Q6-AG6)),2)</f>
        <v>23388.92</v>
      </c>
      <c r="AI6" s="110"/>
      <c r="AJ6" s="109">
        <f t="shared" ref="AJ6:AJ19" si="5">AH6+AI6</f>
        <v>23388.92</v>
      </c>
      <c r="AK6" s="111"/>
      <c r="AL6" s="109">
        <f t="shared" ref="AL6:AL19" si="6">AJ6+AG6+AK6</f>
        <v>30611.15</v>
      </c>
      <c r="AM6" s="111"/>
      <c r="AN6" s="111"/>
      <c r="AO6" s="111"/>
      <c r="AP6" s="111"/>
      <c r="AQ6" s="111"/>
      <c r="AR6" s="118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 t="shared" ref="AS6:AS16" si="8">IF(SUMPRODUCT(N(E$1:E$18=E6))&gt;1,"重复","不")</f>
        <v>不</v>
      </c>
      <c r="AT6" s="118" t="str">
        <f t="shared" ref="AT6:AT16" si="9">IF(SUMPRODUCT(N(AO$1:AO$18=AO6))&gt;1,"重复","不")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8500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si="0"/>
        <v>507.36</v>
      </c>
      <c r="R7" s="73">
        <v>0</v>
      </c>
      <c r="S7" s="92">
        <f>L7+IFERROR(VLOOKUP($E:$E,'（居民）工资表-7月'!$E:$S,15,0),0)</f>
        <v>61600</v>
      </c>
      <c r="T7" s="93">
        <f>5000+IFERROR(VLOOKUP($E:$E,'（居民）工资表-7月'!$E:$T,16,0),0)</f>
        <v>40000</v>
      </c>
      <c r="U7" s="93">
        <f>Q7+IFERROR(VLOOKUP($E:$E,'（居民）工资表-7月'!$E:$U,17,0),0)</f>
        <v>4120.58</v>
      </c>
      <c r="V7" s="73"/>
      <c r="W7" s="73"/>
      <c r="Y7" s="73"/>
      <c r="Z7" s="73"/>
      <c r="AA7" s="73"/>
      <c r="AB7" s="92">
        <f t="shared" si="1"/>
        <v>0</v>
      </c>
      <c r="AC7" s="92">
        <f>R7+IFERROR(VLOOKUP($E:$E,'（居民）工资表-7月'!$E:$AC,25,0),0)</f>
        <v>0</v>
      </c>
      <c r="AD7" s="97">
        <f t="shared" si="2"/>
        <v>17479.42</v>
      </c>
      <c r="AE7" s="98">
        <f>ROUND(MAX((AD7)*{0.03;0.1;0.2;0.25;0.3;0.35;0.45}-{0;2520;16920;31920;52920;85920;181920},0),2)</f>
        <v>524.38</v>
      </c>
      <c r="AF7" s="99">
        <f>IFERROR(VLOOKUP(E:E,'（居民）工资表-7月'!E:AF,28,0)+VLOOKUP(E:E,'（居民）工资表-7月'!E:AG,29,0),0)</f>
        <v>326.82</v>
      </c>
      <c r="AG7" s="99">
        <f t="shared" si="3"/>
        <v>197.56</v>
      </c>
      <c r="AH7" s="109">
        <f t="shared" si="4"/>
        <v>7795.08</v>
      </c>
      <c r="AI7" s="110"/>
      <c r="AJ7" s="109">
        <f t="shared" si="5"/>
        <v>7795.08</v>
      </c>
      <c r="AK7" s="111"/>
      <c r="AL7" s="109">
        <f t="shared" si="6"/>
        <v>7992.64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11800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L8+IFERROR(VLOOKUP($E:$E,'（居民）工资表-7月'!$E:$S,15,0),0)</f>
        <v>76600</v>
      </c>
      <c r="T8" s="93">
        <f>5000+IFERROR(VLOOKUP($E:$E,'（居民）工资表-7月'!$E:$T,16,0),0)</f>
        <v>40000</v>
      </c>
      <c r="U8" s="93">
        <f>Q8+IFERROR(VLOOKUP($E:$E,'（居民）工资表-7月'!$E:$U,17,0),0)</f>
        <v>5026.16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R8+IFERROR(VLOOKUP($E:$E,'（居民）工资表-7月'!$E:$AC,25,0),0)</f>
        <v>0</v>
      </c>
      <c r="AD8" s="97">
        <f t="shared" si="2"/>
        <v>31573.84</v>
      </c>
      <c r="AE8" s="98">
        <f>ROUND(MAX((AD8)*{0.03;0.1;0.2;0.25;0.3;0.35;0.45}-{0;2520;16920;31920;52920;85920;181920},0),2)</f>
        <v>947.22</v>
      </c>
      <c r="AF8" s="99">
        <f>IFERROR(VLOOKUP(E:E,'（居民）工资表-7月'!E:AF,28,0)+VLOOKUP(E:E,'（居民）工资表-7月'!E:AG,29,0),0)</f>
        <v>760.63</v>
      </c>
      <c r="AG8" s="99">
        <f t="shared" si="3"/>
        <v>186.59</v>
      </c>
      <c r="AH8" s="109">
        <f t="shared" si="4"/>
        <v>11033.05</v>
      </c>
      <c r="AI8" s="110"/>
      <c r="AJ8" s="109">
        <f t="shared" si="5"/>
        <v>11033.05</v>
      </c>
      <c r="AK8" s="111"/>
      <c r="AL8" s="109">
        <f t="shared" si="6"/>
        <v>11219.64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L9+IFERROR(VLOOKUP($E:$E,'（居民）工资表-7月'!$E:$S,15,0),0)</f>
        <v>52000</v>
      </c>
      <c r="T9" s="93">
        <f>5000+IFERROR(VLOOKUP($E:$E,'（居民）工资表-7月'!$E:$T,16,0),0)</f>
        <v>40000</v>
      </c>
      <c r="U9" s="93">
        <f>Q9+IFERROR(VLOOKUP($E:$E,'（居民）工资表-7月'!$E:$U,17,0),0)</f>
        <v>4201.65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R9+IFERROR(VLOOKUP($E:$E,'（居民）工资表-7月'!$E:$AC,25,0),0)</f>
        <v>0</v>
      </c>
      <c r="AD9" s="97">
        <f t="shared" si="2"/>
        <v>7798.35</v>
      </c>
      <c r="AE9" s="98">
        <f>ROUND(MAX((AD9)*{0.03;0.1;0.2;0.25;0.3;0.35;0.45}-{0;2520;16920;31920;52920;85920;181920},0),2)</f>
        <v>233.95</v>
      </c>
      <c r="AF9" s="99">
        <f>IFERROR(VLOOKUP(E:E,'（居民）工资表-7月'!E:AF,28,0)+VLOOKUP(E:E,'（居民）工资表-7月'!E:AG,29,0),0)</f>
        <v>204.38</v>
      </c>
      <c r="AG9" s="99">
        <f t="shared" si="3"/>
        <v>29.57</v>
      </c>
      <c r="AH9" s="109">
        <f t="shared" si="4"/>
        <v>5956.27</v>
      </c>
      <c r="AI9" s="110"/>
      <c r="AJ9" s="109">
        <f t="shared" si="5"/>
        <v>5956.27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L10+IFERROR(VLOOKUP($E:$E,'（居民）工资表-7月'!$E:$S,15,0),0)</f>
        <v>33000</v>
      </c>
      <c r="T10" s="93">
        <f>5000+IFERROR(VLOOKUP($E:$E,'（居民）工资表-7月'!$E:$T,16,0),0)</f>
        <v>30000</v>
      </c>
      <c r="U10" s="93">
        <f>Q10+IFERROR(VLOOKUP($E:$E,'（居民）工资表-7月'!$E:$U,17,0),0)</f>
        <v>3152.94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R10+IFERROR(VLOOKUP($E:$E,'（居民）工资表-7月'!$E:$AC,25,0),0)</f>
        <v>0</v>
      </c>
      <c r="AD10" s="97">
        <f t="shared" si="2"/>
        <v>-152.94</v>
      </c>
      <c r="AE10" s="98">
        <f>ROUND(MAX((AD10)*{0.03;0.1;0.2;0.25;0.3;0.35;0.45}-{0;2520;16920;31920;52920;85920;181920},0),2)</f>
        <v>0</v>
      </c>
      <c r="AF10" s="99">
        <f>IFERROR(VLOOKUP(E:E,'（居民）工资表-7月'!E:AF,28,0)+VLOOKUP(E:E,'（居民）工资表-7月'!E:AG,29,0),0)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41" t="s">
        <v>170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L11+IFERROR(VLOOKUP($E:$E,'（居民）工资表-7月'!$E:$S,15,0),0)</f>
        <v>36644.48</v>
      </c>
      <c r="T11" s="93">
        <f>5000+IFERROR(VLOOKUP($E:$E,'（居民）工资表-7月'!$E:$T,16,0),0)</f>
        <v>40000</v>
      </c>
      <c r="U11" s="93">
        <f>Q11+IFERROR(VLOOKUP($E:$E,'（居民）工资表-7月'!$E:$U,17,0),0)</f>
        <v>4816.72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R11+IFERROR(VLOOKUP($E:$E,'（居民）工资表-7月'!$E:$AC,25,0),0)</f>
        <v>0</v>
      </c>
      <c r="AD11" s="97">
        <f t="shared" si="2"/>
        <v>-8172.24</v>
      </c>
      <c r="AE11" s="98">
        <f>ROUND(MAX((AD11)*{0.03;0.1;0.2;0.25;0.3;0.35;0.45}-{0;2520;16920;31920;52920;85920;181920},0),2)</f>
        <v>0</v>
      </c>
      <c r="AF11" s="99">
        <f>IFERROR(VLOOKUP(E:E,'（居民）工资表-7月'!E:AF,28,0)+VLOOKUP(E:E,'（居民）工资表-7月'!E:AG,29,0),0)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41">
        <v>18356553626</v>
      </c>
      <c r="H12" s="40"/>
      <c r="I12" s="40"/>
      <c r="J12" s="70"/>
      <c r="K12" s="40"/>
      <c r="L12" s="73">
        <v>11300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L12+IFERROR(VLOOKUP($E:$E,'（居民）工资表-7月'!$E:$S,15,0),0)</f>
        <v>65518.18</v>
      </c>
      <c r="T12" s="93">
        <f>5000+IFERROR(VLOOKUP($E:$E,'（居民）工资表-7月'!$E:$T,16,0),0)</f>
        <v>40000</v>
      </c>
      <c r="U12" s="93">
        <f>Q12+IFERROR(VLOOKUP($E:$E,'（居民）工资表-7月'!$E:$U,17,0),0)</f>
        <v>4350.26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R12+IFERROR(VLOOKUP($E:$E,'（居民）工资表-7月'!$E:$AC,25,0),0)</f>
        <v>0</v>
      </c>
      <c r="AD12" s="97">
        <f t="shared" si="2"/>
        <v>21167.92</v>
      </c>
      <c r="AE12" s="98">
        <f>ROUND(MAX((AD12)*{0.03;0.1;0.2;0.25;0.3;0.35;0.45}-{0;2520;16920;31920;52920;85920;181920},0),2)</f>
        <v>635.04</v>
      </c>
      <c r="AF12" s="99">
        <f>IFERROR(VLOOKUP(E:E,'（居民）工资表-7月'!E:AF,28,0)+VLOOKUP(E:E,'（居民）工资表-7月'!E:AG,29,0),0)</f>
        <v>462.09</v>
      </c>
      <c r="AG12" s="99">
        <f t="shared" si="3"/>
        <v>172.95</v>
      </c>
      <c r="AH12" s="109">
        <f t="shared" si="4"/>
        <v>10591.84</v>
      </c>
      <c r="AI12" s="110"/>
      <c r="AJ12" s="109">
        <f t="shared" si="5"/>
        <v>10591.84</v>
      </c>
      <c r="AK12" s="111"/>
      <c r="AL12" s="109">
        <f t="shared" si="6"/>
        <v>10764.79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41">
        <v>18326897140</v>
      </c>
      <c r="H13" s="40"/>
      <c r="I13" s="40"/>
      <c r="J13" s="70"/>
      <c r="K13" s="40"/>
      <c r="L13" s="73">
        <v>8227.27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L13+IFERROR(VLOOKUP($E:$E,'（居民）工资表-7月'!$E:$S,15,0),0)</f>
        <v>53877.27</v>
      </c>
      <c r="T13" s="93">
        <f>5000+IFERROR(VLOOKUP($E:$E,'（居民）工资表-7月'!$E:$T,16,0),0)</f>
        <v>40000</v>
      </c>
      <c r="U13" s="93">
        <f>Q13+IFERROR(VLOOKUP($E:$E,'（居民）工资表-7月'!$E:$U,17,0),0)</f>
        <v>5026.16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R13+IFERROR(VLOOKUP($E:$E,'（居民）工资表-7月'!$E:$AC,25,0),0)</f>
        <v>0</v>
      </c>
      <c r="AD13" s="97">
        <f t="shared" si="2"/>
        <v>8851.11</v>
      </c>
      <c r="AE13" s="98">
        <f>ROUND(MAX((AD13)*{0.03;0.1;0.2;0.25;0.3;0.35;0.45}-{0;2520;16920;31920;52920;85920;181920},0),2)</f>
        <v>265.53</v>
      </c>
      <c r="AF13" s="99">
        <f>IFERROR(VLOOKUP(E:E,'（居民）工资表-7月'!E:AF,28,0)+VLOOKUP(E:E,'（居民）工资表-7月'!E:AG,29,0),0)</f>
        <v>186.13</v>
      </c>
      <c r="AG13" s="99">
        <f t="shared" si="3"/>
        <v>79.4</v>
      </c>
      <c r="AH13" s="109">
        <f t="shared" si="4"/>
        <v>7567.51</v>
      </c>
      <c r="AI13" s="110"/>
      <c r="AJ13" s="109">
        <f t="shared" si="5"/>
        <v>7567.51</v>
      </c>
      <c r="AK13" s="111"/>
      <c r="AL13" s="109">
        <f t="shared" si="6"/>
        <v>7646.91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41">
        <v>17201857014</v>
      </c>
      <c r="H14" s="40"/>
      <c r="I14" s="40"/>
      <c r="J14" s="70"/>
      <c r="K14" s="40"/>
      <c r="L14" s="73">
        <v>11000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L14+IFERROR(VLOOKUP($E:$E,'（居民）工资表-7月'!$E:$S,15,0),0)</f>
        <v>57358.7</v>
      </c>
      <c r="T14" s="93">
        <f>5000+IFERROR(VLOOKUP($E:$E,'（居民）工资表-7月'!$E:$T,16,0),0)</f>
        <v>40000</v>
      </c>
      <c r="U14" s="93">
        <f>Q14+IFERROR(VLOOKUP($E:$E,'（居民）工资表-7月'!$E:$U,17,0),0)</f>
        <v>5026.16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R14+IFERROR(VLOOKUP($E:$E,'（居民）工资表-7月'!$E:$AC,25,0),0)</f>
        <v>0</v>
      </c>
      <c r="AD14" s="97">
        <f t="shared" si="2"/>
        <v>12332.54</v>
      </c>
      <c r="AE14" s="98">
        <f>ROUND(MAX((AD14)*{0.03;0.1;0.2;0.25;0.3;0.35;0.45}-{0;2520;16920;31920;52920;85920;181920},0),2)</f>
        <v>369.98</v>
      </c>
      <c r="AF14" s="99">
        <f>IFERROR(VLOOKUP(E:E,'（居民）工资表-7月'!E:AF,28,0)+VLOOKUP(E:E,'（居民）工资表-7月'!E:AG,29,0),0)</f>
        <v>207.39</v>
      </c>
      <c r="AG14" s="99">
        <f t="shared" si="3"/>
        <v>162.59</v>
      </c>
      <c r="AH14" s="109">
        <f t="shared" si="4"/>
        <v>10257.05</v>
      </c>
      <c r="AI14" s="110"/>
      <c r="AJ14" s="109">
        <f t="shared" si="5"/>
        <v>10257.05</v>
      </c>
      <c r="AK14" s="111"/>
      <c r="AL14" s="109">
        <f t="shared" si="6"/>
        <v>10419.64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41" t="s">
        <v>181</v>
      </c>
      <c r="H15" s="40"/>
      <c r="I15" s="40"/>
      <c r="J15" s="70"/>
      <c r="K15" s="40"/>
      <c r="L15" s="73">
        <v>7900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L15+IFERROR(VLOOKUP($E:$E,'（居民）工资表-7月'!$E:$S,15,0),0)</f>
        <v>57809.09</v>
      </c>
      <c r="T15" s="93">
        <f>5000+IFERROR(VLOOKUP($E:$E,'（居民）工资表-7月'!$E:$T,16,0),0)</f>
        <v>40000</v>
      </c>
      <c r="U15" s="93">
        <f>Q15+IFERROR(VLOOKUP($E:$E,'（居民）工资表-7月'!$E:$U,17,0),0)</f>
        <v>4350.26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R15+IFERROR(VLOOKUP($E:$E,'（居民）工资表-7月'!$E:$AC,25,0),0)</f>
        <v>0</v>
      </c>
      <c r="AD15" s="97">
        <f t="shared" si="2"/>
        <v>13458.83</v>
      </c>
      <c r="AE15" s="98">
        <f>ROUND(MAX((AD15)*{0.03;0.1;0.2;0.25;0.3;0.35;0.45}-{0;2520;16920;31920;52920;85920;181920},0),2)</f>
        <v>403.76</v>
      </c>
      <c r="AF15" s="99">
        <f>IFERROR(VLOOKUP(E:E,'（居民）工资表-7月'!E:AF,28,0)+VLOOKUP(E:E,'（居民）工资表-7月'!E:AG,29,0),0)</f>
        <v>332.82</v>
      </c>
      <c r="AG15" s="99">
        <f t="shared" si="3"/>
        <v>70.94</v>
      </c>
      <c r="AH15" s="109">
        <f t="shared" si="4"/>
        <v>7293.85</v>
      </c>
      <c r="AI15" s="110"/>
      <c r="AJ15" s="109">
        <f t="shared" si="5"/>
        <v>7293.85</v>
      </c>
      <c r="AK15" s="111"/>
      <c r="AL15" s="109">
        <f t="shared" si="6"/>
        <v>7364.79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41">
        <v>15855788591</v>
      </c>
      <c r="H16" s="40"/>
      <c r="I16" s="40"/>
      <c r="J16" s="70"/>
      <c r="K16" s="40"/>
      <c r="L16" s="73">
        <v>7860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L16+IFERROR(VLOOKUP($E:$E,'（居民）工资表-7月'!$E:$S,15,0),0)</f>
        <v>49953.74</v>
      </c>
      <c r="T16" s="93">
        <f>5000+IFERROR(VLOOKUP($E:$E,'（居民）工资表-7月'!$E:$T,16,0),0)</f>
        <v>40000</v>
      </c>
      <c r="U16" s="93">
        <f>Q16+IFERROR(VLOOKUP($E:$E,'（居民）工资表-7月'!$E:$U,17,0),0)</f>
        <v>4120.58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R16+IFERROR(VLOOKUP($E:$E,'（居民）工资表-7月'!$E:$AC,25,0),0)</f>
        <v>0</v>
      </c>
      <c r="AD16" s="97">
        <f t="shared" si="2"/>
        <v>5833.16</v>
      </c>
      <c r="AE16" s="98">
        <f>ROUND(MAX((AD16)*{0.03;0.1;0.2;0.25;0.3;0.35;0.45}-{0;2520;16920;31920;52920;85920;181920},0),2)</f>
        <v>174.99</v>
      </c>
      <c r="AF16" s="99">
        <f>IFERROR(VLOOKUP(E:E,'（居民）工资表-7月'!E:AF,28,0)+VLOOKUP(E:E,'（居民）工资表-7月'!E:AG,29,0),0)</f>
        <v>104.42</v>
      </c>
      <c r="AG16" s="99">
        <f t="shared" si="3"/>
        <v>70.57</v>
      </c>
      <c r="AH16" s="109">
        <f t="shared" si="4"/>
        <v>7282.07</v>
      </c>
      <c r="AI16" s="110"/>
      <c r="AJ16" s="109">
        <f t="shared" si="5"/>
        <v>7282.07</v>
      </c>
      <c r="AK16" s="111"/>
      <c r="AL16" s="109">
        <f t="shared" si="6"/>
        <v>7352.64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41">
        <v>13873717760</v>
      </c>
      <c r="H17" s="40"/>
      <c r="I17" s="40"/>
      <c r="J17" s="70"/>
      <c r="K17" s="40"/>
      <c r="L17" s="73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L17+IFERROR(VLOOKUP($E:$E,'（居民）工资表-7月'!$E:$S,15,0),0)</f>
        <v>37585</v>
      </c>
      <c r="T17" s="93">
        <f>5000+IFERROR(VLOOKUP($E:$E,'（居民）工资表-7月'!$E:$T,16,0),0)</f>
        <v>30000</v>
      </c>
      <c r="U17" s="93">
        <f>Q17+IFERROR(VLOOKUP($E:$E,'（居民）工资表-7月'!$E:$U,17,0),0)</f>
        <v>3741.07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R17+IFERROR(VLOOKUP($E:$E,'（居民）工资表-7月'!$E:$AC,25,0),0)</f>
        <v>0</v>
      </c>
      <c r="AD17" s="97">
        <f t="shared" si="2"/>
        <v>3843.93</v>
      </c>
      <c r="AE17" s="98">
        <f>ROUND(MAX((AD17)*{0.03;0.1;0.2;0.25;0.3;0.35;0.45}-{0;2520;16920;31920;52920;85920;181920},0),2)</f>
        <v>115.32</v>
      </c>
      <c r="AF17" s="99">
        <f>IFERROR(VLOOKUP(E:E,'（居民）工资表-7月'!E:AF,28,0)+VLOOKUP(E:E,'（居民）工资表-7月'!E:AG,29,0),0)</f>
        <v>86.19</v>
      </c>
      <c r="AG17" s="99">
        <f t="shared" si="3"/>
        <v>29.13</v>
      </c>
      <c r="AH17" s="109">
        <f t="shared" si="4"/>
        <v>5941.71</v>
      </c>
      <c r="AI17" s="110"/>
      <c r="AJ17" s="109">
        <f t="shared" si="5"/>
        <v>5941.71</v>
      </c>
      <c r="AK17" s="111"/>
      <c r="AL17" s="109">
        <f t="shared" si="6"/>
        <v>5970.84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>IF(SUMPRODUCT(N(E$1:E$18=E17))&gt;1,"重复","不")</f>
        <v>不</v>
      </c>
      <c r="AT17" s="118" t="str">
        <f>IF(SUMPRODUCT(N(AO$1:AO$18=AO17))&gt;1,"重复","不")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38" t="s">
        <v>148</v>
      </c>
      <c r="G18" s="41"/>
      <c r="H18" s="40"/>
      <c r="I18" s="40"/>
      <c r="J18" s="70"/>
      <c r="K18" s="40"/>
      <c r="L18" s="73">
        <v>7800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L18+IFERROR(VLOOKUP($E:$E,'（居民）工资表-7月'!$E:$S,15,0),0)</f>
        <v>20836.37</v>
      </c>
      <c r="T18" s="93">
        <f>5000+IFERROR(VLOOKUP($E:$E,'（居民）工资表-7月'!$E:$T,16,0),0)</f>
        <v>20000</v>
      </c>
      <c r="U18" s="93">
        <f>Q18+IFERROR(VLOOKUP($E:$E,'（居民）工资表-7月'!$E:$U,17,0),0)</f>
        <v>2526.8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R18+IFERROR(VLOOKUP($E:$E,'（居民）工资表-7月'!$E:$AC,25,0),0)</f>
        <v>0</v>
      </c>
      <c r="AD18" s="97">
        <f t="shared" si="2"/>
        <v>-1690.43</v>
      </c>
      <c r="AE18" s="98">
        <f>ROUND(MAX((AD18)*{0.03;0.1;0.2;0.25;0.3;0.35;0.45}-{0;2520;16920;31920;52920;85920;181920},0),2)</f>
        <v>0</v>
      </c>
      <c r="AF18" s="99">
        <f>IFERROR(VLOOKUP(E:E,'（居民）工资表-7月'!E:AF,28,0)+VLOOKUP(E:E,'（居民）工资表-7月'!E:AG,29,0),0)</f>
        <v>0</v>
      </c>
      <c r="AG18" s="99">
        <f t="shared" si="3"/>
        <v>0</v>
      </c>
      <c r="AH18" s="109">
        <f t="shared" si="4"/>
        <v>7294.64</v>
      </c>
      <c r="AI18" s="110"/>
      <c r="AJ18" s="109">
        <f t="shared" si="5"/>
        <v>7294.64</v>
      </c>
      <c r="AK18" s="111"/>
      <c r="AL18" s="109">
        <f t="shared" si="6"/>
        <v>7294.64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>IF(SUMPRODUCT(N(E$1:E$18=E18))&gt;1,"重复","不")</f>
        <v>不</v>
      </c>
      <c r="AT18" s="118" t="str">
        <f>IF(SUMPRODUCT(N(AO$1:AO$18=AO18))&gt;1,"重复","不")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7" t="s">
        <v>189</v>
      </c>
      <c r="F19" s="38" t="s">
        <v>148</v>
      </c>
      <c r="G19" s="41">
        <v>15571147351</v>
      </c>
      <c r="H19" s="40"/>
      <c r="I19" s="40"/>
      <c r="J19" s="70"/>
      <c r="K19" s="40"/>
      <c r="L19" s="73">
        <v>3800</v>
      </c>
      <c r="M19" s="72">
        <v>326.16</v>
      </c>
      <c r="N19" s="72">
        <v>88.54</v>
      </c>
      <c r="O19" s="72">
        <v>12.23</v>
      </c>
      <c r="P19" s="72">
        <v>100.5</v>
      </c>
      <c r="Q19" s="91">
        <f t="shared" si="0"/>
        <v>527.43</v>
      </c>
      <c r="R19" s="73">
        <v>0</v>
      </c>
      <c r="S19" s="92">
        <f>L19+IFERROR(VLOOKUP($E:$E,'（居民）工资表-7月'!$E:$S,15,0),0)</f>
        <v>5266.67</v>
      </c>
      <c r="T19" s="93">
        <f>5000+IFERROR(VLOOKUP($E:$E,'（居民）工资表-7月'!$E:$T,16,0),0)</f>
        <v>10000</v>
      </c>
      <c r="U19" s="93">
        <f>Q19+IFERROR(VLOOKUP($E:$E,'（居民）工资表-7月'!$E:$U,17,0),0)</f>
        <v>1575.29</v>
      </c>
      <c r="V19" s="73"/>
      <c r="W19" s="73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R19+IFERROR(VLOOKUP($E:$E,'（居民）工资表-7月'!$E:$AC,25,0),0)</f>
        <v>0</v>
      </c>
      <c r="AD19" s="97">
        <f t="shared" si="2"/>
        <v>-6308.62</v>
      </c>
      <c r="AE19" s="98">
        <f>ROUND(MAX((AD19)*{0.03;0.1;0.2;0.25;0.3;0.35;0.45}-{0;2520;16920;31920;52920;85920;181920},0),2)</f>
        <v>0</v>
      </c>
      <c r="AF19" s="99">
        <f>IFERROR(VLOOKUP(E:E,'（居民）工资表-7月'!E:AF,28,0)+VLOOKUP(E:E,'（居民）工资表-7月'!E:AG,29,0),0)</f>
        <v>0</v>
      </c>
      <c r="AG19" s="99">
        <f t="shared" si="3"/>
        <v>0</v>
      </c>
      <c r="AH19" s="109">
        <f t="shared" si="4"/>
        <v>3272.57</v>
      </c>
      <c r="AI19" s="110"/>
      <c r="AJ19" s="109">
        <f t="shared" si="5"/>
        <v>3272.57</v>
      </c>
      <c r="AK19" s="111"/>
      <c r="AL19" s="109">
        <f t="shared" si="6"/>
        <v>3272.57</v>
      </c>
      <c r="AM19" s="111"/>
      <c r="AN19" s="111"/>
      <c r="AO19" s="111"/>
      <c r="AP19" s="111"/>
      <c r="AQ19" s="111"/>
      <c r="AR19" s="118" t="str">
        <f t="shared" si="7"/>
        <v>正确</v>
      </c>
      <c r="AS19" s="118" t="str">
        <f>IF(SUMPRODUCT(N(E$1:E$18=E19))&gt;1,"重复","不")</f>
        <v>不</v>
      </c>
      <c r="AT19" s="118" t="str">
        <f>IF(SUMPRODUCT(N(AO$1:AO$18=AO19))&gt;1,"重复","不")</f>
        <v>重复</v>
      </c>
      <c r="AU19" s="12" t="s">
        <v>190</v>
      </c>
      <c r="AV19" s="12" t="s">
        <v>191</v>
      </c>
    </row>
    <row r="20" s="13" customFormat="1" ht="18" customHeight="1" spans="1:46">
      <c r="A20" s="42"/>
      <c r="B20" s="43" t="s">
        <v>192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146606.07</v>
      </c>
      <c r="M20" s="76">
        <f>SUM(M4:M19)</f>
        <v>5484.26</v>
      </c>
      <c r="N20" s="76">
        <f>SUM(N4:N19)</f>
        <v>1511.24</v>
      </c>
      <c r="O20" s="76">
        <f t="shared" ref="O20:AL20" si="10">SUM(O4:O19)</f>
        <v>284.98</v>
      </c>
      <c r="P20" s="76">
        <f t="shared" si="10"/>
        <v>2069.8</v>
      </c>
      <c r="Q20" s="76">
        <f t="shared" si="10"/>
        <v>9350.28</v>
      </c>
      <c r="R20" s="76">
        <f t="shared" si="10"/>
        <v>0</v>
      </c>
      <c r="S20" s="76">
        <f t="shared" si="10"/>
        <v>960129.5</v>
      </c>
      <c r="T20" s="76">
        <f t="shared" si="10"/>
        <v>570000</v>
      </c>
      <c r="U20" s="76">
        <f t="shared" si="10"/>
        <v>69304.07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320825.43</v>
      </c>
      <c r="AE20" s="76">
        <f t="shared" si="10"/>
        <v>26382.16</v>
      </c>
      <c r="AF20" s="76">
        <f t="shared" si="10"/>
        <v>18013.08</v>
      </c>
      <c r="AG20" s="76">
        <f t="shared" si="10"/>
        <v>8369.08</v>
      </c>
      <c r="AH20" s="76">
        <f t="shared" si="10"/>
        <v>128886.71</v>
      </c>
      <c r="AI20" s="76">
        <f t="shared" si="10"/>
        <v>0</v>
      </c>
      <c r="AJ20" s="76">
        <f t="shared" si="10"/>
        <v>128886.71</v>
      </c>
      <c r="AK20" s="76">
        <f t="shared" si="10"/>
        <v>0</v>
      </c>
      <c r="AL20" s="76">
        <f t="shared" si="10"/>
        <v>137255.79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0">
      <c r="B24" s="48" t="s">
        <v>131</v>
      </c>
      <c r="C24" s="48" t="s">
        <v>193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128886.71</v>
      </c>
      <c r="C25" s="49">
        <f>AG20</f>
        <v>8369.08</v>
      </c>
      <c r="D25" s="49">
        <f>AK20</f>
        <v>0</v>
      </c>
      <c r="E25" s="49">
        <f>B25+C25+D25</f>
        <v>137255.79</v>
      </c>
    </row>
    <row r="26" spans="2:5">
      <c r="B26" s="50"/>
      <c r="C26" s="50"/>
      <c r="D26" s="50"/>
      <c r="E26" s="50" t="e">
        <f>#REF!</f>
        <v>#REF!</v>
      </c>
    </row>
    <row r="27" s="14" customFormat="1" spans="1:35">
      <c r="A27" s="52" t="s">
        <v>194</v>
      </c>
      <c r="B27" s="53" t="s">
        <v>195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196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197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198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199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200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201</v>
      </c>
    </row>
    <row r="35" spans="2:2">
      <c r="B35" s="60" t="s">
        <v>202</v>
      </c>
    </row>
    <row r="36" spans="2:2">
      <c r="B36" s="60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A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86.35</v>
      </c>
      <c r="O4" s="72">
        <v>11.98</v>
      </c>
      <c r="P4" s="72">
        <v>177</v>
      </c>
      <c r="Q4" s="91">
        <f>ROUND(SUM(M4:P4),2)</f>
        <v>594.79</v>
      </c>
      <c r="R4" s="73">
        <v>0</v>
      </c>
      <c r="S4" s="92">
        <f>L4+IFERROR(VLOOKUP($E:$E,'（居民）工资表-8月'!$E:$S,15,0),0)</f>
        <v>72000</v>
      </c>
      <c r="T4" s="93">
        <f>5000+IFERROR(VLOOKUP($E:$E,'（居民）工资表-8月'!$E:$T,16,0),0)</f>
        <v>45000</v>
      </c>
      <c r="U4" s="93">
        <f>Q4+IFERROR(VLOOKUP($E:$E,'（居民）工资表-8月'!$E:$U,17,0),0)</f>
        <v>5569.27</v>
      </c>
      <c r="V4" s="73"/>
      <c r="W4" s="129"/>
      <c r="X4" s="73"/>
      <c r="Y4" s="73"/>
      <c r="Z4" s="73"/>
      <c r="AA4" s="73"/>
      <c r="AB4" s="92">
        <f>ROUND(SUM(V4:AA4),2)</f>
        <v>0</v>
      </c>
      <c r="AC4" s="92">
        <f>R4+IFERROR(VLOOKUP($E:$E,'（居民）工资表-8月'!$E:$AC,25,0),0)</f>
        <v>0</v>
      </c>
      <c r="AD4" s="97">
        <f>ROUND(S4-T4-U4-AB4-AC4,2)</f>
        <v>21430.73</v>
      </c>
      <c r="AE4" s="98">
        <f>ROUND(MAX((AD4)*{0.03;0.1;0.2;0.25;0.3;0.35;0.45}-{0;2520;16920;31920;52920;85920;181920},0),2)</f>
        <v>642.92</v>
      </c>
      <c r="AF4" s="99">
        <f>IFERROR(VLOOKUP(E:E,'（居民）工资表-8月'!E:AF,28,0)+VLOOKUP(E:E,'（居民）工资表-8月'!E:AG,29,0),0)</f>
        <v>570.77</v>
      </c>
      <c r="AG4" s="99">
        <f>AE4-AF4</f>
        <v>72.15</v>
      </c>
      <c r="AH4" s="109">
        <f>ROUND(IF((L4-Q4-AG4)&lt;0,0,(L4-Q4-AG4)),2)</f>
        <v>7333.06</v>
      </c>
      <c r="AI4" s="110"/>
      <c r="AJ4" s="109">
        <f>AH4+AI4</f>
        <v>7333.06</v>
      </c>
      <c r="AK4" s="111"/>
      <c r="AL4" s="109">
        <f>AJ4+AG4+AK4</f>
        <v>7405.21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IF(SUMPRODUCT(N(E$1:E$8=E4))&gt;1,"重复","不")</f>
        <v>不</v>
      </c>
      <c r="AT4" s="118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91">
        <f t="shared" ref="Q5:Q19" si="0">ROUND(SUM(M5:P5),2)</f>
        <v>655.8</v>
      </c>
      <c r="R5" s="73">
        <v>0</v>
      </c>
      <c r="S5" s="92">
        <f>L5+IFERROR(VLOOKUP($E:$E,'（居民）工资表-8月'!$E:$S,15,0),0)</f>
        <v>51300</v>
      </c>
      <c r="T5" s="93">
        <f>5000+IFERROR(VLOOKUP($E:$E,'（居民）工资表-8月'!$E:$T,16,0),0)</f>
        <v>45000</v>
      </c>
      <c r="U5" s="93">
        <f>Q5+IFERROR(VLOOKUP($E:$E,'（居民）工资表-8月'!$E:$U,17,0),0)</f>
        <v>5692.36</v>
      </c>
      <c r="V5" s="73"/>
      <c r="W5" s="129"/>
      <c r="X5" s="73"/>
      <c r="Y5" s="73"/>
      <c r="Z5" s="73"/>
      <c r="AA5" s="73"/>
      <c r="AB5" s="92">
        <f t="shared" ref="AB5:AB19" si="1">ROUND(SUM(V5:AA5),2)</f>
        <v>0</v>
      </c>
      <c r="AC5" s="92">
        <f>R5+IFERROR(VLOOKUP($E:$E,'（居民）工资表-8月'!$E:$AC,25,0),0)</f>
        <v>0</v>
      </c>
      <c r="AD5" s="97">
        <f t="shared" ref="AD5:AD19" si="2">ROUND(S5-T5-U5-AB5-AC5,2)</f>
        <v>607.64</v>
      </c>
      <c r="AE5" s="98">
        <f>ROUND(MAX((AD5)*{0.03;0.1;0.2;0.25;0.3;0.35;0.45}-{0;2520;16920;31920;52920;85920;181920},0),2)</f>
        <v>18.23</v>
      </c>
      <c r="AF5" s="99">
        <f>IFERROR(VLOOKUP(E:E,'（居民）工资表-8月'!E:AF,28,0)+VLOOKUP(E:E,'（居民）工资表-8月'!E:AG,29,0),0)</f>
        <v>16.9</v>
      </c>
      <c r="AG5" s="99">
        <f t="shared" ref="AG5:AG19" si="3">AE5-AF5</f>
        <v>1.33</v>
      </c>
      <c r="AH5" s="109">
        <f t="shared" ref="AH5:AH19" si="4">ROUND(IF((L5-Q5-AG5)&lt;0,0,(L5-Q5-AG5)),2)</f>
        <v>5042.87</v>
      </c>
      <c r="AI5" s="110"/>
      <c r="AJ5" s="109">
        <f t="shared" ref="AJ5:AJ19" si="5">AH5+AI5</f>
        <v>5042.87</v>
      </c>
      <c r="AK5" s="111"/>
      <c r="AL5" s="109">
        <f t="shared" ref="AL5:AL19" si="6">AJ5+AG5+AK5</f>
        <v>5044.2</v>
      </c>
      <c r="AM5" s="111"/>
      <c r="AN5" s="111"/>
      <c r="AO5" s="111"/>
      <c r="AP5" s="111"/>
      <c r="AQ5" s="111"/>
      <c r="AR5" s="118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 t="shared" ref="AS5:AS19" si="8">IF(SUMPRODUCT(N(E$1:E$8=E5))&gt;1,"重复","不")</f>
        <v>不</v>
      </c>
      <c r="AT5" s="118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181.3</v>
      </c>
      <c r="Q6" s="91">
        <f t="shared" si="0"/>
        <v>948.85</v>
      </c>
      <c r="R6" s="73">
        <v>0</v>
      </c>
      <c r="S6" s="92">
        <f>L6+IFERROR(VLOOKUP($E:$E,'（居民）工资表-8月'!$E:$S,15,0),0)</f>
        <v>274040</v>
      </c>
      <c r="T6" s="93">
        <f>5000+IFERROR(VLOOKUP($E:$E,'（居民）工资表-8月'!$E:$T,16,0),0)</f>
        <v>45000</v>
      </c>
      <c r="U6" s="93">
        <f>Q6+IFERROR(VLOOKUP($E:$E,'（居民）工资表-8月'!$E:$U,17,0),0)</f>
        <v>8207.25</v>
      </c>
      <c r="V6" s="73"/>
      <c r="W6" s="129"/>
      <c r="X6" s="73"/>
      <c r="Y6" s="73"/>
      <c r="Z6" s="73"/>
      <c r="AA6" s="73"/>
      <c r="AB6" s="92">
        <f t="shared" si="1"/>
        <v>0</v>
      </c>
      <c r="AC6" s="92">
        <f>R6+IFERROR(VLOOKUP($E:$E,'（居民）工资表-8月'!$E:$AC,25,0),0)</f>
        <v>0</v>
      </c>
      <c r="AD6" s="97">
        <f t="shared" si="2"/>
        <v>220832.75</v>
      </c>
      <c r="AE6" s="98">
        <f>ROUND(MAX((AD6)*{0.03;0.1;0.2;0.25;0.3;0.35;0.45}-{0;2520;16920;31920;52920;85920;181920},0),2)</f>
        <v>27246.55</v>
      </c>
      <c r="AF6" s="99">
        <f>IFERROR(VLOOKUP(E:E,'（居民）工资表-8月'!E:AF,28,0)+VLOOKUP(E:E,'（居民）工资表-8月'!E:AG,29,0),0)</f>
        <v>22124.32</v>
      </c>
      <c r="AG6" s="99">
        <f t="shared" si="3"/>
        <v>5122.23</v>
      </c>
      <c r="AH6" s="109">
        <f t="shared" si="4"/>
        <v>25488.92</v>
      </c>
      <c r="AI6" s="110"/>
      <c r="AJ6" s="109">
        <f t="shared" si="5"/>
        <v>25488.92</v>
      </c>
      <c r="AK6" s="111"/>
      <c r="AL6" s="109">
        <f t="shared" si="6"/>
        <v>30611.15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9600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si="0"/>
        <v>507.36</v>
      </c>
      <c r="R7" s="73">
        <v>0</v>
      </c>
      <c r="S7" s="92">
        <f>L7+IFERROR(VLOOKUP($E:$E,'（居民）工资表-8月'!$E:$S,15,0),0)</f>
        <v>71200</v>
      </c>
      <c r="T7" s="93">
        <f>5000+IFERROR(VLOOKUP($E:$E,'（居民）工资表-8月'!$E:$T,16,0),0)</f>
        <v>45000</v>
      </c>
      <c r="U7" s="93">
        <f>Q7+IFERROR(VLOOKUP($E:$E,'（居民）工资表-8月'!$E:$U,17,0),0)</f>
        <v>4627.94</v>
      </c>
      <c r="V7" s="73"/>
      <c r="W7" s="129"/>
      <c r="X7" s="73"/>
      <c r="Y7" s="73"/>
      <c r="Z7" s="73"/>
      <c r="AA7" s="73"/>
      <c r="AB7" s="92">
        <f t="shared" si="1"/>
        <v>0</v>
      </c>
      <c r="AC7" s="92">
        <f>R7+IFERROR(VLOOKUP($E:$E,'（居民）工资表-8月'!$E:$AC,25,0),0)</f>
        <v>0</v>
      </c>
      <c r="AD7" s="97">
        <f t="shared" si="2"/>
        <v>21572.06</v>
      </c>
      <c r="AE7" s="98">
        <f>ROUND(MAX((AD7)*{0.03;0.1;0.2;0.25;0.3;0.35;0.45}-{0;2520;16920;31920;52920;85920;181920},0),2)</f>
        <v>647.16</v>
      </c>
      <c r="AF7" s="99">
        <f>IFERROR(VLOOKUP(E:E,'（居民）工资表-8月'!E:AF,28,0)+VLOOKUP(E:E,'（居民）工资表-8月'!E:AG,29,0),0)</f>
        <v>524.38</v>
      </c>
      <c r="AG7" s="99">
        <f t="shared" si="3"/>
        <v>122.78</v>
      </c>
      <c r="AH7" s="109">
        <f t="shared" si="4"/>
        <v>8969.86</v>
      </c>
      <c r="AI7" s="110"/>
      <c r="AJ7" s="109">
        <f t="shared" si="5"/>
        <v>8969.86</v>
      </c>
      <c r="AK7" s="111"/>
      <c r="AL7" s="109">
        <f t="shared" si="6"/>
        <v>9092.64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11100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L8+IFERROR(VLOOKUP($E:$E,'（居民）工资表-8月'!$E:$S,15,0),0)</f>
        <v>87700</v>
      </c>
      <c r="T8" s="93">
        <f>5000+IFERROR(VLOOKUP($E:$E,'（居民）工资表-8月'!$E:$T,16,0),0)</f>
        <v>45000</v>
      </c>
      <c r="U8" s="93">
        <f>Q8+IFERROR(VLOOKUP($E:$E,'（居民）工资表-8月'!$E:$U,17,0),0)</f>
        <v>5606.52</v>
      </c>
      <c r="V8" s="73"/>
      <c r="W8" s="129"/>
      <c r="X8" s="73"/>
      <c r="Y8" s="73"/>
      <c r="Z8" s="73"/>
      <c r="AA8" s="73"/>
      <c r="AB8" s="92">
        <f t="shared" si="1"/>
        <v>0</v>
      </c>
      <c r="AC8" s="92">
        <f>R8+IFERROR(VLOOKUP($E:$E,'（居民）工资表-8月'!$E:$AC,25,0),0)</f>
        <v>0</v>
      </c>
      <c r="AD8" s="97">
        <f t="shared" si="2"/>
        <v>37093.48</v>
      </c>
      <c r="AE8" s="98">
        <f>ROUND(MAX((AD8)*{0.03;0.1;0.2;0.25;0.3;0.35;0.45}-{0;2520;16920;31920;52920;85920;181920},0),2)</f>
        <v>1189.35</v>
      </c>
      <c r="AF8" s="99">
        <f>IFERROR(VLOOKUP(E:E,'（居民）工资表-8月'!E:AF,28,0)+VLOOKUP(E:E,'（居民）工资表-8月'!E:AG,29,0),0)</f>
        <v>947.22</v>
      </c>
      <c r="AG8" s="99">
        <f t="shared" si="3"/>
        <v>242.13</v>
      </c>
      <c r="AH8" s="109">
        <f t="shared" si="4"/>
        <v>10277.51</v>
      </c>
      <c r="AI8" s="110"/>
      <c r="AJ8" s="109">
        <f t="shared" si="5"/>
        <v>10277.51</v>
      </c>
      <c r="AK8" s="111"/>
      <c r="AL8" s="109">
        <f t="shared" si="6"/>
        <v>10519.64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L9+IFERROR(VLOOKUP($E:$E,'（居民）工资表-8月'!$E:$S,15,0),0)</f>
        <v>58500</v>
      </c>
      <c r="T9" s="93">
        <f>5000+IFERROR(VLOOKUP($E:$E,'（居民）工资表-8月'!$E:$T,16,0),0)</f>
        <v>45000</v>
      </c>
      <c r="U9" s="93">
        <f>Q9+IFERROR(VLOOKUP($E:$E,'（居民）工资表-8月'!$E:$U,17,0),0)</f>
        <v>4715.81</v>
      </c>
      <c r="V9" s="73"/>
      <c r="W9" s="129"/>
      <c r="X9" s="73"/>
      <c r="Y9" s="73"/>
      <c r="Z9" s="73"/>
      <c r="AA9" s="73"/>
      <c r="AB9" s="92">
        <f t="shared" si="1"/>
        <v>0</v>
      </c>
      <c r="AC9" s="92">
        <f>R9+IFERROR(VLOOKUP($E:$E,'（居民）工资表-8月'!$E:$AC,25,0),0)</f>
        <v>0</v>
      </c>
      <c r="AD9" s="97">
        <f t="shared" si="2"/>
        <v>8784.19</v>
      </c>
      <c r="AE9" s="98">
        <f>ROUND(MAX((AD9)*{0.03;0.1;0.2;0.25;0.3;0.35;0.45}-{0;2520;16920;31920;52920;85920;181920},0),2)</f>
        <v>263.53</v>
      </c>
      <c r="AF9" s="99">
        <f>IFERROR(VLOOKUP(E:E,'（居民）工资表-8月'!E:AF,28,0)+VLOOKUP(E:E,'（居民）工资表-8月'!E:AG,29,0),0)</f>
        <v>233.95</v>
      </c>
      <c r="AG9" s="99">
        <f t="shared" si="3"/>
        <v>29.58</v>
      </c>
      <c r="AH9" s="109">
        <f t="shared" si="4"/>
        <v>5956.26</v>
      </c>
      <c r="AI9" s="110"/>
      <c r="AJ9" s="109">
        <f t="shared" si="5"/>
        <v>5956.26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445.36</v>
      </c>
      <c r="N10" s="72">
        <v>116.34</v>
      </c>
      <c r="O10" s="72">
        <v>27.84</v>
      </c>
      <c r="P10" s="72">
        <v>105</v>
      </c>
      <c r="Q10" s="91">
        <f t="shared" si="0"/>
        <v>694.54</v>
      </c>
      <c r="R10" s="73">
        <v>0</v>
      </c>
      <c r="S10" s="92">
        <f>L10+IFERROR(VLOOKUP($E:$E,'（居民）工资表-8月'!$E:$S,15,0),0)</f>
        <v>38500</v>
      </c>
      <c r="T10" s="93">
        <f>5000+IFERROR(VLOOKUP($E:$E,'（居民）工资表-8月'!$E:$T,16,0),0)</f>
        <v>35000</v>
      </c>
      <c r="U10" s="93">
        <f>Q10+IFERROR(VLOOKUP($E:$E,'（居民）工资表-8月'!$E:$U,17,0),0)</f>
        <v>3847.48</v>
      </c>
      <c r="V10" s="73"/>
      <c r="W10" s="129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R10+IFERROR(VLOOKUP($E:$E,'（居民）工资表-8月'!$E:$AC,25,0),0)</f>
        <v>0</v>
      </c>
      <c r="AD10" s="97">
        <f t="shared" si="2"/>
        <v>-347.48</v>
      </c>
      <c r="AE10" s="98">
        <f>ROUND(MAX((AD10)*{0.03;0.1;0.2;0.25;0.3;0.35;0.45}-{0;2520;16920;31920;52920;85920;181920},0),2)</f>
        <v>0</v>
      </c>
      <c r="AF10" s="99">
        <f>IFERROR(VLOOKUP(E:E,'（居民）工资表-8月'!E:AF,28,0)+VLOOKUP(E:E,'（居民）工资表-8月'!E:AG,29,0),0)</f>
        <v>0</v>
      </c>
      <c r="AG10" s="99">
        <f t="shared" si="3"/>
        <v>0</v>
      </c>
      <c r="AH10" s="109">
        <f t="shared" si="4"/>
        <v>4805.46</v>
      </c>
      <c r="AI10" s="110"/>
      <c r="AJ10" s="109">
        <f t="shared" si="5"/>
        <v>4805.46</v>
      </c>
      <c r="AK10" s="111"/>
      <c r="AL10" s="109">
        <f t="shared" si="6"/>
        <v>4805.46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41" t="s">
        <v>170</v>
      </c>
      <c r="H11" s="40"/>
      <c r="I11" s="40"/>
      <c r="J11" s="70"/>
      <c r="K11" s="40"/>
      <c r="L11" s="73">
        <v>4598.8</v>
      </c>
      <c r="M11" s="72">
        <v>352</v>
      </c>
      <c r="N11" s="72">
        <v>109</v>
      </c>
      <c r="O11" s="72">
        <v>22</v>
      </c>
      <c r="P11" s="72">
        <v>109</v>
      </c>
      <c r="Q11" s="91">
        <f t="shared" si="0"/>
        <v>592</v>
      </c>
      <c r="R11" s="73">
        <v>0</v>
      </c>
      <c r="S11" s="92">
        <f>L11+IFERROR(VLOOKUP($E:$E,'（居民）工资表-8月'!$E:$S,15,0),0)</f>
        <v>41243.28</v>
      </c>
      <c r="T11" s="93">
        <f>5000+IFERROR(VLOOKUP($E:$E,'（居民）工资表-8月'!$E:$T,16,0),0)</f>
        <v>45000</v>
      </c>
      <c r="U11" s="93">
        <f>Q11+IFERROR(VLOOKUP($E:$E,'（居民）工资表-8月'!$E:$U,17,0),0)</f>
        <v>5408.72</v>
      </c>
      <c r="V11" s="73"/>
      <c r="W11" s="129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R11+IFERROR(VLOOKUP($E:$E,'（居民）工资表-8月'!$E:$AC,25,0),0)</f>
        <v>0</v>
      </c>
      <c r="AD11" s="97">
        <f t="shared" si="2"/>
        <v>-9165.44</v>
      </c>
      <c r="AE11" s="98">
        <f>ROUND(MAX((AD11)*{0.03;0.1;0.2;0.25;0.3;0.35;0.45}-{0;2520;16920;31920;52920;85920;181920},0),2)</f>
        <v>0</v>
      </c>
      <c r="AF11" s="99">
        <f>IFERROR(VLOOKUP(E:E,'（居民）工资表-8月'!E:AF,28,0)+VLOOKUP(E:E,'（居民）工资表-8月'!E:AG,29,0),0)</f>
        <v>0</v>
      </c>
      <c r="AG11" s="99">
        <f t="shared" si="3"/>
        <v>0</v>
      </c>
      <c r="AH11" s="109">
        <f t="shared" si="4"/>
        <v>4006.8</v>
      </c>
      <c r="AI11" s="110"/>
      <c r="AJ11" s="109">
        <f t="shared" si="5"/>
        <v>4006.8</v>
      </c>
      <c r="AK11" s="111"/>
      <c r="AL11" s="109">
        <f t="shared" si="6"/>
        <v>4006.8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41">
        <v>18356553626</v>
      </c>
      <c r="H12" s="40"/>
      <c r="I12" s="40"/>
      <c r="J12" s="70"/>
      <c r="K12" s="40"/>
      <c r="L12" s="73">
        <v>11000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L12+IFERROR(VLOOKUP($E:$E,'（居民）工资表-8月'!$E:$S,15,0),0)</f>
        <v>76518.18</v>
      </c>
      <c r="T12" s="93">
        <f>5000+IFERROR(VLOOKUP($E:$E,'（居民）工资表-8月'!$E:$T,16,0),0)</f>
        <v>45000</v>
      </c>
      <c r="U12" s="93">
        <f>Q12+IFERROR(VLOOKUP($E:$E,'（居民）工资表-8月'!$E:$U,17,0),0)</f>
        <v>4885.47</v>
      </c>
      <c r="V12" s="73"/>
      <c r="W12" s="129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R12+IFERROR(VLOOKUP($E:$E,'（居民）工资表-8月'!$E:$AC,25,0),0)</f>
        <v>0</v>
      </c>
      <c r="AD12" s="97">
        <f t="shared" si="2"/>
        <v>26632.71</v>
      </c>
      <c r="AE12" s="98">
        <f>ROUND(MAX((AD12)*{0.03;0.1;0.2;0.25;0.3;0.35;0.45}-{0;2520;16920;31920;52920;85920;181920},0),2)</f>
        <v>798.98</v>
      </c>
      <c r="AF12" s="99">
        <f>IFERROR(VLOOKUP(E:E,'（居民）工资表-8月'!E:AF,28,0)+VLOOKUP(E:E,'（居民）工资表-8月'!E:AG,29,0),0)</f>
        <v>635.04</v>
      </c>
      <c r="AG12" s="99">
        <f t="shared" si="3"/>
        <v>163.94</v>
      </c>
      <c r="AH12" s="109">
        <f t="shared" si="4"/>
        <v>10300.85</v>
      </c>
      <c r="AI12" s="110"/>
      <c r="AJ12" s="109">
        <f t="shared" si="5"/>
        <v>10300.85</v>
      </c>
      <c r="AK12" s="111"/>
      <c r="AL12" s="109">
        <f t="shared" si="6"/>
        <v>10464.79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41">
        <v>18326897140</v>
      </c>
      <c r="H13" s="40"/>
      <c r="I13" s="40"/>
      <c r="J13" s="70"/>
      <c r="K13" s="40"/>
      <c r="L13" s="73">
        <v>8434.78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L13+IFERROR(VLOOKUP($E:$E,'（居民）工资表-8月'!$E:$S,15,0),0)</f>
        <v>62312.05</v>
      </c>
      <c r="T13" s="93">
        <f>5000+IFERROR(VLOOKUP($E:$E,'（居民）工资表-8月'!$E:$T,16,0),0)</f>
        <v>45000</v>
      </c>
      <c r="U13" s="93">
        <f>Q13+IFERROR(VLOOKUP($E:$E,'（居民）工资表-8月'!$E:$U,17,0),0)</f>
        <v>5606.52</v>
      </c>
      <c r="V13" s="73"/>
      <c r="W13" s="129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R13+IFERROR(VLOOKUP($E:$E,'（居民）工资表-8月'!$E:$AC,25,0),0)</f>
        <v>0</v>
      </c>
      <c r="AD13" s="97">
        <f t="shared" si="2"/>
        <v>11705.53</v>
      </c>
      <c r="AE13" s="98">
        <f>ROUND(MAX((AD13)*{0.03;0.1;0.2;0.25;0.3;0.35;0.45}-{0;2520;16920;31920;52920;85920;181920},0),2)</f>
        <v>351.17</v>
      </c>
      <c r="AF13" s="99">
        <f>IFERROR(VLOOKUP(E:E,'（居民）工资表-8月'!E:AF,28,0)+VLOOKUP(E:E,'（居民）工资表-8月'!E:AG,29,0),0)</f>
        <v>265.53</v>
      </c>
      <c r="AG13" s="99">
        <f t="shared" si="3"/>
        <v>85.64</v>
      </c>
      <c r="AH13" s="109">
        <f t="shared" si="4"/>
        <v>7768.78</v>
      </c>
      <c r="AI13" s="110"/>
      <c r="AJ13" s="109">
        <f t="shared" si="5"/>
        <v>7768.78</v>
      </c>
      <c r="AK13" s="111"/>
      <c r="AL13" s="109">
        <f t="shared" si="6"/>
        <v>7854.42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41">
        <v>17201857014</v>
      </c>
      <c r="H14" s="40"/>
      <c r="I14" s="40"/>
      <c r="J14" s="70"/>
      <c r="K14" s="40"/>
      <c r="L14" s="73">
        <v>9800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L14+IFERROR(VLOOKUP($E:$E,'（居民）工资表-8月'!$E:$S,15,0),0)</f>
        <v>67158.7</v>
      </c>
      <c r="T14" s="93">
        <f>5000+IFERROR(VLOOKUP($E:$E,'（居民）工资表-8月'!$E:$T,16,0),0)</f>
        <v>45000</v>
      </c>
      <c r="U14" s="93">
        <f>Q14+IFERROR(VLOOKUP($E:$E,'（居民）工资表-8月'!$E:$U,17,0),0)</f>
        <v>5606.52</v>
      </c>
      <c r="V14" s="73"/>
      <c r="W14" s="129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R14+IFERROR(VLOOKUP($E:$E,'（居民）工资表-8月'!$E:$AC,25,0),0)</f>
        <v>0</v>
      </c>
      <c r="AD14" s="97">
        <f t="shared" si="2"/>
        <v>16552.18</v>
      </c>
      <c r="AE14" s="98">
        <f>ROUND(MAX((AD14)*{0.03;0.1;0.2;0.25;0.3;0.35;0.45}-{0;2520;16920;31920;52920;85920;181920},0),2)</f>
        <v>496.57</v>
      </c>
      <c r="AF14" s="99">
        <f>IFERROR(VLOOKUP(E:E,'（居民）工资表-8月'!E:AF,28,0)+VLOOKUP(E:E,'（居民）工资表-8月'!E:AG,29,0),0)</f>
        <v>369.98</v>
      </c>
      <c r="AG14" s="99">
        <f t="shared" si="3"/>
        <v>126.59</v>
      </c>
      <c r="AH14" s="109">
        <f t="shared" si="4"/>
        <v>9093.05</v>
      </c>
      <c r="AI14" s="110"/>
      <c r="AJ14" s="109">
        <f t="shared" si="5"/>
        <v>9093.05</v>
      </c>
      <c r="AK14" s="111"/>
      <c r="AL14" s="109">
        <f t="shared" si="6"/>
        <v>9219.64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41" t="s">
        <v>181</v>
      </c>
      <c r="H15" s="40"/>
      <c r="I15" s="40"/>
      <c r="J15" s="70"/>
      <c r="K15" s="40"/>
      <c r="L15" s="73">
        <v>7900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L15+IFERROR(VLOOKUP($E:$E,'（居民）工资表-8月'!$E:$S,15,0),0)</f>
        <v>65709.09</v>
      </c>
      <c r="T15" s="93">
        <f>5000+IFERROR(VLOOKUP($E:$E,'（居民）工资表-8月'!$E:$T,16,0),0)</f>
        <v>45000</v>
      </c>
      <c r="U15" s="93">
        <f>Q15+IFERROR(VLOOKUP($E:$E,'（居民）工资表-8月'!$E:$U,17,0),0)</f>
        <v>4885.47</v>
      </c>
      <c r="V15" s="73"/>
      <c r="W15" s="129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R15+IFERROR(VLOOKUP($E:$E,'（居民）工资表-8月'!$E:$AC,25,0),0)</f>
        <v>0</v>
      </c>
      <c r="AD15" s="97">
        <f t="shared" si="2"/>
        <v>15823.62</v>
      </c>
      <c r="AE15" s="98">
        <f>ROUND(MAX((AD15)*{0.03;0.1;0.2;0.25;0.3;0.35;0.45}-{0;2520;16920;31920;52920;85920;181920},0),2)</f>
        <v>474.71</v>
      </c>
      <c r="AF15" s="99">
        <f>IFERROR(VLOOKUP(E:E,'（居民）工资表-8月'!E:AF,28,0)+VLOOKUP(E:E,'（居民）工资表-8月'!E:AG,29,0),0)</f>
        <v>403.76</v>
      </c>
      <c r="AG15" s="99">
        <f t="shared" si="3"/>
        <v>70.95</v>
      </c>
      <c r="AH15" s="109">
        <f t="shared" si="4"/>
        <v>7293.84</v>
      </c>
      <c r="AI15" s="110"/>
      <c r="AJ15" s="109">
        <f t="shared" si="5"/>
        <v>7293.84</v>
      </c>
      <c r="AK15" s="111"/>
      <c r="AL15" s="109">
        <f t="shared" si="6"/>
        <v>7364.79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41">
        <v>15855788591</v>
      </c>
      <c r="H16" s="40"/>
      <c r="I16" s="40"/>
      <c r="J16" s="70"/>
      <c r="K16" s="40"/>
      <c r="L16" s="73">
        <v>7060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L16+IFERROR(VLOOKUP($E:$E,'（居民）工资表-8月'!$E:$S,15,0),0)</f>
        <v>57013.74</v>
      </c>
      <c r="T16" s="93">
        <f>5000+IFERROR(VLOOKUP($E:$E,'（居民）工资表-8月'!$E:$T,16,0),0)</f>
        <v>45000</v>
      </c>
      <c r="U16" s="93">
        <f>Q16+IFERROR(VLOOKUP($E:$E,'（居民）工资表-8月'!$E:$U,17,0),0)</f>
        <v>4627.94</v>
      </c>
      <c r="V16" s="73"/>
      <c r="W16" s="129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R16+IFERROR(VLOOKUP($E:$E,'（居民）工资表-8月'!$E:$AC,25,0),0)</f>
        <v>0</v>
      </c>
      <c r="AD16" s="97">
        <f t="shared" si="2"/>
        <v>7385.8</v>
      </c>
      <c r="AE16" s="98">
        <f>ROUND(MAX((AD16)*{0.03;0.1;0.2;0.25;0.3;0.35;0.45}-{0;2520;16920;31920;52920;85920;181920},0),2)</f>
        <v>221.57</v>
      </c>
      <c r="AF16" s="99">
        <f>IFERROR(VLOOKUP(E:E,'（居民）工资表-8月'!E:AF,28,0)+VLOOKUP(E:E,'（居民）工资表-8月'!E:AG,29,0),0)</f>
        <v>174.99</v>
      </c>
      <c r="AG16" s="99">
        <f t="shared" si="3"/>
        <v>46.58</v>
      </c>
      <c r="AH16" s="109">
        <f t="shared" si="4"/>
        <v>6506.06</v>
      </c>
      <c r="AI16" s="110"/>
      <c r="AJ16" s="109">
        <f t="shared" si="5"/>
        <v>6506.06</v>
      </c>
      <c r="AK16" s="111"/>
      <c r="AL16" s="109">
        <f t="shared" si="6"/>
        <v>6552.64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41">
        <v>13873717760</v>
      </c>
      <c r="H17" s="40"/>
      <c r="I17" s="40"/>
      <c r="J17" s="70"/>
      <c r="K17" s="40"/>
      <c r="L17" s="73">
        <v>8060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L17+IFERROR(VLOOKUP($E:$E,'（居民）工资表-8月'!$E:$S,15,0),0)</f>
        <v>45645</v>
      </c>
      <c r="T17" s="93">
        <f>5000+IFERROR(VLOOKUP($E:$E,'（居民）工资表-8月'!$E:$T,16,0),0)</f>
        <v>35000</v>
      </c>
      <c r="U17" s="93">
        <f>Q17+IFERROR(VLOOKUP($E:$E,'（居民）工资表-8月'!$E:$U,17,0),0)</f>
        <v>4330.23</v>
      </c>
      <c r="V17" s="73"/>
      <c r="W17" s="129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R17+IFERROR(VLOOKUP($E:$E,'（居民）工资表-8月'!$E:$AC,25,0),0)</f>
        <v>0</v>
      </c>
      <c r="AD17" s="97">
        <f t="shared" si="2"/>
        <v>6314.77</v>
      </c>
      <c r="AE17" s="98">
        <f>ROUND(MAX((AD17)*{0.03;0.1;0.2;0.25;0.3;0.35;0.45}-{0;2520;16920;31920;52920;85920;181920},0),2)</f>
        <v>189.44</v>
      </c>
      <c r="AF17" s="99">
        <f>IFERROR(VLOOKUP(E:E,'（居民）工资表-8月'!E:AF,28,0)+VLOOKUP(E:E,'（居民）工资表-8月'!E:AG,29,0),0)</f>
        <v>115.32</v>
      </c>
      <c r="AG17" s="99">
        <f t="shared" si="3"/>
        <v>74.12</v>
      </c>
      <c r="AH17" s="109">
        <f t="shared" si="4"/>
        <v>7396.72</v>
      </c>
      <c r="AI17" s="110"/>
      <c r="AJ17" s="109">
        <f t="shared" si="5"/>
        <v>7396.72</v>
      </c>
      <c r="AK17" s="111"/>
      <c r="AL17" s="109">
        <f t="shared" si="6"/>
        <v>7470.84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 t="shared" si="8"/>
        <v>不</v>
      </c>
      <c r="AT17" s="118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38" t="s">
        <v>148</v>
      </c>
      <c r="G18" s="41"/>
      <c r="H18" s="40"/>
      <c r="I18" s="40"/>
      <c r="J18" s="70"/>
      <c r="K18" s="40"/>
      <c r="L18" s="73">
        <v>6600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L18+IFERROR(VLOOKUP($E:$E,'（居民）工资表-8月'!$E:$S,15,0),0)</f>
        <v>27436.37</v>
      </c>
      <c r="T18" s="93">
        <f>5000+IFERROR(VLOOKUP($E:$E,'（居民）工资表-8月'!$E:$T,16,0),0)</f>
        <v>25000</v>
      </c>
      <c r="U18" s="93">
        <f>Q18+IFERROR(VLOOKUP($E:$E,'（居民）工资表-8月'!$E:$U,17,0),0)</f>
        <v>3032.16</v>
      </c>
      <c r="V18" s="73"/>
      <c r="W18" s="129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R18+IFERROR(VLOOKUP($E:$E,'（居民）工资表-8月'!$E:$AC,25,0),0)</f>
        <v>0</v>
      </c>
      <c r="AD18" s="97">
        <f t="shared" si="2"/>
        <v>-595.79</v>
      </c>
      <c r="AE18" s="98">
        <f>ROUND(MAX((AD18)*{0.03;0.1;0.2;0.25;0.3;0.35;0.45}-{0;2520;16920;31920;52920;85920;181920},0),2)</f>
        <v>0</v>
      </c>
      <c r="AF18" s="99">
        <f>IFERROR(VLOOKUP(E:E,'（居民）工资表-8月'!E:AF,28,0)+VLOOKUP(E:E,'（居民）工资表-8月'!E:AG,29,0),0)</f>
        <v>0</v>
      </c>
      <c r="AG18" s="99">
        <f t="shared" si="3"/>
        <v>0</v>
      </c>
      <c r="AH18" s="109">
        <f t="shared" si="4"/>
        <v>6094.64</v>
      </c>
      <c r="AI18" s="110"/>
      <c r="AJ18" s="109">
        <f t="shared" si="5"/>
        <v>6094.64</v>
      </c>
      <c r="AK18" s="111"/>
      <c r="AL18" s="109">
        <f t="shared" si="6"/>
        <v>6094.64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 t="shared" si="8"/>
        <v>不</v>
      </c>
      <c r="AT18" s="118" t="str">
        <f t="shared" si="9"/>
        <v>重复</v>
      </c>
    </row>
    <row r="19" s="12" customFormat="1" ht="18" customHeight="1" spans="1:46">
      <c r="A19" s="36">
        <v>16</v>
      </c>
      <c r="B19" s="37" t="s">
        <v>142</v>
      </c>
      <c r="C19" s="37" t="s">
        <v>188</v>
      </c>
      <c r="D19" s="37" t="s">
        <v>143</v>
      </c>
      <c r="E19" s="327" t="s">
        <v>189</v>
      </c>
      <c r="F19" s="38" t="s">
        <v>148</v>
      </c>
      <c r="G19" s="41">
        <v>15571147351</v>
      </c>
      <c r="H19" s="40"/>
      <c r="I19" s="40"/>
      <c r="J19" s="70"/>
      <c r="K19" s="40"/>
      <c r="L19" s="73">
        <v>4377.04</v>
      </c>
      <c r="M19" s="72">
        <v>326.16</v>
      </c>
      <c r="N19" s="72">
        <v>88.54</v>
      </c>
      <c r="O19" s="72">
        <v>12.23</v>
      </c>
      <c r="P19" s="72">
        <v>100.5</v>
      </c>
      <c r="Q19" s="91">
        <f t="shared" si="0"/>
        <v>527.43</v>
      </c>
      <c r="R19" s="73">
        <v>0</v>
      </c>
      <c r="S19" s="92">
        <f>L19+IFERROR(VLOOKUP($E:$E,'（居民）工资表-8月'!$E:$S,15,0),0)</f>
        <v>9643.71</v>
      </c>
      <c r="T19" s="93">
        <f>5000+IFERROR(VLOOKUP($E:$E,'（居民）工资表-8月'!$E:$T,16,0),0)</f>
        <v>15000</v>
      </c>
      <c r="U19" s="93">
        <f>Q19+IFERROR(VLOOKUP($E:$E,'（居民）工资表-8月'!$E:$U,17,0),0)</f>
        <v>2102.72</v>
      </c>
      <c r="V19" s="73"/>
      <c r="W19" s="129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R19+IFERROR(VLOOKUP($E:$E,'（居民）工资表-8月'!$E:$AC,25,0),0)</f>
        <v>0</v>
      </c>
      <c r="AD19" s="97">
        <f t="shared" si="2"/>
        <v>-7459.01</v>
      </c>
      <c r="AE19" s="98">
        <f>ROUND(MAX((AD19)*{0.03;0.1;0.2;0.25;0.3;0.35;0.45}-{0;2520;16920;31920;52920;85920;181920},0),2)</f>
        <v>0</v>
      </c>
      <c r="AF19" s="99">
        <f>IFERROR(VLOOKUP(E:E,'（居民）工资表-8月'!E:AF,28,0)+VLOOKUP(E:E,'（居民）工资表-8月'!E:AG,29,0),0)</f>
        <v>0</v>
      </c>
      <c r="AG19" s="99">
        <f t="shared" si="3"/>
        <v>0</v>
      </c>
      <c r="AH19" s="109">
        <f t="shared" si="4"/>
        <v>3849.61</v>
      </c>
      <c r="AI19" s="110"/>
      <c r="AJ19" s="109">
        <f t="shared" si="5"/>
        <v>3849.61</v>
      </c>
      <c r="AK19" s="111"/>
      <c r="AL19" s="109">
        <f t="shared" si="6"/>
        <v>3849.61</v>
      </c>
      <c r="AM19" s="111"/>
      <c r="AN19" s="111"/>
      <c r="AO19" s="111"/>
      <c r="AP19" s="111"/>
      <c r="AQ19" s="111"/>
      <c r="AR19" s="118" t="str">
        <f t="shared" si="7"/>
        <v>正确</v>
      </c>
      <c r="AS19" s="118" t="str">
        <f t="shared" si="8"/>
        <v>不</v>
      </c>
      <c r="AT19" s="118" t="str">
        <f t="shared" si="9"/>
        <v>重复</v>
      </c>
    </row>
    <row r="20" s="12" customFormat="1" ht="19" customHeight="1" spans="1:46">
      <c r="A20" s="36"/>
      <c r="B20" s="37"/>
      <c r="C20" s="37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9" customHeight="1" spans="1:46">
      <c r="A21" s="42"/>
      <c r="B21" s="43" t="s">
        <v>192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145790.62</v>
      </c>
      <c r="M21" s="76">
        <f>SUM(M4:M20)</f>
        <v>5534.18</v>
      </c>
      <c r="N21" s="76">
        <f>SUM(N4:N20)</f>
        <v>1552.17</v>
      </c>
      <c r="O21" s="76">
        <f t="shared" ref="O21:AL21" si="10">SUM(O4:O20)</f>
        <v>292.16</v>
      </c>
      <c r="P21" s="76">
        <f t="shared" si="10"/>
        <v>2069.8</v>
      </c>
      <c r="Q21" s="76">
        <f t="shared" si="10"/>
        <v>9448.31</v>
      </c>
      <c r="R21" s="76">
        <f t="shared" si="10"/>
        <v>0</v>
      </c>
      <c r="S21" s="76">
        <f t="shared" si="10"/>
        <v>1105920.12</v>
      </c>
      <c r="T21" s="76">
        <f t="shared" si="10"/>
        <v>650000</v>
      </c>
      <c r="U21" s="76">
        <f t="shared" si="10"/>
        <v>78752.38</v>
      </c>
      <c r="V21" s="76">
        <f t="shared" si="10"/>
        <v>0</v>
      </c>
      <c r="W21" s="76">
        <f t="shared" si="10"/>
        <v>0</v>
      </c>
      <c r="X21" s="76">
        <f t="shared" si="10"/>
        <v>0</v>
      </c>
      <c r="Y21" s="76">
        <f t="shared" si="10"/>
        <v>0</v>
      </c>
      <c r="Z21" s="76">
        <f t="shared" si="10"/>
        <v>0</v>
      </c>
      <c r="AA21" s="76">
        <f t="shared" si="10"/>
        <v>0</v>
      </c>
      <c r="AB21" s="76">
        <f t="shared" si="10"/>
        <v>0</v>
      </c>
      <c r="AC21" s="76">
        <f t="shared" si="10"/>
        <v>0</v>
      </c>
      <c r="AD21" s="76">
        <f t="shared" si="10"/>
        <v>377167.74</v>
      </c>
      <c r="AE21" s="76">
        <f t="shared" si="10"/>
        <v>32540.18</v>
      </c>
      <c r="AF21" s="76">
        <f t="shared" si="10"/>
        <v>26382.16</v>
      </c>
      <c r="AG21" s="76">
        <f t="shared" si="10"/>
        <v>6158.02</v>
      </c>
      <c r="AH21" s="76">
        <f t="shared" si="10"/>
        <v>130184.29</v>
      </c>
      <c r="AI21" s="76">
        <f t="shared" si="10"/>
        <v>0</v>
      </c>
      <c r="AJ21" s="76">
        <f t="shared" si="10"/>
        <v>130184.29</v>
      </c>
      <c r="AK21" s="76">
        <f t="shared" si="10"/>
        <v>0</v>
      </c>
      <c r="AL21" s="76">
        <f t="shared" si="10"/>
        <v>136342.31</v>
      </c>
      <c r="AM21" s="112"/>
      <c r="AN21" s="112"/>
      <c r="AO21" s="112"/>
      <c r="AP21" s="112"/>
      <c r="AQ21" s="112"/>
      <c r="AR21" s="46"/>
      <c r="AS21" s="46"/>
      <c r="AT21" s="120"/>
    </row>
    <row r="22" ht="19" customHeight="1"/>
    <row r="23" ht="19" customHeight="1"/>
    <row r="24" ht="19" customHeight="1" spans="30:30">
      <c r="AD24" s="103"/>
    </row>
    <row r="25" ht="19" customHeight="1" spans="2:30">
      <c r="B25" s="48" t="s">
        <v>131</v>
      </c>
      <c r="C25" s="48" t="s">
        <v>193</v>
      </c>
      <c r="D25" s="48" t="s">
        <v>22</v>
      </c>
      <c r="E25" s="48" t="s">
        <v>23</v>
      </c>
      <c r="AD25" s="10"/>
    </row>
    <row r="26" ht="19" customHeight="1" spans="2:5">
      <c r="B26" s="49">
        <f>AJ21</f>
        <v>130184.29</v>
      </c>
      <c r="C26" s="49">
        <f>AG21</f>
        <v>6158.02</v>
      </c>
      <c r="D26" s="49">
        <f>AK21</f>
        <v>0</v>
      </c>
      <c r="E26" s="49">
        <f>B26+C26+D26</f>
        <v>136342.31</v>
      </c>
    </row>
    <row r="27" ht="19" customHeight="1" spans="2:5">
      <c r="B27" s="50"/>
      <c r="C27" s="50"/>
      <c r="D27" s="50"/>
      <c r="E27" s="50"/>
    </row>
    <row r="28" s="14" customFormat="1" ht="19" customHeight="1" spans="1:35">
      <c r="A28" s="52" t="s">
        <v>194</v>
      </c>
      <c r="B28" s="53" t="s">
        <v>195</v>
      </c>
      <c r="C28" s="51"/>
      <c r="D28" s="51"/>
      <c r="E28" s="51"/>
      <c r="G28" s="54"/>
      <c r="J28" s="77"/>
      <c r="M28" s="78"/>
      <c r="AI28" s="114"/>
    </row>
    <row r="29" s="14" customFormat="1" ht="19" customHeight="1" spans="1:35">
      <c r="A29" s="55"/>
      <c r="B29" s="56" t="s">
        <v>196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197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198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199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200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201</v>
      </c>
    </row>
    <row r="36" spans="2:2">
      <c r="B36" s="60" t="s">
        <v>202</v>
      </c>
    </row>
    <row r="37" spans="2:2">
      <c r="B37" s="60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G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79.86</v>
      </c>
      <c r="O4" s="72">
        <v>11.98</v>
      </c>
      <c r="P4" s="72">
        <v>177</v>
      </c>
      <c r="Q4" s="91">
        <f t="shared" ref="Q4:Q11" si="0">ROUND(SUM(M4:P4),2)</f>
        <v>588.3</v>
      </c>
      <c r="R4" s="73">
        <v>0</v>
      </c>
      <c r="S4" s="92">
        <f>L4+IFERROR(VLOOKUP($E:$E,'（居民）工资表-9月'!$E:$S,15,0),0)</f>
        <v>80000</v>
      </c>
      <c r="T4" s="93">
        <f>5000+IFERROR(VLOOKUP($E:$E,'（居民）工资表-9月'!$E:$T,16,0),0)</f>
        <v>50000</v>
      </c>
      <c r="U4" s="93">
        <f>Q4+IFERROR(VLOOKUP($E:$E,'（居民）工资表-9月'!$E:$U,17,0),0)</f>
        <v>6157.57</v>
      </c>
      <c r="V4" s="73">
        <v>10000</v>
      </c>
      <c r="W4" s="73"/>
      <c r="X4" s="73">
        <v>10000</v>
      </c>
      <c r="Y4" s="73"/>
      <c r="Z4" s="73">
        <v>4000</v>
      </c>
      <c r="AA4" s="73"/>
      <c r="AB4" s="92">
        <f t="shared" ref="AB4:AB11" si="1">ROUND(SUM(V4:AA4),2)</f>
        <v>24000</v>
      </c>
      <c r="AC4" s="92">
        <f>R4+IFERROR(VLOOKUP($E:$E,'（居民）工资表-9月'!$E:$AC,25,0),0)</f>
        <v>0</v>
      </c>
      <c r="AD4" s="97">
        <f t="shared" ref="AD4:AD11" si="2">ROUND(S4-T4-U4-AB4-AC4,2)</f>
        <v>-157.57</v>
      </c>
      <c r="AE4" s="98">
        <f>ROUND(MAX((AD4)*{0.03;0.1;0.2;0.25;0.3;0.35;0.45}-{0;2520;16920;31920;52920;85920;181920},0),2)</f>
        <v>0</v>
      </c>
      <c r="AF4" s="99">
        <f>IFERROR(VLOOKUP(E:E,'（居民）工资表-9月'!E:AF,28,0)+VLOOKUP(E:E,'（居民）工资表-9月'!E:AG,29,0),0)</f>
        <v>642.92</v>
      </c>
      <c r="AG4" s="99">
        <f t="shared" ref="AG4:AG11" si="3">IF((AE4-AF4)&lt;0,0,AE4-AF4)</f>
        <v>0</v>
      </c>
      <c r="AH4" s="109">
        <f t="shared" ref="AH4:AH11" si="4">ROUND(IF((L4-Q4-AG4)&lt;0,0,(L4-Q4-AG4)),2)</f>
        <v>7411.7</v>
      </c>
      <c r="AI4" s="110"/>
      <c r="AJ4" s="109">
        <f t="shared" ref="AJ4:AJ11" si="5">AH4+AI4</f>
        <v>7411.7</v>
      </c>
      <c r="AK4" s="111"/>
      <c r="AL4" s="109">
        <f t="shared" ref="AL4:AL11" si="6">AJ4+AG4+AK4</f>
        <v>7411.7</v>
      </c>
      <c r="AM4" s="111"/>
      <c r="AN4" s="111"/>
      <c r="AO4" s="111"/>
      <c r="AP4" s="111"/>
      <c r="AQ4" s="111"/>
      <c r="AR4" s="118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1" si="8">IF(SUMPRODUCT(N(E$1:E$7=E4))&gt;1,"重复","不")</f>
        <v>不</v>
      </c>
      <c r="AT4" s="118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91">
        <f t="shared" si="0"/>
        <v>655.8</v>
      </c>
      <c r="R5" s="73">
        <v>0</v>
      </c>
      <c r="S5" s="92">
        <f>L5+IFERROR(VLOOKUP($E:$E,'（居民）工资表-9月'!$E:$S,15,0),0)</f>
        <v>57000</v>
      </c>
      <c r="T5" s="93">
        <f>5000+IFERROR(VLOOKUP($E:$E,'（居民）工资表-9月'!$E:$T,16,0),0)</f>
        <v>50000</v>
      </c>
      <c r="U5" s="93">
        <f>Q5+IFERROR(VLOOKUP($E:$E,'（居民）工资表-9月'!$E:$U,17,0),0)</f>
        <v>6348.16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R5+IFERROR(VLOOKUP($E:$E,'（居民）工资表-9月'!$E:$AC,25,0),0)</f>
        <v>0</v>
      </c>
      <c r="AD5" s="97">
        <f t="shared" si="2"/>
        <v>651.84</v>
      </c>
      <c r="AE5" s="98">
        <f>ROUND(MAX((AD5)*{0.03;0.1;0.2;0.25;0.3;0.35;0.45}-{0;2520;16920;31920;52920;85920;181920},0),2)</f>
        <v>19.56</v>
      </c>
      <c r="AF5" s="99">
        <f>IFERROR(VLOOKUP(E:E,'（居民）工资表-9月'!E:AF,28,0)+VLOOKUP(E:E,'（居民）工资表-9月'!E:AG,29,0),0)</f>
        <v>18.23</v>
      </c>
      <c r="AG5" s="99">
        <f t="shared" si="3"/>
        <v>1.33</v>
      </c>
      <c r="AH5" s="109">
        <f t="shared" si="4"/>
        <v>5042.87</v>
      </c>
      <c r="AI5" s="110"/>
      <c r="AJ5" s="109">
        <f t="shared" si="5"/>
        <v>5042.87</v>
      </c>
      <c r="AK5" s="111"/>
      <c r="AL5" s="109">
        <f t="shared" si="6"/>
        <v>5044.2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 t="shared" si="8"/>
        <v>不</v>
      </c>
      <c r="AT5" s="118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</v>
      </c>
      <c r="Q6" s="91">
        <f t="shared" si="0"/>
        <v>948.55</v>
      </c>
      <c r="R6" s="73">
        <v>0</v>
      </c>
      <c r="S6" s="92">
        <f>L6+IFERROR(VLOOKUP($E:$E,'（居民）工资表-9月'!$E:$S,15,0),0)</f>
        <v>305600</v>
      </c>
      <c r="T6" s="93">
        <f>5000+IFERROR(VLOOKUP($E:$E,'（居民）工资表-9月'!$E:$T,16,0),0)</f>
        <v>50000</v>
      </c>
      <c r="U6" s="93">
        <f>Q6+IFERROR(VLOOKUP($E:$E,'（居民）工资表-9月'!$E:$U,17,0),0)</f>
        <v>9155.8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R6+IFERROR(VLOOKUP($E:$E,'（居民）工资表-9月'!$E:$AC,25,0),0)</f>
        <v>0</v>
      </c>
      <c r="AD6" s="97">
        <f t="shared" si="2"/>
        <v>246444.2</v>
      </c>
      <c r="AE6" s="98">
        <f>ROUND(MAX((AD6)*{0.03;0.1;0.2;0.25;0.3;0.35;0.45}-{0;2520;16920;31920;52920;85920;181920},0),2)</f>
        <v>32368.84</v>
      </c>
      <c r="AF6" s="99">
        <f>IFERROR(VLOOKUP(E:E,'（居民）工资表-9月'!E:AF,28,0)+VLOOKUP(E:E,'（居民）工资表-9月'!E:AG,29,0),0)</f>
        <v>27246.55</v>
      </c>
      <c r="AG6" s="99">
        <f t="shared" si="3"/>
        <v>5122.29</v>
      </c>
      <c r="AH6" s="109">
        <f t="shared" si="4"/>
        <v>25489.16</v>
      </c>
      <c r="AI6" s="110"/>
      <c r="AJ6" s="109">
        <f t="shared" si="5"/>
        <v>25489.16</v>
      </c>
      <c r="AK6" s="111"/>
      <c r="AL6" s="109">
        <f t="shared" si="6"/>
        <v>30611.45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9500</v>
      </c>
      <c r="M7" s="72">
        <v>471.12</v>
      </c>
      <c r="N7" s="72">
        <v>125.78</v>
      </c>
      <c r="O7" s="72">
        <v>29.45</v>
      </c>
      <c r="P7" s="72">
        <v>97</v>
      </c>
      <c r="Q7" s="91">
        <f t="shared" si="0"/>
        <v>723.35</v>
      </c>
      <c r="R7" s="73">
        <v>0</v>
      </c>
      <c r="S7" s="92">
        <f>L7+IFERROR(VLOOKUP($E:$E,'（居民）工资表-9月'!$E:$S,15,0),0)</f>
        <v>80700</v>
      </c>
      <c r="T7" s="93">
        <f>5000+IFERROR(VLOOKUP($E:$E,'（居民）工资表-9月'!$E:$T,16,0),0)</f>
        <v>50000</v>
      </c>
      <c r="U7" s="93">
        <f>Q7+IFERROR(VLOOKUP($E:$E,'（居民）工资表-9月'!$E:$U,17,0),0)</f>
        <v>5351.29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R7+IFERROR(VLOOKUP($E:$E,'（居民）工资表-9月'!$E:$AC,25,0),0)</f>
        <v>0</v>
      </c>
      <c r="AD7" s="97">
        <f t="shared" si="2"/>
        <v>25348.71</v>
      </c>
      <c r="AE7" s="98">
        <f>ROUND(MAX((AD7)*{0.03;0.1;0.2;0.25;0.3;0.35;0.45}-{0;2520;16920;31920;52920;85920;181920},0),2)</f>
        <v>760.46</v>
      </c>
      <c r="AF7" s="99">
        <f>IFERROR(VLOOKUP(E:E,'（居民）工资表-9月'!E:AF,28,0)+VLOOKUP(E:E,'（居民）工资表-9月'!E:AG,29,0),0)</f>
        <v>647.16</v>
      </c>
      <c r="AG7" s="99">
        <f t="shared" si="3"/>
        <v>113.3</v>
      </c>
      <c r="AH7" s="109">
        <f t="shared" si="4"/>
        <v>8663.35</v>
      </c>
      <c r="AI7" s="110"/>
      <c r="AJ7" s="109">
        <f t="shared" si="5"/>
        <v>8663.35</v>
      </c>
      <c r="AK7" s="111"/>
      <c r="AL7" s="109">
        <f t="shared" si="6"/>
        <v>8776.65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11100</v>
      </c>
      <c r="M8" s="72">
        <v>471.12</v>
      </c>
      <c r="N8" s="72">
        <v>123.78</v>
      </c>
      <c r="O8" s="72">
        <v>29.45</v>
      </c>
      <c r="P8" s="72">
        <v>172</v>
      </c>
      <c r="Q8" s="91">
        <f t="shared" si="0"/>
        <v>796.35</v>
      </c>
      <c r="R8" s="73">
        <v>0</v>
      </c>
      <c r="S8" s="92">
        <f>L8+IFERROR(VLOOKUP($E:$E,'（居民）工资表-9月'!$E:$S,15,0),0)</f>
        <v>98800</v>
      </c>
      <c r="T8" s="93">
        <f>5000+IFERROR(VLOOKUP($E:$E,'（居民）工资表-9月'!$E:$T,16,0),0)</f>
        <v>50000</v>
      </c>
      <c r="U8" s="93">
        <f>Q8+IFERROR(VLOOKUP($E:$E,'（居民）工资表-9月'!$E:$U,17,0),0)</f>
        <v>6402.87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R8+IFERROR(VLOOKUP($E:$E,'（居民）工资表-9月'!$E:$AC,25,0),0)</f>
        <v>0</v>
      </c>
      <c r="AD8" s="97">
        <f t="shared" si="2"/>
        <v>42397.13</v>
      </c>
      <c r="AE8" s="98">
        <f>ROUND(MAX((AD8)*{0.03;0.1;0.2;0.25;0.3;0.35;0.45}-{0;2520;16920;31920;52920;85920;181920},0),2)</f>
        <v>1719.71</v>
      </c>
      <c r="AF8" s="99">
        <f>IFERROR(VLOOKUP(E:E,'（居民）工资表-9月'!E:AF,28,0)+VLOOKUP(E:E,'（居民）工资表-9月'!E:AG,29,0),0)</f>
        <v>1189.35</v>
      </c>
      <c r="AG8" s="99">
        <f t="shared" si="3"/>
        <v>530.36</v>
      </c>
      <c r="AH8" s="109">
        <f t="shared" si="4"/>
        <v>9773.29</v>
      </c>
      <c r="AI8" s="110"/>
      <c r="AJ8" s="109">
        <f t="shared" si="5"/>
        <v>9773.29</v>
      </c>
      <c r="AK8" s="111"/>
      <c r="AL8" s="109">
        <f t="shared" si="6"/>
        <v>10303.65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97.76</v>
      </c>
      <c r="O9" s="72">
        <v>11.84</v>
      </c>
      <c r="P9" s="72">
        <v>100</v>
      </c>
      <c r="Q9" s="91">
        <f t="shared" si="0"/>
        <v>525.2</v>
      </c>
      <c r="R9" s="73">
        <v>0</v>
      </c>
      <c r="S9" s="92">
        <f>L9+IFERROR(VLOOKUP($E:$E,'（居民）工资表-9月'!$E:$S,15,0),0)</f>
        <v>65000</v>
      </c>
      <c r="T9" s="93">
        <f>5000+IFERROR(VLOOKUP($E:$E,'（居民）工资表-9月'!$E:$T,16,0),0)</f>
        <v>50000</v>
      </c>
      <c r="U9" s="93">
        <f>Q9+IFERROR(VLOOKUP($E:$E,'（居民）工资表-9月'!$E:$U,17,0),0)</f>
        <v>5241.01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R9+IFERROR(VLOOKUP($E:$E,'（居民）工资表-9月'!$E:$AC,25,0),0)</f>
        <v>0</v>
      </c>
      <c r="AD9" s="97">
        <f t="shared" si="2"/>
        <v>9758.99</v>
      </c>
      <c r="AE9" s="98">
        <f>ROUND(MAX((AD9)*{0.03;0.1;0.2;0.25;0.3;0.35;0.45}-{0;2520;16920;31920;52920;85920;181920},0),2)</f>
        <v>292.77</v>
      </c>
      <c r="AF9" s="99">
        <f>IFERROR(VLOOKUP(E:E,'（居民）工资表-9月'!E:AF,28,0)+VLOOKUP(E:E,'（居民）工资表-9月'!E:AG,29,0),0)</f>
        <v>263.53</v>
      </c>
      <c r="AG9" s="99">
        <f t="shared" si="3"/>
        <v>29.24</v>
      </c>
      <c r="AH9" s="109">
        <f t="shared" si="4"/>
        <v>5945.56</v>
      </c>
      <c r="AI9" s="110"/>
      <c r="AJ9" s="109">
        <f t="shared" si="5"/>
        <v>5945.56</v>
      </c>
      <c r="AK9" s="111"/>
      <c r="AL9" s="109">
        <f t="shared" si="6"/>
        <v>5974.8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329.44</v>
      </c>
      <c r="N10" s="72">
        <v>87.36</v>
      </c>
      <c r="O10" s="72">
        <v>20.59</v>
      </c>
      <c r="P10" s="72">
        <v>105</v>
      </c>
      <c r="Q10" s="91">
        <f t="shared" si="0"/>
        <v>542.39</v>
      </c>
      <c r="R10" s="73">
        <v>0</v>
      </c>
      <c r="S10" s="92">
        <f>L10+IFERROR(VLOOKUP($E:$E,'（居民）工资表-9月'!$E:$S,15,0),0)</f>
        <v>44000</v>
      </c>
      <c r="T10" s="93">
        <f>5000+IFERROR(VLOOKUP($E:$E,'（居民）工资表-9月'!$E:$T,16,0),0)</f>
        <v>40000</v>
      </c>
      <c r="U10" s="93">
        <f>Q10+IFERROR(VLOOKUP($E:$E,'（居民）工资表-9月'!$E:$U,17,0),0)</f>
        <v>4389.87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R10+IFERROR(VLOOKUP($E:$E,'（居民）工资表-9月'!$E:$AC,25,0),0)</f>
        <v>0</v>
      </c>
      <c r="AD10" s="97">
        <f t="shared" si="2"/>
        <v>-389.87</v>
      </c>
      <c r="AE10" s="98">
        <f>ROUND(MAX((AD10)*{0.03;0.1;0.2;0.25;0.3;0.35;0.45}-{0;2520;16920;31920;52920;85920;181920},0),2)</f>
        <v>0</v>
      </c>
      <c r="AF10" s="99">
        <f>IFERROR(VLOOKUP(E:E,'（居民）工资表-9月'!E:AF,28,0)+VLOOKUP(E:E,'（居民）工资表-9月'!E:AG,29,0),0)</f>
        <v>0</v>
      </c>
      <c r="AG10" s="99">
        <f t="shared" si="3"/>
        <v>0</v>
      </c>
      <c r="AH10" s="109">
        <f t="shared" si="4"/>
        <v>4957.61</v>
      </c>
      <c r="AI10" s="110"/>
      <c r="AJ10" s="109">
        <f t="shared" si="5"/>
        <v>4957.61</v>
      </c>
      <c r="AK10" s="111"/>
      <c r="AL10" s="109">
        <f t="shared" si="6"/>
        <v>4957.61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V10" s="12" t="s">
        <v>166</v>
      </c>
      <c r="AW10" s="12" t="s">
        <v>212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41" t="s">
        <v>170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ref="Q11:Q19" si="10">ROUND(SUM(M11:P11),2)</f>
        <v>593</v>
      </c>
      <c r="R11" s="73">
        <v>0</v>
      </c>
      <c r="S11" s="92">
        <f>L11+IFERROR(VLOOKUP($E:$E,'（居民）工资表-9月'!$E:$S,15,0),0)</f>
        <v>45842.08</v>
      </c>
      <c r="T11" s="93">
        <f>5000+IFERROR(VLOOKUP($E:$E,'（居民）工资表-9月'!$E:$T,16,0),0)</f>
        <v>50000</v>
      </c>
      <c r="U11" s="93">
        <f>Q11+IFERROR(VLOOKUP($E:$E,'（居民）工资表-9月'!$E:$U,17,0),0)</f>
        <v>6001.72</v>
      </c>
      <c r="V11" s="73"/>
      <c r="W11" s="73"/>
      <c r="X11" s="73"/>
      <c r="Y11" s="73"/>
      <c r="Z11" s="73"/>
      <c r="AA11" s="73"/>
      <c r="AB11" s="92">
        <f t="shared" ref="AB11:AB19" si="11">ROUND(SUM(V11:AA11),2)</f>
        <v>0</v>
      </c>
      <c r="AC11" s="92">
        <f>R11+IFERROR(VLOOKUP($E:$E,'（居民）工资表-9月'!$E:$AC,25,0),0)</f>
        <v>0</v>
      </c>
      <c r="AD11" s="97">
        <f t="shared" ref="AD11:AD19" si="12">ROUND(S11-T11-U11-AB11-AC11,2)</f>
        <v>-10159.64</v>
      </c>
      <c r="AE11" s="98">
        <f>ROUND(MAX((AD11)*{0.03;0.1;0.2;0.25;0.3;0.35;0.45}-{0;2520;16920;31920;52920;85920;181920},0),2)</f>
        <v>0</v>
      </c>
      <c r="AF11" s="99">
        <f>IFERROR(VLOOKUP(E:E,'（居民）工资表-9月'!E:AF,28,0)+VLOOKUP(E:E,'（居民）工资表-9月'!E:AG,29,0),0)</f>
        <v>0</v>
      </c>
      <c r="AG11" s="99">
        <f t="shared" ref="AG11:AG19" si="13">IF((AE11-AF11)&lt;0,0,AE11-AF11)</f>
        <v>0</v>
      </c>
      <c r="AH11" s="109">
        <f t="shared" ref="AH11:AH19" si="14">ROUND(IF((L11-Q11-AG11)&lt;0,0,(L11-Q11-AG11)),2)</f>
        <v>4005.8</v>
      </c>
      <c r="AI11" s="110"/>
      <c r="AJ11" s="109">
        <f t="shared" ref="AJ11:AJ19" si="15">AH11+AI11</f>
        <v>4005.8</v>
      </c>
      <c r="AK11" s="111"/>
      <c r="AL11" s="109">
        <f t="shared" ref="AL11:AL19" si="16">AJ11+AG11+AK11</f>
        <v>4005.8</v>
      </c>
      <c r="AM11" s="111"/>
      <c r="AN11" s="111"/>
      <c r="AO11" s="111"/>
      <c r="AP11" s="111"/>
      <c r="AQ11" s="111"/>
      <c r="AR11" s="118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8" t="str">
        <f t="shared" ref="AS11:AS19" si="18">IF(SUMPRODUCT(N(E$1:E$7=E11))&gt;1,"重复","不")</f>
        <v>不</v>
      </c>
      <c r="AT11" s="118" t="str">
        <f t="shared" ref="AT11:AT19" si="19">IF(SUMPRODUCT(N(AO$1:AO$7=AO11))&gt;1,"重复","不")</f>
        <v>重复</v>
      </c>
      <c r="AV11" s="12" t="s">
        <v>171</v>
      </c>
      <c r="AW11" s="12" t="s">
        <v>172</v>
      </c>
    </row>
    <row r="12" s="12" customFormat="1" ht="18" customHeight="1" spans="1:49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41">
        <v>18356553626</v>
      </c>
      <c r="H12" s="40"/>
      <c r="I12" s="40"/>
      <c r="J12" s="70"/>
      <c r="K12" s="40"/>
      <c r="L12" s="73">
        <v>11000</v>
      </c>
      <c r="M12" s="72">
        <v>471.12</v>
      </c>
      <c r="N12" s="72">
        <v>153.63</v>
      </c>
      <c r="O12" s="72">
        <v>29.45</v>
      </c>
      <c r="P12" s="72">
        <v>97</v>
      </c>
      <c r="Q12" s="91">
        <f t="shared" si="10"/>
        <v>751.2</v>
      </c>
      <c r="R12" s="73">
        <v>0</v>
      </c>
      <c r="S12" s="92">
        <f>L12+IFERROR(VLOOKUP($E:$E,'（居民）工资表-9月'!$E:$S,15,0),0)</f>
        <v>87518.18</v>
      </c>
      <c r="T12" s="93">
        <f>5000+IFERROR(VLOOKUP($E:$E,'（居民）工资表-9月'!$E:$T,16,0),0)</f>
        <v>50000</v>
      </c>
      <c r="U12" s="93">
        <f>Q12+IFERROR(VLOOKUP($E:$E,'（居民）工资表-9月'!$E:$U,17,0),0)</f>
        <v>5636.67</v>
      </c>
      <c r="V12" s="73"/>
      <c r="W12" s="73"/>
      <c r="X12" s="73"/>
      <c r="Y12" s="73"/>
      <c r="Z12" s="73"/>
      <c r="AA12" s="73"/>
      <c r="AB12" s="92">
        <f t="shared" si="11"/>
        <v>0</v>
      </c>
      <c r="AC12" s="92">
        <f>R12+IFERROR(VLOOKUP($E:$E,'（居民）工资表-9月'!$E:$AC,25,0),0)</f>
        <v>0</v>
      </c>
      <c r="AD12" s="97">
        <f t="shared" si="12"/>
        <v>31881.51</v>
      </c>
      <c r="AE12" s="98">
        <f>ROUND(MAX((AD12)*{0.03;0.1;0.2;0.25;0.3;0.35;0.45}-{0;2520;16920;31920;52920;85920;181920},0),2)</f>
        <v>956.45</v>
      </c>
      <c r="AF12" s="99">
        <f>IFERROR(VLOOKUP(E:E,'（居民）工资表-9月'!E:AF,28,0)+VLOOKUP(E:E,'（居民）工资表-9月'!E:AG,29,0),0)</f>
        <v>798.98</v>
      </c>
      <c r="AG12" s="99">
        <f t="shared" si="13"/>
        <v>157.47</v>
      </c>
      <c r="AH12" s="109">
        <f t="shared" si="14"/>
        <v>10091.33</v>
      </c>
      <c r="AI12" s="110"/>
      <c r="AJ12" s="109">
        <f t="shared" si="15"/>
        <v>10091.33</v>
      </c>
      <c r="AK12" s="111"/>
      <c r="AL12" s="109">
        <f t="shared" si="16"/>
        <v>10248.8</v>
      </c>
      <c r="AM12" s="111"/>
      <c r="AN12" s="111"/>
      <c r="AO12" s="111"/>
      <c r="AP12" s="111"/>
      <c r="AQ12" s="111"/>
      <c r="AR12" s="118" t="str">
        <f t="shared" si="17"/>
        <v>正确</v>
      </c>
      <c r="AS12" s="118" t="str">
        <f t="shared" si="18"/>
        <v>不</v>
      </c>
      <c r="AT12" s="118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41">
        <v>18326897140</v>
      </c>
      <c r="H13" s="40"/>
      <c r="I13" s="40"/>
      <c r="J13" s="70"/>
      <c r="K13" s="40"/>
      <c r="L13" s="73">
        <v>9200</v>
      </c>
      <c r="M13" s="72">
        <v>471.12</v>
      </c>
      <c r="N13" s="72">
        <v>123.78</v>
      </c>
      <c r="O13" s="72">
        <v>29.45</v>
      </c>
      <c r="P13" s="72">
        <v>172</v>
      </c>
      <c r="Q13" s="91">
        <f t="shared" si="10"/>
        <v>796.35</v>
      </c>
      <c r="R13" s="73">
        <v>0</v>
      </c>
      <c r="S13" s="92">
        <f>L13+IFERROR(VLOOKUP($E:$E,'（居民）工资表-9月'!$E:$S,15,0),0)</f>
        <v>71512.05</v>
      </c>
      <c r="T13" s="93">
        <f>5000+IFERROR(VLOOKUP($E:$E,'（居民）工资表-9月'!$E:$T,16,0),0)</f>
        <v>50000</v>
      </c>
      <c r="U13" s="93">
        <f>Q13+IFERROR(VLOOKUP($E:$E,'（居民）工资表-9月'!$E:$U,17,0),0)</f>
        <v>6402.87</v>
      </c>
      <c r="V13" s="73"/>
      <c r="W13" s="73"/>
      <c r="X13" s="73"/>
      <c r="Y13" s="73"/>
      <c r="Z13" s="73"/>
      <c r="AA13" s="73"/>
      <c r="AB13" s="92">
        <f t="shared" si="11"/>
        <v>0</v>
      </c>
      <c r="AC13" s="92">
        <f>R13+IFERROR(VLOOKUP($E:$E,'（居民）工资表-9月'!$E:$AC,25,0),0)</f>
        <v>0</v>
      </c>
      <c r="AD13" s="97">
        <f t="shared" si="12"/>
        <v>15109.18</v>
      </c>
      <c r="AE13" s="98">
        <f>ROUND(MAX((AD13)*{0.03;0.1;0.2;0.25;0.3;0.35;0.45}-{0;2520;16920;31920;52920;85920;181920},0),2)</f>
        <v>453.28</v>
      </c>
      <c r="AF13" s="99">
        <f>IFERROR(VLOOKUP(E:E,'（居民）工资表-9月'!E:AF,28,0)+VLOOKUP(E:E,'（居民）工资表-9月'!E:AG,29,0),0)</f>
        <v>351.17</v>
      </c>
      <c r="AG13" s="99">
        <f t="shared" si="13"/>
        <v>102.11</v>
      </c>
      <c r="AH13" s="109">
        <f t="shared" si="14"/>
        <v>8301.54</v>
      </c>
      <c r="AI13" s="110"/>
      <c r="AJ13" s="109">
        <f t="shared" si="15"/>
        <v>8301.54</v>
      </c>
      <c r="AK13" s="111"/>
      <c r="AL13" s="109">
        <f t="shared" si="16"/>
        <v>8403.65</v>
      </c>
      <c r="AM13" s="111"/>
      <c r="AN13" s="111"/>
      <c r="AO13" s="111"/>
      <c r="AP13" s="111"/>
      <c r="AQ13" s="111"/>
      <c r="AR13" s="118" t="str">
        <f t="shared" si="17"/>
        <v>正确</v>
      </c>
      <c r="AS13" s="118" t="str">
        <f t="shared" si="18"/>
        <v>不</v>
      </c>
      <c r="AT13" s="118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41">
        <v>17201857014</v>
      </c>
      <c r="H14" s="40"/>
      <c r="I14" s="40"/>
      <c r="J14" s="70"/>
      <c r="K14" s="40"/>
      <c r="L14" s="73">
        <v>9800</v>
      </c>
      <c r="M14" s="72">
        <v>471.12</v>
      </c>
      <c r="N14" s="72">
        <v>123.78</v>
      </c>
      <c r="O14" s="72">
        <v>29.45</v>
      </c>
      <c r="P14" s="72">
        <v>172</v>
      </c>
      <c r="Q14" s="91">
        <f t="shared" si="10"/>
        <v>796.35</v>
      </c>
      <c r="R14" s="73">
        <v>0</v>
      </c>
      <c r="S14" s="92">
        <f>L14+IFERROR(VLOOKUP($E:$E,'（居民）工资表-9月'!$E:$S,15,0),0)</f>
        <v>76958.7</v>
      </c>
      <c r="T14" s="93">
        <f>5000+IFERROR(VLOOKUP($E:$E,'（居民）工资表-9月'!$E:$T,16,0),0)</f>
        <v>50000</v>
      </c>
      <c r="U14" s="93">
        <f>Q14+IFERROR(VLOOKUP($E:$E,'（居民）工资表-9月'!$E:$U,17,0),0)</f>
        <v>6402.87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R14+IFERROR(VLOOKUP($E:$E,'（居民）工资表-9月'!$E:$AC,25,0),0)</f>
        <v>0</v>
      </c>
      <c r="AD14" s="97">
        <f t="shared" si="12"/>
        <v>20555.83</v>
      </c>
      <c r="AE14" s="98">
        <f>ROUND(MAX((AD14)*{0.03;0.1;0.2;0.25;0.3;0.35;0.45}-{0;2520;16920;31920;52920;85920;181920},0),2)</f>
        <v>616.67</v>
      </c>
      <c r="AF14" s="99">
        <f>IFERROR(VLOOKUP(E:E,'（居民）工资表-9月'!E:AF,28,0)+VLOOKUP(E:E,'（居民）工资表-9月'!E:AG,29,0),0)</f>
        <v>496.57</v>
      </c>
      <c r="AG14" s="99">
        <f t="shared" si="13"/>
        <v>120.1</v>
      </c>
      <c r="AH14" s="109">
        <f t="shared" si="14"/>
        <v>8883.55</v>
      </c>
      <c r="AI14" s="110"/>
      <c r="AJ14" s="109">
        <f t="shared" si="15"/>
        <v>8883.55</v>
      </c>
      <c r="AK14" s="111"/>
      <c r="AL14" s="109">
        <f t="shared" si="16"/>
        <v>9003.65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41" t="s">
        <v>181</v>
      </c>
      <c r="H15" s="40"/>
      <c r="I15" s="40"/>
      <c r="J15" s="70"/>
      <c r="K15" s="40"/>
      <c r="L15" s="73">
        <v>7900</v>
      </c>
      <c r="M15" s="72">
        <v>471.12</v>
      </c>
      <c r="N15" s="72">
        <v>153.63</v>
      </c>
      <c r="O15" s="72">
        <v>29.45</v>
      </c>
      <c r="P15" s="72">
        <v>97</v>
      </c>
      <c r="Q15" s="91">
        <f t="shared" si="10"/>
        <v>751.2</v>
      </c>
      <c r="R15" s="73">
        <v>0</v>
      </c>
      <c r="S15" s="92">
        <f>L15+IFERROR(VLOOKUP($E:$E,'（居民）工资表-9月'!$E:$S,15,0),0)</f>
        <v>73609.09</v>
      </c>
      <c r="T15" s="93">
        <f>5000+IFERROR(VLOOKUP($E:$E,'（居民）工资表-9月'!$E:$T,16,0),0)</f>
        <v>50000</v>
      </c>
      <c r="U15" s="93">
        <f>Q15+IFERROR(VLOOKUP($E:$E,'（居民）工资表-9月'!$E:$U,17,0),0)</f>
        <v>5636.67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R15+IFERROR(VLOOKUP($E:$E,'（居民）工资表-9月'!$E:$AC,25,0),0)</f>
        <v>0</v>
      </c>
      <c r="AD15" s="97">
        <f t="shared" si="12"/>
        <v>17972.42</v>
      </c>
      <c r="AE15" s="98">
        <f>ROUND(MAX((AD15)*{0.03;0.1;0.2;0.25;0.3;0.35;0.45}-{0;2520;16920;31920;52920;85920;181920},0),2)</f>
        <v>539.17</v>
      </c>
      <c r="AF15" s="99">
        <f>IFERROR(VLOOKUP(E:E,'（居民）工资表-9月'!E:AF,28,0)+VLOOKUP(E:E,'（居民）工资表-9月'!E:AG,29,0),0)</f>
        <v>474.71</v>
      </c>
      <c r="AG15" s="99">
        <f t="shared" si="13"/>
        <v>64.46</v>
      </c>
      <c r="AH15" s="109">
        <f t="shared" si="14"/>
        <v>7084.34</v>
      </c>
      <c r="AI15" s="110"/>
      <c r="AJ15" s="109">
        <f t="shared" si="15"/>
        <v>7084.34</v>
      </c>
      <c r="AK15" s="111"/>
      <c r="AL15" s="109">
        <f t="shared" si="16"/>
        <v>7148.8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41">
        <v>15855788591</v>
      </c>
      <c r="H16" s="40"/>
      <c r="I16" s="40"/>
      <c r="J16" s="70"/>
      <c r="K16" s="40"/>
      <c r="L16" s="73">
        <v>6860</v>
      </c>
      <c r="M16" s="72">
        <v>471.12</v>
      </c>
      <c r="N16" s="72">
        <v>125.78</v>
      </c>
      <c r="O16" s="72">
        <v>29.45</v>
      </c>
      <c r="P16" s="72">
        <v>97</v>
      </c>
      <c r="Q16" s="91">
        <f t="shared" si="10"/>
        <v>723.35</v>
      </c>
      <c r="R16" s="73">
        <v>0</v>
      </c>
      <c r="S16" s="92">
        <f>L16+IFERROR(VLOOKUP($E:$E,'（居民）工资表-9月'!$E:$S,15,0),0)</f>
        <v>63873.74</v>
      </c>
      <c r="T16" s="93">
        <f>5000+IFERROR(VLOOKUP($E:$E,'（居民）工资表-9月'!$E:$T,16,0),0)</f>
        <v>50000</v>
      </c>
      <c r="U16" s="93">
        <f>Q16+IFERROR(VLOOKUP($E:$E,'（居民）工资表-9月'!$E:$U,17,0),0)</f>
        <v>5351.29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R16+IFERROR(VLOOKUP($E:$E,'（居民）工资表-9月'!$E:$AC,25,0),0)</f>
        <v>0</v>
      </c>
      <c r="AD16" s="97">
        <f t="shared" si="12"/>
        <v>8522.45</v>
      </c>
      <c r="AE16" s="98">
        <f>ROUND(MAX((AD16)*{0.03;0.1;0.2;0.25;0.3;0.35;0.45}-{0;2520;16920;31920;52920;85920;181920},0),2)</f>
        <v>255.67</v>
      </c>
      <c r="AF16" s="99">
        <f>IFERROR(VLOOKUP(E:E,'（居民）工资表-9月'!E:AF,28,0)+VLOOKUP(E:E,'（居民）工资表-9月'!E:AG,29,0),0)</f>
        <v>221.57</v>
      </c>
      <c r="AG16" s="99">
        <f t="shared" si="13"/>
        <v>34.1</v>
      </c>
      <c r="AH16" s="109">
        <f t="shared" si="14"/>
        <v>6102.55</v>
      </c>
      <c r="AI16" s="110"/>
      <c r="AJ16" s="109">
        <f t="shared" si="15"/>
        <v>6102.55</v>
      </c>
      <c r="AK16" s="111"/>
      <c r="AL16" s="109">
        <f t="shared" si="16"/>
        <v>6136.65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9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41">
        <v>13873717760</v>
      </c>
      <c r="H17" s="40"/>
      <c r="I17" s="40"/>
      <c r="J17" s="70"/>
      <c r="K17" s="40"/>
      <c r="L17" s="73">
        <v>8060</v>
      </c>
      <c r="M17" s="72">
        <v>315.6</v>
      </c>
      <c r="N17" s="72">
        <v>97.76</v>
      </c>
      <c r="O17" s="72">
        <v>11.84</v>
      </c>
      <c r="P17" s="72">
        <v>175</v>
      </c>
      <c r="Q17" s="91">
        <f t="shared" si="10"/>
        <v>600.2</v>
      </c>
      <c r="R17" s="73">
        <v>0</v>
      </c>
      <c r="S17" s="92">
        <f>L17+IFERROR(VLOOKUP($E:$E,'（居民）工资表-9月'!$E:$S,15,0),0)</f>
        <v>53705</v>
      </c>
      <c r="T17" s="93">
        <f>5000+IFERROR(VLOOKUP($E:$E,'（居民）工资表-9月'!$E:$T,16,0),0)</f>
        <v>40000</v>
      </c>
      <c r="U17" s="93">
        <f>Q17+IFERROR(VLOOKUP($E:$E,'（居民）工资表-9月'!$E:$U,17,0),0)</f>
        <v>4930.43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R17+IFERROR(VLOOKUP($E:$E,'（居民）工资表-9月'!$E:$AC,25,0),0)</f>
        <v>0</v>
      </c>
      <c r="AD17" s="97">
        <f t="shared" si="12"/>
        <v>8774.57</v>
      </c>
      <c r="AE17" s="98">
        <f>ROUND(MAX((AD17)*{0.03;0.1;0.2;0.25;0.3;0.35;0.45}-{0;2520;16920;31920;52920;85920;181920},0),2)</f>
        <v>263.24</v>
      </c>
      <c r="AF17" s="99">
        <f>IFERROR(VLOOKUP(E:E,'（居民）工资表-9月'!E:AF,28,0)+VLOOKUP(E:E,'（居民）工资表-9月'!E:AG,29,0),0)</f>
        <v>189.44</v>
      </c>
      <c r="AG17" s="99">
        <f t="shared" si="13"/>
        <v>73.8</v>
      </c>
      <c r="AH17" s="109">
        <f t="shared" si="14"/>
        <v>7386</v>
      </c>
      <c r="AI17" s="110"/>
      <c r="AJ17" s="109">
        <f t="shared" si="15"/>
        <v>7386</v>
      </c>
      <c r="AK17" s="111"/>
      <c r="AL17" s="109">
        <f t="shared" si="16"/>
        <v>7459.8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  <c r="AV17" s="12" t="s">
        <v>157</v>
      </c>
      <c r="AW17" s="12" t="s">
        <v>51</v>
      </c>
    </row>
    <row r="18" s="12" customFormat="1" ht="18" customHeight="1" spans="1:49">
      <c r="A18" s="36">
        <v>15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38" t="s">
        <v>148</v>
      </c>
      <c r="G18" s="41"/>
      <c r="H18" s="40"/>
      <c r="I18" s="40"/>
      <c r="J18" s="70"/>
      <c r="K18" s="40"/>
      <c r="L18" s="73">
        <v>6800</v>
      </c>
      <c r="M18" s="72">
        <v>411.28</v>
      </c>
      <c r="N18" s="72">
        <v>102.82</v>
      </c>
      <c r="O18" s="72">
        <v>25.71</v>
      </c>
      <c r="P18" s="72">
        <v>103</v>
      </c>
      <c r="Q18" s="91">
        <f t="shared" si="10"/>
        <v>642.81</v>
      </c>
      <c r="R18" s="73">
        <v>0</v>
      </c>
      <c r="S18" s="92">
        <f>L18+IFERROR(VLOOKUP($E:$E,'（居民）工资表-9月'!$E:$S,15,0),0)</f>
        <v>34236.37</v>
      </c>
      <c r="T18" s="93">
        <f>5000+IFERROR(VLOOKUP($E:$E,'（居民）工资表-9月'!$E:$T,16,0),0)</f>
        <v>30000</v>
      </c>
      <c r="U18" s="93">
        <f>Q18+IFERROR(VLOOKUP($E:$E,'（居民）工资表-9月'!$E:$U,17,0),0)</f>
        <v>3674.97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R18+IFERROR(VLOOKUP($E:$E,'（居民）工资表-9月'!$E:$AC,25,0),0)</f>
        <v>0</v>
      </c>
      <c r="AD18" s="97">
        <f t="shared" si="12"/>
        <v>561.4</v>
      </c>
      <c r="AE18" s="98">
        <f>ROUND(MAX((AD18)*{0.03;0.1;0.2;0.25;0.3;0.35;0.45}-{0;2520;16920;31920;52920;85920;181920},0),2)</f>
        <v>16.84</v>
      </c>
      <c r="AF18" s="99">
        <f>IFERROR(VLOOKUP(E:E,'（居民）工资表-9月'!E:AF,28,0)+VLOOKUP(E:E,'（居民）工资表-9月'!E:AG,29,0),0)</f>
        <v>0</v>
      </c>
      <c r="AG18" s="99">
        <f t="shared" si="13"/>
        <v>16.84</v>
      </c>
      <c r="AH18" s="109">
        <f t="shared" si="14"/>
        <v>6140.35</v>
      </c>
      <c r="AI18" s="110"/>
      <c r="AJ18" s="109">
        <f t="shared" si="15"/>
        <v>6140.35</v>
      </c>
      <c r="AK18" s="111"/>
      <c r="AL18" s="109">
        <f t="shared" si="16"/>
        <v>6157.19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  <c r="AV18" s="12" t="s">
        <v>157</v>
      </c>
      <c r="AW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7" t="s">
        <v>189</v>
      </c>
      <c r="F19" s="38" t="s">
        <v>148</v>
      </c>
      <c r="G19" s="41">
        <v>15571147351</v>
      </c>
      <c r="H19" s="40"/>
      <c r="I19" s="40"/>
      <c r="J19" s="70"/>
      <c r="K19" s="40"/>
      <c r="L19" s="73">
        <v>4739.43</v>
      </c>
      <c r="M19" s="72">
        <v>373.2</v>
      </c>
      <c r="N19" s="72">
        <v>94.42</v>
      </c>
      <c r="O19" s="72">
        <v>13.99</v>
      </c>
      <c r="P19" s="72">
        <v>100.5</v>
      </c>
      <c r="Q19" s="91">
        <f t="shared" si="10"/>
        <v>582.11</v>
      </c>
      <c r="R19" s="73">
        <v>0</v>
      </c>
      <c r="S19" s="92">
        <f>L19+IFERROR(VLOOKUP($E:$E,'（居民）工资表-9月'!$E:$S,15,0),0)</f>
        <v>14383.14</v>
      </c>
      <c r="T19" s="93">
        <f>5000+IFERROR(VLOOKUP($E:$E,'（居民）工资表-9月'!$E:$T,16,0),0)</f>
        <v>20000</v>
      </c>
      <c r="U19" s="93">
        <f>Q19+IFERROR(VLOOKUP($E:$E,'（居民）工资表-9月'!$E:$U,17,0),0)</f>
        <v>2684.83</v>
      </c>
      <c r="V19" s="73"/>
      <c r="W19" s="73"/>
      <c r="X19" s="73"/>
      <c r="Y19" s="73"/>
      <c r="Z19" s="73"/>
      <c r="AA19" s="73"/>
      <c r="AB19" s="92">
        <f t="shared" si="11"/>
        <v>0</v>
      </c>
      <c r="AC19" s="92">
        <f>R19+IFERROR(VLOOKUP($E:$E,'（居民）工资表-9月'!$E:$AC,25,0),0)</f>
        <v>0</v>
      </c>
      <c r="AD19" s="97">
        <f t="shared" si="12"/>
        <v>-8301.69</v>
      </c>
      <c r="AE19" s="98">
        <f>ROUND(MAX((AD19)*{0.03;0.1;0.2;0.25;0.3;0.35;0.45}-{0;2520;16920;31920;52920;85920;181920},0),2)</f>
        <v>0</v>
      </c>
      <c r="AF19" s="99">
        <f>IFERROR(VLOOKUP(E:E,'（居民）工资表-9月'!E:AF,28,0)+VLOOKUP(E:E,'（居民）工资表-9月'!E:AG,29,0),0)</f>
        <v>0</v>
      </c>
      <c r="AG19" s="99">
        <f t="shared" si="13"/>
        <v>0</v>
      </c>
      <c r="AH19" s="109">
        <f t="shared" si="14"/>
        <v>4157.32</v>
      </c>
      <c r="AI19" s="110"/>
      <c r="AJ19" s="109">
        <f t="shared" si="15"/>
        <v>4157.32</v>
      </c>
      <c r="AK19" s="111"/>
      <c r="AL19" s="109">
        <f t="shared" si="16"/>
        <v>4157.32</v>
      </c>
      <c r="AM19" s="111"/>
      <c r="AN19" s="111"/>
      <c r="AO19" s="111"/>
      <c r="AP19" s="111"/>
      <c r="AQ19" s="111"/>
      <c r="AR19" s="118" t="str">
        <f t="shared" si="17"/>
        <v>正确</v>
      </c>
      <c r="AS19" s="118" t="str">
        <f t="shared" si="18"/>
        <v>不</v>
      </c>
      <c r="AT19" s="118" t="str">
        <f t="shared" si="19"/>
        <v>重复</v>
      </c>
      <c r="AV19" s="12" t="s">
        <v>190</v>
      </c>
    </row>
    <row r="20" s="12" customFormat="1" ht="18" customHeight="1" spans="1:46">
      <c r="A20" s="36"/>
      <c r="B20" s="37"/>
      <c r="C20" s="128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192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146818.23</v>
      </c>
      <c r="M21" s="76">
        <f>SUM(M4:M20)</f>
        <v>6721.94</v>
      </c>
      <c r="N21" s="76">
        <f>SUM(N4:N20)</f>
        <v>1859.82</v>
      </c>
      <c r="O21" s="76">
        <f>SUM(O4:O20)</f>
        <v>365.25</v>
      </c>
      <c r="P21" s="76">
        <f>SUM(P4:P20)</f>
        <v>2069.5</v>
      </c>
      <c r="Q21" s="76">
        <f t="shared" ref="Q21:AL21" si="20">SUM(Q4:Q20)</f>
        <v>11016.51</v>
      </c>
      <c r="R21" s="76">
        <f t="shared" si="20"/>
        <v>0</v>
      </c>
      <c r="S21" s="76">
        <f t="shared" si="20"/>
        <v>1252738.35</v>
      </c>
      <c r="T21" s="76">
        <f t="shared" si="20"/>
        <v>730000</v>
      </c>
      <c r="U21" s="76">
        <f t="shared" si="20"/>
        <v>89768.89</v>
      </c>
      <c r="V21" s="76">
        <f t="shared" si="20"/>
        <v>10000</v>
      </c>
      <c r="W21" s="76">
        <f t="shared" si="20"/>
        <v>0</v>
      </c>
      <c r="X21" s="76">
        <f t="shared" si="20"/>
        <v>10000</v>
      </c>
      <c r="Y21" s="76">
        <f t="shared" si="20"/>
        <v>0</v>
      </c>
      <c r="Z21" s="76">
        <f t="shared" si="20"/>
        <v>4000</v>
      </c>
      <c r="AA21" s="76">
        <f t="shared" si="20"/>
        <v>0</v>
      </c>
      <c r="AB21" s="76">
        <f t="shared" si="20"/>
        <v>24000</v>
      </c>
      <c r="AC21" s="76">
        <f t="shared" si="20"/>
        <v>0</v>
      </c>
      <c r="AD21" s="76">
        <f t="shared" si="20"/>
        <v>408969.46</v>
      </c>
      <c r="AE21" s="76">
        <f t="shared" si="20"/>
        <v>38262.66</v>
      </c>
      <c r="AF21" s="76">
        <f t="shared" si="20"/>
        <v>32540.18</v>
      </c>
      <c r="AG21" s="76">
        <f t="shared" si="20"/>
        <v>6365.4</v>
      </c>
      <c r="AH21" s="76">
        <f t="shared" si="20"/>
        <v>129436.32</v>
      </c>
      <c r="AI21" s="76">
        <f t="shared" si="20"/>
        <v>0</v>
      </c>
      <c r="AJ21" s="76">
        <f t="shared" si="20"/>
        <v>129436.32</v>
      </c>
      <c r="AK21" s="76">
        <f t="shared" si="20"/>
        <v>0</v>
      </c>
      <c r="AL21" s="76">
        <f t="shared" si="20"/>
        <v>135801.72</v>
      </c>
      <c r="AM21" s="112"/>
      <c r="AN21" s="112"/>
      <c r="AO21" s="112"/>
      <c r="AP21" s="112"/>
      <c r="AQ21" s="112"/>
      <c r="AR21" s="46"/>
      <c r="AS21" s="46"/>
      <c r="AT21" s="120"/>
    </row>
    <row r="24" spans="30:30">
      <c r="AD24" s="103"/>
    </row>
    <row r="25" ht="18.75" customHeight="1" spans="2:30">
      <c r="B25" s="48" t="s">
        <v>131</v>
      </c>
      <c r="C25" s="48" t="s">
        <v>193</v>
      </c>
      <c r="D25" s="48" t="s">
        <v>22</v>
      </c>
      <c r="E25" s="48" t="s">
        <v>23</v>
      </c>
      <c r="AD25" s="10"/>
    </row>
    <row r="26" ht="18.75" customHeight="1" spans="2:5">
      <c r="B26" s="49">
        <f>AJ21</f>
        <v>129436.32</v>
      </c>
      <c r="C26" s="49">
        <f>AG21</f>
        <v>6365.4</v>
      </c>
      <c r="D26" s="49">
        <f>AK21</f>
        <v>0</v>
      </c>
      <c r="E26" s="49">
        <f>B26+C26+D26</f>
        <v>135801.72</v>
      </c>
    </row>
    <row r="27" spans="2:5">
      <c r="B27" s="50"/>
      <c r="C27" s="50"/>
      <c r="D27" s="50"/>
      <c r="E27" s="50"/>
    </row>
    <row r="28" s="14" customFormat="1" spans="1:35">
      <c r="A28" s="52" t="s">
        <v>194</v>
      </c>
      <c r="B28" s="53" t="s">
        <v>195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196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197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198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199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200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201</v>
      </c>
    </row>
    <row r="36" spans="2:2">
      <c r="B36" s="60" t="s">
        <v>202</v>
      </c>
    </row>
    <row r="37" spans="2:2">
      <c r="B37" s="60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20">
    <cfRule type="duplicateValues" dxfId="4" priority="1"/>
  </conditionalFormatting>
  <conditionalFormatting sqref="B33">
    <cfRule type="duplicateValues" dxfId="4" priority="3" stopIfTrue="1"/>
  </conditionalFormatting>
  <conditionalFormatting sqref="B28:B32">
    <cfRule type="duplicateValues" dxfId="4" priority="4" stopIfTrue="1"/>
  </conditionalFormatting>
  <conditionalFormatting sqref="B36:B37">
    <cfRule type="duplicateValues" dxfId="4" priority="2" stopIfTrue="1"/>
  </conditionalFormatting>
  <conditionalFormatting sqref="C25:C27">
    <cfRule type="duplicateValues" dxfId="4" priority="5" stopIfTrue="1"/>
    <cfRule type="expression" dxfId="5" priority="6" stopIfTrue="1">
      <formula>AND(COUNTIF($B$21:$B$65457,C25)+COUNTIF($B$1:$B$3,C25)&gt;1,NOT(ISBLANK(C25)))</formula>
    </cfRule>
    <cfRule type="expression" dxfId="5" priority="7" stopIfTrue="1">
      <formula>AND(COUNTIF($B$32:$B$65408,C25)+COUNTIF($B$1:$B$31,C25)&gt;1,NOT(ISBLANK(C25)))</formula>
    </cfRule>
    <cfRule type="expression" dxfId="5" priority="8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1"/>
      <c r="L1" s="62"/>
      <c r="M1" s="63" t="s">
        <v>104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4" t="s">
        <v>113</v>
      </c>
      <c r="K2" s="29" t="s">
        <v>114</v>
      </c>
      <c r="L2" s="29" t="s">
        <v>115</v>
      </c>
      <c r="M2" s="65" t="s">
        <v>116</v>
      </c>
      <c r="N2" s="66"/>
      <c r="O2" s="66"/>
      <c r="P2" s="67"/>
      <c r="Q2" s="30" t="s">
        <v>117</v>
      </c>
      <c r="R2" s="29" t="s">
        <v>118</v>
      </c>
      <c r="S2" s="30" t="s">
        <v>119</v>
      </c>
      <c r="T2" s="86" t="s">
        <v>120</v>
      </c>
      <c r="U2" s="30" t="s">
        <v>121</v>
      </c>
      <c r="V2" s="87" t="s">
        <v>122</v>
      </c>
      <c r="W2" s="88"/>
      <c r="X2" s="88"/>
      <c r="Y2" s="88"/>
      <c r="Z2" s="88"/>
      <c r="AA2" s="96"/>
      <c r="AB2" s="30" t="s">
        <v>123</v>
      </c>
      <c r="AC2" s="30" t="s">
        <v>124</v>
      </c>
      <c r="AD2" s="86" t="s">
        <v>125</v>
      </c>
      <c r="AE2" s="86" t="s">
        <v>126</v>
      </c>
      <c r="AF2" s="86" t="s">
        <v>127</v>
      </c>
      <c r="AG2" s="86" t="s">
        <v>128</v>
      </c>
      <c r="AH2" s="105" t="s">
        <v>129</v>
      </c>
      <c r="AI2" s="106" t="s">
        <v>130</v>
      </c>
      <c r="AJ2" s="105" t="s">
        <v>131</v>
      </c>
      <c r="AK2" s="28" t="s">
        <v>22</v>
      </c>
      <c r="AL2" s="105" t="s">
        <v>132</v>
      </c>
      <c r="AM2" s="29" t="s">
        <v>204</v>
      </c>
      <c r="AN2" s="29" t="s">
        <v>205</v>
      </c>
      <c r="AO2" s="116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133</v>
      </c>
      <c r="N3" s="69" t="s">
        <v>134</v>
      </c>
      <c r="O3" s="69" t="s">
        <v>135</v>
      </c>
      <c r="P3" s="69" t="s">
        <v>37</v>
      </c>
      <c r="Q3" s="35"/>
      <c r="R3" s="34"/>
      <c r="S3" s="35"/>
      <c r="T3" s="89"/>
      <c r="U3" s="35"/>
      <c r="V3" s="90" t="s">
        <v>136</v>
      </c>
      <c r="W3" s="90" t="s">
        <v>137</v>
      </c>
      <c r="X3" s="90" t="s">
        <v>138</v>
      </c>
      <c r="Y3" s="90" t="s">
        <v>139</v>
      </c>
      <c r="Z3" s="90" t="s">
        <v>140</v>
      </c>
      <c r="AA3" s="90" t="s">
        <v>141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79.86</v>
      </c>
      <c r="O4" s="72">
        <v>11.98</v>
      </c>
      <c r="P4" s="72">
        <v>177</v>
      </c>
      <c r="Q4" s="91">
        <f t="shared" ref="Q4:Q12" si="0">ROUND(SUM(M4:P4),2)</f>
        <v>588.3</v>
      </c>
      <c r="R4" s="73">
        <v>0</v>
      </c>
      <c r="S4" s="92">
        <f>L4+IFERROR(VLOOKUP($E:$E,'（居民）工资表-10月'!$E:$S,15,0),0)</f>
        <v>88000</v>
      </c>
      <c r="T4" s="93">
        <f>5000+IFERROR(VLOOKUP($E:$E,'（居民）工资表-10月'!$E:$T,16,0),0)</f>
        <v>55000</v>
      </c>
      <c r="U4" s="93">
        <f>Q4+IFERROR(VLOOKUP($E:$E,'（居民）工资表-10月'!$E:$U,17,0),0)</f>
        <v>6745.87</v>
      </c>
      <c r="V4" s="73"/>
      <c r="W4" s="73"/>
      <c r="X4" s="73"/>
      <c r="Y4" s="73"/>
      <c r="Z4" s="73"/>
      <c r="AA4" s="73"/>
      <c r="AB4" s="92">
        <f t="shared" ref="AB4:AB12" si="1">ROUND(SUM(V4:AA4),2)</f>
        <v>0</v>
      </c>
      <c r="AC4" s="92">
        <f>R4+IFERROR(VLOOKUP($E:$E,'（居民）工资表-10月'!$E:$AC,25,0),0)</f>
        <v>0</v>
      </c>
      <c r="AD4" s="97">
        <f t="shared" ref="AD4:AD12" si="2">ROUND(S4-T4-U4-AB4-AC4,2)</f>
        <v>26254.13</v>
      </c>
      <c r="AE4" s="98">
        <f>ROUND(MAX((AD4)*{0.03;0.1;0.2;0.25;0.3;0.35;0.45}-{0;2520;16920;31920;52920;85920;181920},0),2)</f>
        <v>787.62</v>
      </c>
      <c r="AF4" s="99">
        <f>IFERROR(VLOOKUP(E:E,'（居民）工资表-10月'!E:AF,28,0)+VLOOKUP(E:E,'（居民）工资表-10月'!E:AG,29,0),0)</f>
        <v>642.92</v>
      </c>
      <c r="AG4" s="99">
        <f>IF((AE4-AF4)&lt;0,0,AE4-AF4)</f>
        <v>144.7</v>
      </c>
      <c r="AH4" s="109">
        <f t="shared" ref="AH4:AH12" si="3">ROUND(IF((L4-Q4-AG4)&lt;0,0,(L4-Q4-AG4)),2)</f>
        <v>7267</v>
      </c>
      <c r="AI4" s="110"/>
      <c r="AJ4" s="109">
        <f t="shared" ref="AJ4:AJ12" si="4">AH4+AI4</f>
        <v>7267</v>
      </c>
      <c r="AK4" s="111"/>
      <c r="AL4" s="109">
        <f t="shared" ref="AL4:AL12" si="5">AJ4+AG4+AK4</f>
        <v>7411.7</v>
      </c>
      <c r="AM4" s="111"/>
      <c r="AN4" s="111"/>
      <c r="AO4" s="111"/>
      <c r="AP4" s="111"/>
      <c r="AQ4" s="111"/>
      <c r="AR4" s="118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2" si="7">IF(SUMPRODUCT(N(E$1:E$6=E4))&gt;1,"重复","不")</f>
        <v>不</v>
      </c>
      <c r="AT4" s="118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7" t="s">
        <v>147</v>
      </c>
      <c r="F5" s="38" t="s">
        <v>148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91">
        <f t="shared" si="0"/>
        <v>655.8</v>
      </c>
      <c r="R5" s="73">
        <v>0</v>
      </c>
      <c r="S5" s="92">
        <f>L5+IFERROR(VLOOKUP($E:$E,'（居民）工资表-10月'!$E:$S,15,0),0)</f>
        <v>62700</v>
      </c>
      <c r="T5" s="93">
        <f>5000+IFERROR(VLOOKUP($E:$E,'（居民）工资表-10月'!$E:$T,16,0),0)</f>
        <v>55000</v>
      </c>
      <c r="U5" s="93">
        <f>Q5+IFERROR(VLOOKUP($E:$E,'（居民）工资表-10月'!$E:$U,17,0),0)</f>
        <v>7003.96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R5+IFERROR(VLOOKUP($E:$E,'（居民）工资表-10月'!$E:$AC,25,0),0)</f>
        <v>0</v>
      </c>
      <c r="AD5" s="97">
        <f t="shared" si="2"/>
        <v>696.04</v>
      </c>
      <c r="AE5" s="98">
        <f>ROUND(MAX((AD5)*{0.03;0.1;0.2;0.25;0.3;0.35;0.45}-{0;2520;16920;31920;52920;85920;181920},0),2)</f>
        <v>20.88</v>
      </c>
      <c r="AF5" s="99">
        <f>IFERROR(VLOOKUP(E:E,'（居民）工资表-10月'!E:AF,28,0)+VLOOKUP(E:E,'（居民）工资表-10月'!E:AG,29,0),0)</f>
        <v>19.56</v>
      </c>
      <c r="AG5" s="99">
        <f t="shared" ref="AG5:AG12" si="9">IF((AE5-AF5)&lt;0,0,AE5-AF5)</f>
        <v>1.32</v>
      </c>
      <c r="AH5" s="109">
        <f t="shared" si="3"/>
        <v>5042.88</v>
      </c>
      <c r="AI5" s="110"/>
      <c r="AJ5" s="109">
        <f t="shared" si="4"/>
        <v>5042.88</v>
      </c>
      <c r="AK5" s="111"/>
      <c r="AL5" s="109">
        <f t="shared" si="5"/>
        <v>5044.2</v>
      </c>
      <c r="AM5" s="111"/>
      <c r="AN5" s="111"/>
      <c r="AO5" s="111"/>
      <c r="AP5" s="111"/>
      <c r="AQ5" s="111"/>
      <c r="AR5" s="118" t="str">
        <f t="shared" si="6"/>
        <v>正确</v>
      </c>
      <c r="AS5" s="118" t="str">
        <f t="shared" si="7"/>
        <v>不</v>
      </c>
      <c r="AT5" s="118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7" t="s">
        <v>150</v>
      </c>
      <c r="F6" s="38" t="s">
        <v>144</v>
      </c>
      <c r="G6" s="41" t="s">
        <v>151</v>
      </c>
      <c r="H6" s="40"/>
      <c r="I6" s="40"/>
      <c r="J6" s="70"/>
      <c r="K6" s="40"/>
      <c r="L6" s="73">
        <v>30560</v>
      </c>
      <c r="M6" s="72">
        <v>584.8</v>
      </c>
      <c r="N6" s="72">
        <v>146.2</v>
      </c>
      <c r="O6" s="72">
        <v>36.55</v>
      </c>
      <c r="P6" s="72">
        <v>181</v>
      </c>
      <c r="Q6" s="91">
        <f t="shared" si="0"/>
        <v>948.55</v>
      </c>
      <c r="R6" s="73">
        <v>0</v>
      </c>
      <c r="S6" s="92">
        <f>L6+IFERROR(VLOOKUP($E:$E,'（居民）工资表-10月'!$E:$S,15,0),0)</f>
        <v>336160</v>
      </c>
      <c r="T6" s="93">
        <f>5000+IFERROR(VLOOKUP($E:$E,'（居民）工资表-10月'!$E:$T,16,0),0)</f>
        <v>55000</v>
      </c>
      <c r="U6" s="93">
        <f>Q6+IFERROR(VLOOKUP($E:$E,'（居民）工资表-10月'!$E:$U,17,0),0)</f>
        <v>10104.35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R6+IFERROR(VLOOKUP($E:$E,'（居民）工资表-10月'!$E:$AC,25,0),0)</f>
        <v>0</v>
      </c>
      <c r="AD6" s="97">
        <f t="shared" si="2"/>
        <v>271055.65</v>
      </c>
      <c r="AE6" s="98">
        <f>ROUND(MAX((AD6)*{0.03;0.1;0.2;0.25;0.3;0.35;0.45}-{0;2520;16920;31920;52920;85920;181920},0),2)</f>
        <v>37291.13</v>
      </c>
      <c r="AF6" s="99">
        <f>IFERROR(VLOOKUP(E:E,'（居民）工资表-10月'!E:AF,28,0)+VLOOKUP(E:E,'（居民）工资表-10月'!E:AG,29,0),0)</f>
        <v>32368.84</v>
      </c>
      <c r="AG6" s="99">
        <f t="shared" si="9"/>
        <v>4922.29</v>
      </c>
      <c r="AH6" s="109">
        <f t="shared" si="3"/>
        <v>24689.16</v>
      </c>
      <c r="AI6" s="110"/>
      <c r="AJ6" s="109">
        <f t="shared" si="4"/>
        <v>24689.16</v>
      </c>
      <c r="AK6" s="111"/>
      <c r="AL6" s="109">
        <f t="shared" si="5"/>
        <v>29611.45</v>
      </c>
      <c r="AM6" s="111"/>
      <c r="AN6" s="111"/>
      <c r="AO6" s="111"/>
      <c r="AP6" s="111"/>
      <c r="AQ6" s="111"/>
      <c r="AR6" s="118" t="str">
        <f t="shared" si="6"/>
        <v>正确</v>
      </c>
      <c r="AS6" s="118" t="str">
        <f t="shared" si="7"/>
        <v>不</v>
      </c>
      <c r="AT6" s="118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7" t="s">
        <v>155</v>
      </c>
      <c r="F7" s="38" t="s">
        <v>144</v>
      </c>
      <c r="G7" s="41" t="s">
        <v>156</v>
      </c>
      <c r="H7" s="40"/>
      <c r="I7" s="40"/>
      <c r="J7" s="70"/>
      <c r="K7" s="40"/>
      <c r="L7" s="73">
        <v>8000</v>
      </c>
      <c r="M7" s="72">
        <v>321.52</v>
      </c>
      <c r="N7" s="72">
        <v>90.51</v>
      </c>
      <c r="O7" s="72">
        <v>20.1</v>
      </c>
      <c r="P7" s="72">
        <v>97</v>
      </c>
      <c r="Q7" s="91">
        <f t="shared" si="0"/>
        <v>529.13</v>
      </c>
      <c r="R7" s="73">
        <v>0</v>
      </c>
      <c r="S7" s="92">
        <f>L7+IFERROR(VLOOKUP($E:$E,'（居民）工资表-10月'!$E:$S,15,0),0)</f>
        <v>88700</v>
      </c>
      <c r="T7" s="93">
        <f>5000+IFERROR(VLOOKUP($E:$E,'（居民）工资表-10月'!$E:$T,16,0),0)</f>
        <v>55000</v>
      </c>
      <c r="U7" s="93">
        <f>Q7+IFERROR(VLOOKUP($E:$E,'（居民）工资表-10月'!$E:$U,17,0),0)</f>
        <v>5880.42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R7+IFERROR(VLOOKUP($E:$E,'（居民）工资表-10月'!$E:$AC,25,0),0)</f>
        <v>0</v>
      </c>
      <c r="AD7" s="97">
        <f t="shared" si="2"/>
        <v>27819.58</v>
      </c>
      <c r="AE7" s="98">
        <f>ROUND(MAX((AD7)*{0.03;0.1;0.2;0.25;0.3;0.35;0.45}-{0;2520;16920;31920;52920;85920;181920},0),2)</f>
        <v>834.59</v>
      </c>
      <c r="AF7" s="99">
        <f>IFERROR(VLOOKUP(E:E,'（居民）工资表-10月'!E:AF,28,0)+VLOOKUP(E:E,'（居民）工资表-10月'!E:AG,29,0),0)</f>
        <v>760.46</v>
      </c>
      <c r="AG7" s="99">
        <f t="shared" si="9"/>
        <v>74.13</v>
      </c>
      <c r="AH7" s="109">
        <f t="shared" si="3"/>
        <v>7396.74</v>
      </c>
      <c r="AI7" s="110"/>
      <c r="AJ7" s="109">
        <f t="shared" si="4"/>
        <v>7396.74</v>
      </c>
      <c r="AK7" s="111"/>
      <c r="AL7" s="109">
        <f t="shared" si="5"/>
        <v>7470.87</v>
      </c>
      <c r="AM7" s="111"/>
      <c r="AN7" s="111"/>
      <c r="AO7" s="111"/>
      <c r="AP7" s="111"/>
      <c r="AQ7" s="111"/>
      <c r="AR7" s="118" t="str">
        <f t="shared" si="6"/>
        <v>正确</v>
      </c>
      <c r="AS7" s="118" t="str">
        <f t="shared" si="7"/>
        <v>不</v>
      </c>
      <c r="AT7" s="118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7" t="s">
        <v>159</v>
      </c>
      <c r="F8" s="38" t="s">
        <v>144</v>
      </c>
      <c r="G8" s="41">
        <v>19356875630</v>
      </c>
      <c r="H8" s="40"/>
      <c r="I8" s="40"/>
      <c r="J8" s="70"/>
      <c r="K8" s="40"/>
      <c r="L8" s="73">
        <v>10500</v>
      </c>
      <c r="M8" s="72">
        <v>321.52</v>
      </c>
      <c r="N8" s="72">
        <v>86.38</v>
      </c>
      <c r="O8" s="72">
        <v>20.1</v>
      </c>
      <c r="P8" s="72">
        <v>688</v>
      </c>
      <c r="Q8" s="91">
        <f t="shared" si="0"/>
        <v>1116</v>
      </c>
      <c r="R8" s="73">
        <v>0</v>
      </c>
      <c r="S8" s="92">
        <f>L8+IFERROR(VLOOKUP($E:$E,'（居民）工资表-10月'!$E:$S,15,0),0)</f>
        <v>109300</v>
      </c>
      <c r="T8" s="93">
        <f>5000+IFERROR(VLOOKUP($E:$E,'（居民）工资表-10月'!$E:$T,16,0),0)</f>
        <v>55000</v>
      </c>
      <c r="U8" s="93">
        <f>Q8+IFERROR(VLOOKUP($E:$E,'（居民）工资表-10月'!$E:$U,17,0),0)</f>
        <v>7518.87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R8+IFERROR(VLOOKUP($E:$E,'（居民）工资表-10月'!$E:$AC,25,0),0)</f>
        <v>0</v>
      </c>
      <c r="AD8" s="97">
        <f t="shared" si="2"/>
        <v>46781.13</v>
      </c>
      <c r="AE8" s="98">
        <f>ROUND(MAX((AD8)*{0.03;0.1;0.2;0.25;0.3;0.35;0.45}-{0;2520;16920;31920;52920;85920;181920},0),2)</f>
        <v>2158.11</v>
      </c>
      <c r="AF8" s="99">
        <f>IFERROR(VLOOKUP(E:E,'（居民）工资表-10月'!E:AF,28,0)+VLOOKUP(E:E,'（居民）工资表-10月'!E:AG,29,0),0)</f>
        <v>1719.71</v>
      </c>
      <c r="AG8" s="99">
        <f t="shared" si="9"/>
        <v>438.4</v>
      </c>
      <c r="AH8" s="109">
        <f t="shared" si="3"/>
        <v>8945.6</v>
      </c>
      <c r="AI8" s="110"/>
      <c r="AJ8" s="109">
        <f t="shared" si="4"/>
        <v>8945.6</v>
      </c>
      <c r="AK8" s="111"/>
      <c r="AL8" s="109">
        <f t="shared" si="5"/>
        <v>9384</v>
      </c>
      <c r="AM8" s="111"/>
      <c r="AN8" s="111"/>
      <c r="AO8" s="111"/>
      <c r="AP8" s="111"/>
      <c r="AQ8" s="111"/>
      <c r="AR8" s="118" t="str">
        <f t="shared" si="6"/>
        <v>正确</v>
      </c>
      <c r="AS8" s="118" t="str">
        <f t="shared" si="7"/>
        <v>不</v>
      </c>
      <c r="AT8" s="118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7" t="s">
        <v>161</v>
      </c>
      <c r="F9" s="38" t="s">
        <v>144</v>
      </c>
      <c r="G9" s="41">
        <v>13973652684</v>
      </c>
      <c r="H9" s="40"/>
      <c r="I9" s="40"/>
      <c r="J9" s="70"/>
      <c r="K9" s="40"/>
      <c r="L9" s="73">
        <v>6500</v>
      </c>
      <c r="M9" s="72">
        <v>147.6</v>
      </c>
      <c r="N9" s="72">
        <v>90.4</v>
      </c>
      <c r="O9" s="72">
        <v>5.53</v>
      </c>
      <c r="P9" s="72">
        <v>100</v>
      </c>
      <c r="Q9" s="91">
        <f t="shared" si="0"/>
        <v>343.53</v>
      </c>
      <c r="R9" s="73">
        <v>0</v>
      </c>
      <c r="S9" s="92">
        <f>L9+IFERROR(VLOOKUP($E:$E,'（居民）工资表-10月'!$E:$S,15,0),0)</f>
        <v>71500</v>
      </c>
      <c r="T9" s="93">
        <f>5000+IFERROR(VLOOKUP($E:$E,'（居民）工资表-10月'!$E:$T,16,0),0)</f>
        <v>55000</v>
      </c>
      <c r="U9" s="93">
        <f>Q9+IFERROR(VLOOKUP($E:$E,'（居民）工资表-10月'!$E:$U,17,0),0)</f>
        <v>5584.54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R9+IFERROR(VLOOKUP($E:$E,'（居民）工资表-10月'!$E:$AC,25,0),0)</f>
        <v>0</v>
      </c>
      <c r="AD9" s="97">
        <f t="shared" si="2"/>
        <v>10915.46</v>
      </c>
      <c r="AE9" s="98">
        <f>ROUND(MAX((AD9)*{0.03;0.1;0.2;0.25;0.3;0.35;0.45}-{0;2520;16920;31920;52920;85920;181920},0),2)</f>
        <v>327.46</v>
      </c>
      <c r="AF9" s="99">
        <f>IFERROR(VLOOKUP(E:E,'（居民）工资表-10月'!E:AF,28,0)+VLOOKUP(E:E,'（居民）工资表-10月'!E:AG,29,0),0)</f>
        <v>292.77</v>
      </c>
      <c r="AG9" s="99">
        <f t="shared" si="9"/>
        <v>34.69</v>
      </c>
      <c r="AH9" s="109">
        <f t="shared" si="3"/>
        <v>6121.78</v>
      </c>
      <c r="AI9" s="110"/>
      <c r="AJ9" s="109">
        <f t="shared" si="4"/>
        <v>6121.78</v>
      </c>
      <c r="AK9" s="111"/>
      <c r="AL9" s="109">
        <f t="shared" si="5"/>
        <v>6156.47</v>
      </c>
      <c r="AM9" s="111"/>
      <c r="AN9" s="111"/>
      <c r="AO9" s="111"/>
      <c r="AP9" s="111"/>
      <c r="AQ9" s="111"/>
      <c r="AR9" s="118" t="str">
        <f t="shared" si="6"/>
        <v>正确</v>
      </c>
      <c r="AS9" s="118" t="str">
        <f t="shared" si="7"/>
        <v>不</v>
      </c>
      <c r="AT9" s="118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7" t="s">
        <v>164</v>
      </c>
      <c r="F10" s="38" t="s">
        <v>144</v>
      </c>
      <c r="G10" s="41" t="s">
        <v>165</v>
      </c>
      <c r="H10" s="40"/>
      <c r="I10" s="40"/>
      <c r="J10" s="70"/>
      <c r="K10" s="40"/>
      <c r="L10" s="73">
        <v>5500</v>
      </c>
      <c r="M10" s="72">
        <v>329.44</v>
      </c>
      <c r="N10" s="72">
        <v>87.36</v>
      </c>
      <c r="O10" s="72">
        <v>20.59</v>
      </c>
      <c r="P10" s="72">
        <v>105</v>
      </c>
      <c r="Q10" s="91">
        <f t="shared" si="0"/>
        <v>542.39</v>
      </c>
      <c r="R10" s="73">
        <v>0</v>
      </c>
      <c r="S10" s="92">
        <f>L10+IFERROR(VLOOKUP($E:$E,'（居民）工资表-10月'!$E:$S,15,0),0)</f>
        <v>49500</v>
      </c>
      <c r="T10" s="93">
        <f>5000+IFERROR(VLOOKUP($E:$E,'（居民）工资表-10月'!$E:$T,16,0),0)</f>
        <v>45000</v>
      </c>
      <c r="U10" s="93">
        <f>Q10+IFERROR(VLOOKUP($E:$E,'（居民）工资表-10月'!$E:$U,17,0),0)</f>
        <v>4932.26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R10+IFERROR(VLOOKUP($E:$E,'（居民）工资表-10月'!$E:$AC,25,0),0)</f>
        <v>0</v>
      </c>
      <c r="AD10" s="97">
        <f t="shared" si="2"/>
        <v>-432.26</v>
      </c>
      <c r="AE10" s="98">
        <f>ROUND(MAX((AD10)*{0.03;0.1;0.2;0.25;0.3;0.35;0.45}-{0;2520;16920;31920;52920;85920;181920},0),2)</f>
        <v>0</v>
      </c>
      <c r="AF10" s="99">
        <f>IFERROR(VLOOKUP(E:E,'（居民）工资表-10月'!E:AF,28,0)+VLOOKUP(E:E,'（居民）工资表-10月'!E:AG,29,0),0)</f>
        <v>0</v>
      </c>
      <c r="AG10" s="99">
        <f t="shared" si="9"/>
        <v>0</v>
      </c>
      <c r="AH10" s="109">
        <f t="shared" si="3"/>
        <v>4957.61</v>
      </c>
      <c r="AI10" s="110"/>
      <c r="AJ10" s="109">
        <f t="shared" si="4"/>
        <v>4957.61</v>
      </c>
      <c r="AK10" s="111"/>
      <c r="AL10" s="109">
        <f t="shared" si="5"/>
        <v>4957.61</v>
      </c>
      <c r="AM10" s="111"/>
      <c r="AN10" s="111"/>
      <c r="AO10" s="111"/>
      <c r="AP10" s="111"/>
      <c r="AQ10" s="111"/>
      <c r="AR10" s="118" t="str">
        <f t="shared" si="6"/>
        <v>正确</v>
      </c>
      <c r="AS10" s="118" t="str">
        <f t="shared" si="7"/>
        <v>不</v>
      </c>
      <c r="AT10" s="118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7" t="s">
        <v>169</v>
      </c>
      <c r="F11" s="38" t="s">
        <v>148</v>
      </c>
      <c r="G11" s="41" t="s">
        <v>170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L11+IFERROR(VLOOKUP($E:$E,'（居民）工资表-10月'!$E:$S,15,0),0)</f>
        <v>50440.88</v>
      </c>
      <c r="T11" s="93">
        <f>5000+IFERROR(VLOOKUP($E:$E,'（居民）工资表-10月'!$E:$T,16,0),0)</f>
        <v>55000</v>
      </c>
      <c r="U11" s="93">
        <f>Q11+IFERROR(VLOOKUP($E:$E,'（居民）工资表-10月'!$E:$U,17,0),0)</f>
        <v>6594.72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R11+IFERROR(VLOOKUP($E:$E,'（居民）工资表-10月'!$E:$AC,25,0),0)</f>
        <v>0</v>
      </c>
      <c r="AD11" s="97">
        <f t="shared" si="2"/>
        <v>-11153.84</v>
      </c>
      <c r="AE11" s="98">
        <f>ROUND(MAX((AD11)*{0.03;0.1;0.2;0.25;0.3;0.35;0.45}-{0;2520;16920;31920;52920;85920;181920},0),2)</f>
        <v>0</v>
      </c>
      <c r="AF11" s="99">
        <f>IFERROR(VLOOKUP(E:E,'（居民）工资表-10月'!E:AF,28,0)+VLOOKUP(E:E,'（居民）工资表-10月'!E:AG,29,0),0)</f>
        <v>0</v>
      </c>
      <c r="AG11" s="99">
        <f t="shared" si="9"/>
        <v>0</v>
      </c>
      <c r="AH11" s="109">
        <f t="shared" si="3"/>
        <v>4005.8</v>
      </c>
      <c r="AI11" s="110"/>
      <c r="AJ11" s="109">
        <f t="shared" si="4"/>
        <v>4005.8</v>
      </c>
      <c r="AK11" s="111"/>
      <c r="AL11" s="109">
        <f t="shared" si="5"/>
        <v>4005.8</v>
      </c>
      <c r="AM11" s="111"/>
      <c r="AN11" s="111"/>
      <c r="AO11" s="111"/>
      <c r="AP11" s="111"/>
      <c r="AQ11" s="111"/>
      <c r="AR11" s="118" t="str">
        <f t="shared" si="6"/>
        <v>正确</v>
      </c>
      <c r="AS11" s="118" t="str">
        <f t="shared" si="7"/>
        <v>不</v>
      </c>
      <c r="AT11" s="118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7" t="s">
        <v>174</v>
      </c>
      <c r="F12" s="38" t="s">
        <v>144</v>
      </c>
      <c r="G12" s="41">
        <v>18356553626</v>
      </c>
      <c r="H12" s="40"/>
      <c r="I12" s="40"/>
      <c r="J12" s="70"/>
      <c r="K12" s="40"/>
      <c r="L12" s="73">
        <v>8500</v>
      </c>
      <c r="M12" s="72">
        <v>321.52</v>
      </c>
      <c r="N12" s="72">
        <v>128.68</v>
      </c>
      <c r="O12" s="72">
        <v>20.1</v>
      </c>
      <c r="P12" s="72">
        <v>97</v>
      </c>
      <c r="Q12" s="91">
        <f t="shared" ref="Q12:Q20" si="10">ROUND(SUM(M12:P12),2)</f>
        <v>567.3</v>
      </c>
      <c r="R12" s="73">
        <v>0</v>
      </c>
      <c r="S12" s="92">
        <f>L12+IFERROR(VLOOKUP($E:$E,'（居民）工资表-10月'!$E:$S,15,0),0)</f>
        <v>96018.18</v>
      </c>
      <c r="T12" s="93">
        <f>5000+IFERROR(VLOOKUP($E:$E,'（居民）工资表-10月'!$E:$T,16,0),0)</f>
        <v>55000</v>
      </c>
      <c r="U12" s="93">
        <f>Q12+IFERROR(VLOOKUP($E:$E,'（居民）工资表-10月'!$E:$U,17,0),0)</f>
        <v>6203.97</v>
      </c>
      <c r="V12" s="73"/>
      <c r="W12" s="73"/>
      <c r="X12" s="73"/>
      <c r="Y12" s="73"/>
      <c r="Z12" s="73"/>
      <c r="AA12" s="73"/>
      <c r="AB12" s="92">
        <f t="shared" ref="AB12:AB20" si="11">ROUND(SUM(V12:AA12),2)</f>
        <v>0</v>
      </c>
      <c r="AC12" s="92">
        <f>R12+IFERROR(VLOOKUP($E:$E,'（居民）工资表-10月'!$E:$AC,25,0),0)</f>
        <v>0</v>
      </c>
      <c r="AD12" s="97">
        <f t="shared" ref="AD12:AD20" si="12">ROUND(S12-T12-U12-AB12-AC12,2)</f>
        <v>34814.21</v>
      </c>
      <c r="AE12" s="98">
        <f>ROUND(MAX((AD12)*{0.03;0.1;0.2;0.25;0.3;0.35;0.45}-{0;2520;16920;31920;52920;85920;181920},0),2)</f>
        <v>1044.43</v>
      </c>
      <c r="AF12" s="99">
        <f>IFERROR(VLOOKUP(E:E,'（居民）工资表-10月'!E:AF,28,0)+VLOOKUP(E:E,'（居民）工资表-10月'!E:AG,29,0),0)</f>
        <v>956.45</v>
      </c>
      <c r="AG12" s="99">
        <f t="shared" ref="AG12:AG20" si="13">IF((AE12-AF12)&lt;0,0,AE12-AF12)</f>
        <v>87.98</v>
      </c>
      <c r="AH12" s="109">
        <f t="shared" ref="AH12:AH20" si="14">ROUND(IF((L12-Q12-AG12)&lt;0,0,(L12-Q12-AG12)),2)</f>
        <v>7844.72</v>
      </c>
      <c r="AI12" s="110"/>
      <c r="AJ12" s="109">
        <f t="shared" ref="AJ12:AJ20" si="15">AH12+AI12</f>
        <v>7844.72</v>
      </c>
      <c r="AK12" s="111"/>
      <c r="AL12" s="109">
        <f t="shared" ref="AL12:AL20" si="16">AJ12+AG12+AK12</f>
        <v>7932.7</v>
      </c>
      <c r="AM12" s="111"/>
      <c r="AN12" s="111"/>
      <c r="AO12" s="111"/>
      <c r="AP12" s="111"/>
      <c r="AQ12" s="111"/>
      <c r="AR12" s="118" t="str">
        <f t="shared" ref="AR12:AR20" si="17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8" t="str">
        <f t="shared" ref="AS12:AS20" si="18">IF(SUMPRODUCT(N(E$1:E$6=E12))&gt;1,"重复","不")</f>
        <v>不</v>
      </c>
      <c r="AT12" s="118" t="str">
        <f t="shared" ref="AT12:AT20" si="19"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7" t="s">
        <v>176</v>
      </c>
      <c r="F13" s="38" t="s">
        <v>144</v>
      </c>
      <c r="G13" s="41">
        <v>18326897140</v>
      </c>
      <c r="H13" s="40"/>
      <c r="I13" s="40"/>
      <c r="J13" s="70"/>
      <c r="K13" s="40"/>
      <c r="L13" s="73">
        <v>7000</v>
      </c>
      <c r="M13" s="72">
        <v>321.52</v>
      </c>
      <c r="N13" s="72">
        <v>86.38</v>
      </c>
      <c r="O13" s="72">
        <v>20.1</v>
      </c>
      <c r="P13" s="72">
        <v>688</v>
      </c>
      <c r="Q13" s="91">
        <f t="shared" si="10"/>
        <v>1116</v>
      </c>
      <c r="R13" s="73">
        <v>0</v>
      </c>
      <c r="S13" s="92">
        <f>L13+IFERROR(VLOOKUP($E:$E,'（居民）工资表-10月'!$E:$S,15,0),0)</f>
        <v>78512.05</v>
      </c>
      <c r="T13" s="93">
        <f>5000+IFERROR(VLOOKUP($E:$E,'（居民）工资表-10月'!$E:$T,16,0),0)</f>
        <v>55000</v>
      </c>
      <c r="U13" s="93">
        <f>Q13+IFERROR(VLOOKUP($E:$E,'（居民）工资表-10月'!$E:$U,17,0),0)</f>
        <v>7518.87</v>
      </c>
      <c r="V13" s="73"/>
      <c r="W13" s="73"/>
      <c r="X13" s="73"/>
      <c r="Y13" s="73"/>
      <c r="Z13" s="73"/>
      <c r="AA13" s="73"/>
      <c r="AB13" s="92">
        <f t="shared" si="11"/>
        <v>0</v>
      </c>
      <c r="AC13" s="92">
        <f>R13+IFERROR(VLOOKUP($E:$E,'（居民）工资表-10月'!$E:$AC,25,0),0)</f>
        <v>0</v>
      </c>
      <c r="AD13" s="97">
        <f t="shared" si="12"/>
        <v>15993.18</v>
      </c>
      <c r="AE13" s="98">
        <f>ROUND(MAX((AD13)*{0.03;0.1;0.2;0.25;0.3;0.35;0.45}-{0;2520;16920;31920;52920;85920;181920},0),2)</f>
        <v>479.8</v>
      </c>
      <c r="AF13" s="99">
        <f>IFERROR(VLOOKUP(E:E,'（居民）工资表-10月'!E:AF,28,0)+VLOOKUP(E:E,'（居民）工资表-10月'!E:AG,29,0),0)</f>
        <v>453.28</v>
      </c>
      <c r="AG13" s="99">
        <f t="shared" si="13"/>
        <v>26.52</v>
      </c>
      <c r="AH13" s="109">
        <f t="shared" si="14"/>
        <v>5857.48</v>
      </c>
      <c r="AI13" s="110"/>
      <c r="AJ13" s="109">
        <f t="shared" si="15"/>
        <v>5857.48</v>
      </c>
      <c r="AK13" s="111"/>
      <c r="AL13" s="109">
        <f t="shared" si="16"/>
        <v>5884</v>
      </c>
      <c r="AM13" s="111"/>
      <c r="AN13" s="111"/>
      <c r="AO13" s="111"/>
      <c r="AP13" s="111"/>
      <c r="AQ13" s="111"/>
      <c r="AR13" s="118" t="str">
        <f t="shared" si="17"/>
        <v>正确</v>
      </c>
      <c r="AS13" s="118" t="str">
        <f t="shared" si="18"/>
        <v>不</v>
      </c>
      <c r="AT13" s="118" t="str">
        <f t="shared" si="19"/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7" t="s">
        <v>178</v>
      </c>
      <c r="F14" s="38" t="s">
        <v>144</v>
      </c>
      <c r="G14" s="41">
        <v>17201857014</v>
      </c>
      <c r="H14" s="40"/>
      <c r="I14" s="40"/>
      <c r="J14" s="70"/>
      <c r="K14" s="40"/>
      <c r="L14" s="73">
        <v>7000</v>
      </c>
      <c r="M14" s="72">
        <v>321.52</v>
      </c>
      <c r="N14" s="72">
        <v>86.38</v>
      </c>
      <c r="O14" s="72">
        <v>20.1</v>
      </c>
      <c r="P14" s="72">
        <v>688</v>
      </c>
      <c r="Q14" s="91">
        <f t="shared" si="10"/>
        <v>1116</v>
      </c>
      <c r="R14" s="73">
        <v>0</v>
      </c>
      <c r="S14" s="92">
        <f>L14+IFERROR(VLOOKUP($E:$E,'（居民）工资表-10月'!$E:$S,15,0),0)</f>
        <v>83958.7</v>
      </c>
      <c r="T14" s="93">
        <f>5000+IFERROR(VLOOKUP($E:$E,'（居民）工资表-10月'!$E:$T,16,0),0)</f>
        <v>55000</v>
      </c>
      <c r="U14" s="93">
        <f>Q14+IFERROR(VLOOKUP($E:$E,'（居民）工资表-10月'!$E:$U,17,0),0)</f>
        <v>7518.87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R14+IFERROR(VLOOKUP($E:$E,'（居民）工资表-10月'!$E:$AC,25,0),0)</f>
        <v>0</v>
      </c>
      <c r="AD14" s="97">
        <f t="shared" si="12"/>
        <v>21439.83</v>
      </c>
      <c r="AE14" s="98">
        <f>ROUND(MAX((AD14)*{0.03;0.1;0.2;0.25;0.3;0.35;0.45}-{0;2520;16920;31920;52920;85920;181920},0),2)</f>
        <v>643.19</v>
      </c>
      <c r="AF14" s="99">
        <f>IFERROR(VLOOKUP(E:E,'（居民）工资表-10月'!E:AF,28,0)+VLOOKUP(E:E,'（居民）工资表-10月'!E:AG,29,0),0)</f>
        <v>616.67</v>
      </c>
      <c r="AG14" s="99">
        <f t="shared" si="13"/>
        <v>26.5200000000001</v>
      </c>
      <c r="AH14" s="109">
        <f t="shared" si="14"/>
        <v>5857.48</v>
      </c>
      <c r="AI14" s="110"/>
      <c r="AJ14" s="109">
        <f t="shared" si="15"/>
        <v>5857.48</v>
      </c>
      <c r="AK14" s="111"/>
      <c r="AL14" s="109">
        <f t="shared" si="16"/>
        <v>5884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7" t="s">
        <v>180</v>
      </c>
      <c r="F15" s="38" t="s">
        <v>148</v>
      </c>
      <c r="G15" s="41" t="s">
        <v>181</v>
      </c>
      <c r="H15" s="40"/>
      <c r="I15" s="40"/>
      <c r="J15" s="70"/>
      <c r="K15" s="40"/>
      <c r="L15" s="73">
        <v>7000</v>
      </c>
      <c r="M15" s="72">
        <v>321.52</v>
      </c>
      <c r="N15" s="72">
        <v>128.68</v>
      </c>
      <c r="O15" s="72">
        <v>20.1</v>
      </c>
      <c r="P15" s="72">
        <v>97</v>
      </c>
      <c r="Q15" s="91">
        <f t="shared" si="10"/>
        <v>567.3</v>
      </c>
      <c r="R15" s="73">
        <v>0</v>
      </c>
      <c r="S15" s="92">
        <f>L15+IFERROR(VLOOKUP($E:$E,'（居民）工资表-10月'!$E:$S,15,0),0)</f>
        <v>80609.09</v>
      </c>
      <c r="T15" s="93">
        <f>5000+IFERROR(VLOOKUP($E:$E,'（居民）工资表-10月'!$E:$T,16,0),0)</f>
        <v>55000</v>
      </c>
      <c r="U15" s="93">
        <f>Q15+IFERROR(VLOOKUP($E:$E,'（居民）工资表-10月'!$E:$U,17,0),0)</f>
        <v>6203.97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R15+IFERROR(VLOOKUP($E:$E,'（居民）工资表-10月'!$E:$AC,25,0),0)</f>
        <v>0</v>
      </c>
      <c r="AD15" s="97">
        <f t="shared" si="12"/>
        <v>19405.12</v>
      </c>
      <c r="AE15" s="98">
        <f>ROUND(MAX((AD15)*{0.03;0.1;0.2;0.25;0.3;0.35;0.45}-{0;2520;16920;31920;52920;85920;181920},0),2)</f>
        <v>582.15</v>
      </c>
      <c r="AF15" s="99">
        <f>IFERROR(VLOOKUP(E:E,'（居民）工资表-10月'!E:AF,28,0)+VLOOKUP(E:E,'（居民）工资表-10月'!E:AG,29,0),0)</f>
        <v>539.17</v>
      </c>
      <c r="AG15" s="99">
        <f t="shared" si="13"/>
        <v>42.98</v>
      </c>
      <c r="AH15" s="109">
        <f t="shared" si="14"/>
        <v>6389.72</v>
      </c>
      <c r="AI15" s="110"/>
      <c r="AJ15" s="109">
        <f t="shared" si="15"/>
        <v>6389.72</v>
      </c>
      <c r="AK15" s="111"/>
      <c r="AL15" s="109">
        <f t="shared" si="16"/>
        <v>6432.7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7" t="s">
        <v>183</v>
      </c>
      <c r="F16" s="38" t="s">
        <v>148</v>
      </c>
      <c r="G16" s="41">
        <v>15855788591</v>
      </c>
      <c r="H16" s="40"/>
      <c r="I16" s="40"/>
      <c r="J16" s="70"/>
      <c r="K16" s="40"/>
      <c r="L16" s="73">
        <v>6060</v>
      </c>
      <c r="M16" s="72">
        <v>321.52</v>
      </c>
      <c r="N16" s="72">
        <v>90.51</v>
      </c>
      <c r="O16" s="72">
        <v>20.1</v>
      </c>
      <c r="P16" s="72">
        <v>97</v>
      </c>
      <c r="Q16" s="91">
        <f t="shared" si="10"/>
        <v>529.13</v>
      </c>
      <c r="R16" s="73">
        <v>0</v>
      </c>
      <c r="S16" s="92">
        <f>L16+IFERROR(VLOOKUP($E:$E,'（居民）工资表-10月'!$E:$S,15,0),0)</f>
        <v>69933.74</v>
      </c>
      <c r="T16" s="93">
        <f>5000+IFERROR(VLOOKUP($E:$E,'（居民）工资表-10月'!$E:$T,16,0),0)</f>
        <v>55000</v>
      </c>
      <c r="U16" s="93">
        <f>Q16+IFERROR(VLOOKUP($E:$E,'（居民）工资表-10月'!$E:$U,17,0),0)</f>
        <v>5880.42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R16+IFERROR(VLOOKUP($E:$E,'（居民）工资表-10月'!$E:$AC,25,0),0)</f>
        <v>0</v>
      </c>
      <c r="AD16" s="97">
        <f t="shared" si="12"/>
        <v>9053.32</v>
      </c>
      <c r="AE16" s="98">
        <f>ROUND(MAX((AD16)*{0.03;0.1;0.2;0.25;0.3;0.35;0.45}-{0;2520;16920;31920;52920;85920;181920},0),2)</f>
        <v>271.6</v>
      </c>
      <c r="AF16" s="99">
        <f>IFERROR(VLOOKUP(E:E,'（居民）工资表-10月'!E:AF,28,0)+VLOOKUP(E:E,'（居民）工资表-10月'!E:AG,29,0),0)</f>
        <v>255.67</v>
      </c>
      <c r="AG16" s="99">
        <f t="shared" si="13"/>
        <v>15.93</v>
      </c>
      <c r="AH16" s="109">
        <f t="shared" si="14"/>
        <v>5514.94</v>
      </c>
      <c r="AI16" s="110"/>
      <c r="AJ16" s="109">
        <f t="shared" si="15"/>
        <v>5514.94</v>
      </c>
      <c r="AK16" s="111"/>
      <c r="AL16" s="109">
        <f t="shared" si="16"/>
        <v>5530.87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  <c r="AU16" s="11"/>
      <c r="AV16" s="11"/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7" t="s">
        <v>185</v>
      </c>
      <c r="F17" s="38" t="s">
        <v>148</v>
      </c>
      <c r="G17" s="41">
        <v>13873717760</v>
      </c>
      <c r="H17" s="40"/>
      <c r="I17" s="40"/>
      <c r="J17" s="70"/>
      <c r="K17" s="40"/>
      <c r="L17" s="73">
        <v>6560</v>
      </c>
      <c r="M17" s="72">
        <v>147.6</v>
      </c>
      <c r="N17" s="72">
        <v>90.4</v>
      </c>
      <c r="O17" s="72">
        <v>5.53</v>
      </c>
      <c r="P17" s="72">
        <v>175</v>
      </c>
      <c r="Q17" s="91">
        <f t="shared" si="10"/>
        <v>418.53</v>
      </c>
      <c r="R17" s="73">
        <v>0</v>
      </c>
      <c r="S17" s="92">
        <f>L17+IFERROR(VLOOKUP($E:$E,'（居民）工资表-10月'!$E:$S,15,0),0)</f>
        <v>60265</v>
      </c>
      <c r="T17" s="93">
        <f>5000+IFERROR(VLOOKUP($E:$E,'（居民）工资表-10月'!$E:$T,16,0),0)</f>
        <v>45000</v>
      </c>
      <c r="U17" s="93">
        <f>Q17+IFERROR(VLOOKUP($E:$E,'（居民）工资表-10月'!$E:$U,17,0),0)</f>
        <v>5348.96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R17+IFERROR(VLOOKUP($E:$E,'（居民）工资表-10月'!$E:$AC,25,0),0)</f>
        <v>0</v>
      </c>
      <c r="AD17" s="97">
        <f t="shared" si="12"/>
        <v>9916.04</v>
      </c>
      <c r="AE17" s="98">
        <f>ROUND(MAX((AD17)*{0.03;0.1;0.2;0.25;0.3;0.35;0.45}-{0;2520;16920;31920;52920;85920;181920},0),2)</f>
        <v>297.48</v>
      </c>
      <c r="AF17" s="99">
        <f>IFERROR(VLOOKUP(E:E,'（居民）工资表-10月'!E:AF,28,0)+VLOOKUP(E:E,'（居民）工资表-10月'!E:AG,29,0),0)</f>
        <v>263.24</v>
      </c>
      <c r="AG17" s="99">
        <f t="shared" si="13"/>
        <v>34.24</v>
      </c>
      <c r="AH17" s="109">
        <f t="shared" si="14"/>
        <v>6107.23</v>
      </c>
      <c r="AI17" s="110"/>
      <c r="AJ17" s="109">
        <f t="shared" si="15"/>
        <v>6107.23</v>
      </c>
      <c r="AK17" s="111"/>
      <c r="AL17" s="109">
        <f t="shared" si="16"/>
        <v>6141.47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  <c r="AU17" s="11"/>
      <c r="AV17" s="11"/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7" t="s">
        <v>187</v>
      </c>
      <c r="F18" s="38" t="s">
        <v>148</v>
      </c>
      <c r="G18" s="41"/>
      <c r="H18" s="40"/>
      <c r="I18" s="40"/>
      <c r="J18" s="70"/>
      <c r="K18" s="40"/>
      <c r="L18" s="73">
        <v>6000</v>
      </c>
      <c r="M18" s="72">
        <v>321.52</v>
      </c>
      <c r="N18" s="72">
        <v>80.38</v>
      </c>
      <c r="O18" s="72">
        <v>20.1</v>
      </c>
      <c r="P18" s="72">
        <v>103</v>
      </c>
      <c r="Q18" s="91">
        <f t="shared" si="10"/>
        <v>525</v>
      </c>
      <c r="R18" s="73">
        <v>0</v>
      </c>
      <c r="S18" s="92">
        <f>L18+IFERROR(VLOOKUP($E:$E,'（居民）工资表-10月'!$E:$S,15,0),0)</f>
        <v>40236.37</v>
      </c>
      <c r="T18" s="93">
        <f>5000+IFERROR(VLOOKUP($E:$E,'（居民）工资表-10月'!$E:$T,16,0),0)</f>
        <v>35000</v>
      </c>
      <c r="U18" s="93">
        <f>Q18+IFERROR(VLOOKUP($E:$E,'（居民）工资表-10月'!$E:$U,17,0),0)</f>
        <v>4199.97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R18+IFERROR(VLOOKUP($E:$E,'（居民）工资表-10月'!$E:$AC,25,0),0)</f>
        <v>0</v>
      </c>
      <c r="AD18" s="97">
        <f t="shared" si="12"/>
        <v>1036.4</v>
      </c>
      <c r="AE18" s="98">
        <f>ROUND(MAX((AD18)*{0.03;0.1;0.2;0.25;0.3;0.35;0.45}-{0;2520;16920;31920;52920;85920;181920},0),2)</f>
        <v>31.09</v>
      </c>
      <c r="AF18" s="99">
        <f>IFERROR(VLOOKUP(E:E,'（居民）工资表-10月'!E:AF,28,0)+VLOOKUP(E:E,'（居民）工资表-10月'!E:AG,29,0),0)</f>
        <v>16.84</v>
      </c>
      <c r="AG18" s="99">
        <f t="shared" si="13"/>
        <v>14.25</v>
      </c>
      <c r="AH18" s="109">
        <f t="shared" si="14"/>
        <v>5460.75</v>
      </c>
      <c r="AI18" s="110"/>
      <c r="AJ18" s="109">
        <f t="shared" si="15"/>
        <v>5460.75</v>
      </c>
      <c r="AK18" s="111"/>
      <c r="AL18" s="109">
        <f t="shared" si="16"/>
        <v>5475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  <c r="AU18" s="11"/>
      <c r="AV18" s="11"/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7" t="s">
        <v>189</v>
      </c>
      <c r="F19" s="38" t="s">
        <v>148</v>
      </c>
      <c r="G19" s="41">
        <v>15571147351</v>
      </c>
      <c r="H19" s="40"/>
      <c r="I19" s="40"/>
      <c r="J19" s="70"/>
      <c r="K19" s="40"/>
      <c r="L19" s="73">
        <v>5425</v>
      </c>
      <c r="M19" s="72">
        <v>337.92</v>
      </c>
      <c r="N19" s="72">
        <v>91.48</v>
      </c>
      <c r="O19" s="72">
        <v>12.67</v>
      </c>
      <c r="P19" s="72">
        <v>100.5</v>
      </c>
      <c r="Q19" s="91">
        <f t="shared" si="10"/>
        <v>542.57</v>
      </c>
      <c r="R19" s="73">
        <v>0</v>
      </c>
      <c r="S19" s="92">
        <f>L19+IFERROR(VLOOKUP($E:$E,'（居民）工资表-10月'!$E:$S,15,0),0)</f>
        <v>19808.14</v>
      </c>
      <c r="T19" s="93">
        <f>5000+IFERROR(VLOOKUP($E:$E,'（居民）工资表-10月'!$E:$T,16,0),0)</f>
        <v>25000</v>
      </c>
      <c r="U19" s="93">
        <f>Q19+IFERROR(VLOOKUP($E:$E,'（居民）工资表-10月'!$E:$U,17,0),0)</f>
        <v>3227.4</v>
      </c>
      <c r="V19" s="73"/>
      <c r="W19" s="73"/>
      <c r="X19" s="73"/>
      <c r="Y19" s="73"/>
      <c r="Z19" s="73"/>
      <c r="AA19" s="73"/>
      <c r="AB19" s="92">
        <f t="shared" si="11"/>
        <v>0</v>
      </c>
      <c r="AC19" s="92">
        <f>R19+IFERROR(VLOOKUP($E:$E,'（居民）工资表-10月'!$E:$AC,25,0),0)</f>
        <v>0</v>
      </c>
      <c r="AD19" s="97">
        <f t="shared" si="12"/>
        <v>-8419.26</v>
      </c>
      <c r="AE19" s="98">
        <f>ROUND(MAX((AD19)*{0.03;0.1;0.2;0.25;0.3;0.35;0.45}-{0;2520;16920;31920;52920;85920;181920},0),2)</f>
        <v>0</v>
      </c>
      <c r="AF19" s="99">
        <f>IFERROR(VLOOKUP(E:E,'（居民）工资表-10月'!E:AF,28,0)+VLOOKUP(E:E,'（居民）工资表-10月'!E:AG,29,0),0)</f>
        <v>0</v>
      </c>
      <c r="AG19" s="99">
        <f t="shared" si="13"/>
        <v>0</v>
      </c>
      <c r="AH19" s="109">
        <f t="shared" si="14"/>
        <v>4882.43</v>
      </c>
      <c r="AI19" s="110"/>
      <c r="AJ19" s="109">
        <f t="shared" si="15"/>
        <v>4882.43</v>
      </c>
      <c r="AK19" s="111"/>
      <c r="AL19" s="109">
        <f t="shared" si="16"/>
        <v>4882.43</v>
      </c>
      <c r="AM19" s="111"/>
      <c r="AN19" s="111"/>
      <c r="AO19" s="111"/>
      <c r="AP19" s="111"/>
      <c r="AQ19" s="111"/>
      <c r="AR19" s="118" t="str">
        <f t="shared" si="17"/>
        <v>正确</v>
      </c>
      <c r="AS19" s="118" t="str">
        <f t="shared" si="18"/>
        <v>不</v>
      </c>
      <c r="AT19" s="118" t="str">
        <f t="shared" si="19"/>
        <v>重复</v>
      </c>
      <c r="AU19" s="11"/>
      <c r="AV19" s="11"/>
    </row>
    <row r="20" s="12" customFormat="1" ht="18" customHeight="1" spans="1:48">
      <c r="A20" s="36"/>
      <c r="B20" s="37"/>
      <c r="C20" s="37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  <c r="AU20" s="11"/>
      <c r="AV20" s="11"/>
    </row>
    <row r="21" s="13" customFormat="1" ht="18" customHeight="1" spans="1:46">
      <c r="A21" s="42"/>
      <c r="B21" s="43" t="s">
        <v>192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SUM(L4:L19)</f>
        <v>132903.8</v>
      </c>
      <c r="M21" s="76">
        <f>SUM(M4:M19)</f>
        <v>5213.7</v>
      </c>
      <c r="N21" s="76">
        <f>SUM(N4:N19)</f>
        <v>1587.08</v>
      </c>
      <c r="O21" s="76">
        <f t="shared" ref="O21:AL21" si="20">SUM(O4:O19)</f>
        <v>280.25</v>
      </c>
      <c r="P21" s="76">
        <f t="shared" si="20"/>
        <v>3617.5</v>
      </c>
      <c r="Q21" s="76">
        <f t="shared" si="20"/>
        <v>10698.53</v>
      </c>
      <c r="R21" s="76">
        <f t="shared" si="20"/>
        <v>0</v>
      </c>
      <c r="S21" s="76">
        <f t="shared" si="20"/>
        <v>1385642.15</v>
      </c>
      <c r="T21" s="76">
        <f t="shared" si="20"/>
        <v>810000</v>
      </c>
      <c r="U21" s="76">
        <f t="shared" si="20"/>
        <v>100467.42</v>
      </c>
      <c r="V21" s="76">
        <f t="shared" si="20"/>
        <v>0</v>
      </c>
      <c r="W21" s="76">
        <f t="shared" si="20"/>
        <v>0</v>
      </c>
      <c r="X21" s="76">
        <f t="shared" si="20"/>
        <v>0</v>
      </c>
      <c r="Y21" s="76">
        <f t="shared" si="20"/>
        <v>0</v>
      </c>
      <c r="Z21" s="76">
        <f t="shared" si="20"/>
        <v>0</v>
      </c>
      <c r="AA21" s="76">
        <f t="shared" si="20"/>
        <v>0</v>
      </c>
      <c r="AB21" s="76">
        <f t="shared" si="20"/>
        <v>0</v>
      </c>
      <c r="AC21" s="76">
        <f t="shared" si="20"/>
        <v>0</v>
      </c>
      <c r="AD21" s="76">
        <f t="shared" si="20"/>
        <v>475174.73</v>
      </c>
      <c r="AE21" s="76">
        <f t="shared" si="20"/>
        <v>44769.53</v>
      </c>
      <c r="AF21" s="76">
        <f t="shared" si="20"/>
        <v>38905.58</v>
      </c>
      <c r="AG21" s="76">
        <f t="shared" si="20"/>
        <v>5863.95</v>
      </c>
      <c r="AH21" s="76">
        <f t="shared" si="20"/>
        <v>116341.32</v>
      </c>
      <c r="AI21" s="76">
        <f t="shared" si="20"/>
        <v>0</v>
      </c>
      <c r="AJ21" s="76">
        <f t="shared" si="20"/>
        <v>116341.32</v>
      </c>
      <c r="AK21" s="76">
        <f t="shared" si="20"/>
        <v>0</v>
      </c>
      <c r="AL21" s="76">
        <f t="shared" si="20"/>
        <v>122205.27</v>
      </c>
      <c r="AM21" s="112"/>
      <c r="AN21" s="112"/>
      <c r="AO21" s="112"/>
      <c r="AP21" s="112"/>
      <c r="AQ21" s="112"/>
      <c r="AR21" s="46"/>
      <c r="AS21" s="46"/>
      <c r="AT21" s="120"/>
    </row>
    <row r="24" spans="30:30">
      <c r="AD24" s="103"/>
    </row>
    <row r="25" ht="18.75" customHeight="1" spans="2:30">
      <c r="B25" s="48" t="s">
        <v>131</v>
      </c>
      <c r="C25" s="48" t="s">
        <v>193</v>
      </c>
      <c r="D25" s="48" t="s">
        <v>22</v>
      </c>
      <c r="E25" s="48" t="s">
        <v>23</v>
      </c>
      <c r="AD25" s="10"/>
    </row>
    <row r="26" ht="18.75" customHeight="1" spans="2:5">
      <c r="B26" s="49">
        <f>AJ21</f>
        <v>116341.32</v>
      </c>
      <c r="C26" s="49">
        <f>AG21</f>
        <v>5863.95</v>
      </c>
      <c r="D26" s="49">
        <f>AK21</f>
        <v>0</v>
      </c>
      <c r="E26" s="49">
        <f>B26+C26+D26</f>
        <v>122205.27</v>
      </c>
    </row>
    <row r="27" spans="2:5">
      <c r="B27" s="50"/>
      <c r="C27" s="50"/>
      <c r="D27" s="50"/>
      <c r="E27" s="50"/>
    </row>
    <row r="28" s="14" customFormat="1" spans="1:35">
      <c r="A28" s="52" t="s">
        <v>194</v>
      </c>
      <c r="B28" s="53" t="s">
        <v>195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196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197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198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199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200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201</v>
      </c>
    </row>
    <row r="36" spans="2:2">
      <c r="B36" s="60" t="s">
        <v>202</v>
      </c>
    </row>
    <row r="37" spans="2:2">
      <c r="B37" s="60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2024-01-31T04:18:58Z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2052-12.1.0.16250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