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2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'（居民）工资表-9月'!$A$3:$AT$18</definedName>
    <definedName name="_xlnm._FilterDatabase" localSheetId="7" hidden="1">'（居民）工资表-10月'!$A$3:$AT$18</definedName>
    <definedName name="_xlnm._FilterDatabase" localSheetId="8" hidden="1">'（居民）工资表-11月'!$A$3:$AT$18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'（居民）工资表-10月'!$A$1:$AT$24</definedName>
    <definedName name="_xlnm.Print_Area" localSheetId="8">'（居民）工资表-11月'!$A$1:$AT$24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<sst xmlns="http://schemas.openxmlformats.org/spreadsheetml/2006/main" count="2136" uniqueCount="254">
  <si>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</si>
  <si>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</si>
  <si>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</si>
  <si>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</si>
  <si>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</si>
  <si>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</si>
  <si>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</si>
  <si>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</si>
  <si>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</si>
  <si>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</si>
  <si>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</si>
  <si>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</si>
  <si>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</si>
  <si>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</si>
  <si>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</si>
  <si>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</si>
  <si>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</si>
  <si>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</si>
  <si>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</si>
  <si>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</si>
  <si>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</si>
  <si>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</si>
  <si>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</si>
  <si>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</si>
  <si>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</si>
  <si>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</si>
  <si>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</si>
  <si>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</si>
  <si>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</si>
  <si>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</si>
  <si>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</si>
  <si>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</si>
  <si>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</si>
  <si>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</si>
  <si>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</si>
  <si>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</si>
  <si>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</si>
  <si>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</si>
  <si>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</si>
  <si>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</si>
  <si>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</si>
  <si>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</si>
  <si>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</si>
  <si>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</si>
  <si>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</si>
  <si>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</si>
  <si>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</si>
  <si>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</si>
  <si>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</si>
  <si>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</si>
  <si>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</si>
  <si>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</si>
  <si>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</si>
  <si>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</si>
  <si>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</si>
  <si>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</si>
  <si>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</si>
  <si>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</si>
  <si>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</si>
  <si>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</si>
  <si>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</si>
  <si>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</si>
  <si>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</si>
  <si>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</si>
  <si>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</si>
  <si>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</si>
  <si>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</si>
  <si>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</si>
  <si>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</si>
  <si>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根据贵公司与我公司所签订的服务协议，请贵公司在2024年11月8日之前按照下列表格内容支付相关款项.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</si>
  <si>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</si>
  <si>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</si>
  <si>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</si>
  <si>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</si>
  <si>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</si>
  <si>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</si>
  <si>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</si>
  <si>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</si>
  <si>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</si>
  <si>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</si>
  <si>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</si>
  <si>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</si>
  <si>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</si>
  <si>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</si>
  <si>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</si>
  <si>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</si>
  <si>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</si>
  <si>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</si>
  <si>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</si>
  <si>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</si>
  <si>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</si>
  <si>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</si>
  <si>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</si>
  <si>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</si>
  <si>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</si>
  <si>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</si>
  <si>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</si>
  <si>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</si>
  <si>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</si>
  <si>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</si>
  <si>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</si>
  <si>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</si>
  <si>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</si>
  <si>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</si>
  <si>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</si>
  <si>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</si>
  <si>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</si>
  <si>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</si>
  <si>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</si>
  <si>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</si>
  <si>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</si>
  <si>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</si>
  <si>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</si>
  <si>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</si>
  <si>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</si>
  <si>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</si>
  <si>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</si>
  <si>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</si>
  <si>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</si>
  <si>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</si>
  <si>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</si>
  <si>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</si>
  <si>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</si>
  <si>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</si>
  <si>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</si>
  <si>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</si>
  <si>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</si>
  <si>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</si>
  <si>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</si>
  <si>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</si>
  <si>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</si>
  <si>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</si>
  <si>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</si>
  <si>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</si>
  <si>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</si>
  <si>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</si>
  <si>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</si>
  <si>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</si>
  <si>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</si>
  <si>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</si>
  <si>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</si>
  <si>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</si>
  <si>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</si>
  <si>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</si>
  <si>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</si>
  <si>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</si>
  <si>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</si>
  <si>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</si>
  <si>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</si>
  <si>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</si>
  <si>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</si>
  <si>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</si>
  <si>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</si>
  <si>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</si>
  <si>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</si>
  <si>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</si>
  <si>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</si>
  <si>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</si>
  <si>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</si>
  <si>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</si>
  <si>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</si>
  <si>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</si>
  <si>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</si>
  <si>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</si>
  <si>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</si>
  <si>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</si>
  <si>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</si>
  <si>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</si>
  <si>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</si>
  <si>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</si>
  <si>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</si>
  <si>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</si>
  <si>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</si>
  <si>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</si>
  <si>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</si>
  <si>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</si>
  <si>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</si>
  <si>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</si>
  <si>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</si>
  <si>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</si>
  <si>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</si>
  <si>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</si>
  <si>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</si>
  <si>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</si>
  <si>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</si>
  <si>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</si>
  <si>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</si>
  <si>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</si>
  <si>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</si>
  <si>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</si>
  <si>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</si>
  <si>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</si>
  <si>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</si>
  <si>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</si>
  <si>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</si>
  <si>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</si>
  <si>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</si>
  <si>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</si>
  <si>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</si>
  <si>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</si>
  <si>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</si>
  <si>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</si>
  <si>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</si>
  <si>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</si>
  <si>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</si>
  <si>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</si>
  <si>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</si>
  <si>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重庆易铭天</t>
  </si>
  <si>
    <t>谭江月</t>
  </si>
  <si>
    <t>500228199607193387</t>
  </si>
  <si>
    <t>18297976577</t>
  </si>
  <si>
    <t>杨文</t>
  </si>
  <si>
    <t>430902198512287016</t>
  </si>
  <si>
    <t>周兆平</t>
  </si>
  <si>
    <t>420625199902250033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</si>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</sst>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208</v>
      </c>
      <c r="D10" s="37" t="s">
        <v>143</v>
      </c>
      <c r="E10" s="326" t="s">
        <v>209</v>
      </c>
      <c r="F10" s="127" t="s">
        <v>144</v>
      </c>
      <c r="G10" s="39" t="s">
        <v>210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127" t="s">
        <v>148</v>
      </c>
      <c r="G11" s="39" t="s">
        <v>165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127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7308.78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-108.78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788.39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70800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7940.44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2859.56</v>
      </c>
      <c r="AE5" s="96">
        <f>ROUND(MAX((AD5)*{0.03;0.1;0.2;0.25;0.3;0.35;0.45}-{0;2520;16920;31920;52920;85920;181920},0),2)</f>
        <v>85.79</v>
      </c>
      <c r="AF5" s="97">
        <f>IFERROR(VLOOKUP(E:E,'（居民）工资表-11月'!E:AF,28,0)+VLOOKUP(E:E,'（居民）工资表-11月'!E:AG,29,0),0)</f>
        <v>84.46</v>
      </c>
      <c r="AG5" s="97">
        <f t="shared" si="3"/>
        <v>1.33000000000001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360720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11456.45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289263.55</v>
      </c>
      <c r="AE6" s="96">
        <f>ROUND(MAX((AD6)*{0.03;0.1;0.2;0.25;0.3;0.35;0.45}-{0;2520;16920;31920;52920;85920;181920},0),2)</f>
        <v>40932.71</v>
      </c>
      <c r="AF6" s="97">
        <f>IFERROR(VLOOKUP(E:E,'（居民）工资表-11月'!E:AF,28,0)+VLOOKUP(E:E,'（居民）工资表-11月'!E:AG,29,0),0)</f>
        <v>36110.42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107520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6600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40920</v>
      </c>
      <c r="AE7" s="96">
        <f>ROUND(MAX((AD7)*{0.03;0.1;0.2;0.25;0.3;0.35;0.45}-{0;2520;16920;31920;52920;85920;181920},0),2)</f>
        <v>1572</v>
      </c>
      <c r="AF7" s="97">
        <f>IFERROR(VLOOKUP(E:E,'（居民）工资表-11月'!E:AF,28,0)+VLOOKUP(E:E,'（居民）工资表-11月'!E:AG,29,0),0)</f>
        <v>1172.77</v>
      </c>
      <c r="AG7" s="97">
        <f t="shared" si="3"/>
        <v>399.23</v>
      </c>
      <c r="AH7" s="107">
        <f t="shared" si="4"/>
        <v>8593.06</v>
      </c>
      <c r="AI7" s="108"/>
      <c r="AJ7" s="107">
        <f t="shared" si="5"/>
        <v>8593.06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129000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9526.08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59473.92</v>
      </c>
      <c r="AE8" s="96">
        <f>ROUND(MAX((AD8)*{0.03;0.1;0.2;0.25;0.3;0.35;0.45}-{0;2520;16920;31920;52920;85920;181920},0),2)</f>
        <v>3427.39</v>
      </c>
      <c r="AF8" s="97">
        <f>IFERROR(VLOOKUP(E:E,'（居民）工资表-11月'!E:AF,28,0)+VLOOKUP(E:E,'（居民）工资表-11月'!E:AG,29,0),0)</f>
        <v>2954.59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6316.26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11683.74</v>
      </c>
      <c r="AE9" s="96">
        <f>ROUND(MAX((AD9)*{0.03;0.1;0.2;0.25;0.3;0.35;0.45}-{0;2520;16920;31920;52920;85920;181920},0),2)</f>
        <v>350.51</v>
      </c>
      <c r="AF9" s="97">
        <f>IFERROR(VLOOKUP(E:E,'（居民）工资表-11月'!E:AF,28,0)+VLOOKUP(E:E,'（居民）工资表-11月'!E:AG,29,0),0)</f>
        <v>320.61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208</v>
      </c>
      <c r="D10" s="37" t="s">
        <v>143</v>
      </c>
      <c r="E10" s="326" t="s">
        <v>209</v>
      </c>
      <c r="F10" s="38" t="s">
        <v>144</v>
      </c>
      <c r="G10" s="39" t="s">
        <v>210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5500</v>
      </c>
      <c r="T10" s="91">
        <f>5000+IFERROR(VLOOKUP($E:$E,'（居民）工资表-11月'!$E:$T,16,0),0)</f>
        <v>5000</v>
      </c>
      <c r="U10" s="91">
        <f>Q10+IFERROR(VLOOKUP($E:$E,'（居民）工资表-11月'!$E:$U,17,0),0)</f>
        <v>542.39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-42.39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53628.56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7849.78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-14221.22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105000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6970.08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38029.92</v>
      </c>
      <c r="AE12" s="96">
        <f>ROUND(MAX((AD12)*{0.03;0.1;0.2;0.25;0.3;0.35;0.45}-{0;2520;16920;31920;52920;85920;181920},0),2)</f>
        <v>1282.99</v>
      </c>
      <c r="AF12" s="97">
        <f>IFERROR(VLOOKUP(E:E,'（居民）工资表-11月'!E:AF,28,0)+VLOOKUP(E:E,'（居民）工资表-11月'!E:AG,29,0),0)</f>
        <v>1052.67</v>
      </c>
      <c r="AG12" s="97">
        <f t="shared" si="3"/>
        <v>230.32</v>
      </c>
      <c r="AH12" s="107">
        <f t="shared" si="4"/>
        <v>7710.68</v>
      </c>
      <c r="AI12" s="108"/>
      <c r="AJ12" s="107">
        <f t="shared" si="5"/>
        <v>7710.68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170</v>
      </c>
      <c r="AV12" s="12" t="s">
        <v>171</v>
      </c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87000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9526.08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17473.92</v>
      </c>
      <c r="AE13" s="96">
        <f>ROUND(MAX((AD13)*{0.03;0.1;0.2;0.25;0.3;0.35;0.45}-{0;2520;16920;31920;52920;85920;181920},0),2)</f>
        <v>524.22</v>
      </c>
      <c r="AF13" s="97">
        <f>IFERROR(VLOOKUP(E:E,'（居民）工资表-11月'!E:AF,28,0)+VLOOKUP(E:E,'（居民）工资表-11月'!E:AG,29,0),0)</f>
        <v>487.38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90608.7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9535.78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21072.92</v>
      </c>
      <c r="AE14" s="96">
        <f>ROUND(MAX((AD14)*{0.03;0.1;0.2;0.25;0.3;0.35;0.45}-{0;2520;16920;31920;52920;85920;181920},0),2)</f>
        <v>632.19</v>
      </c>
      <c r="AF14" s="97">
        <f>IFERROR(VLOOKUP(E:E,'（居民）工资表-11月'!E:AF,28,0)+VLOOKUP(E:E,'（居民）工资表-11月'!E:AG,29,0),0)</f>
        <v>595.35</v>
      </c>
      <c r="AG14" s="97">
        <f t="shared" si="3"/>
        <v>36.84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7000</v>
      </c>
      <c r="T15" s="91">
        <f>5000+IFERROR(VLOOKUP($E:$E,'（居民）工资表-11月'!$E:$T,16,0),0)</f>
        <v>5000</v>
      </c>
      <c r="U15" s="91">
        <f>Q15+IFERROR(VLOOKUP($E:$E,'（居民）工资表-11月'!$E:$U,17,0),0)</f>
        <v>559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1441</v>
      </c>
      <c r="AE15" s="96">
        <f>ROUND(MAX((AD15)*{0.03;0.1;0.2;0.25;0.3;0.35;0.45}-{0;2520;16920;31920;52920;85920;181920},0),2)</f>
        <v>43.23</v>
      </c>
      <c r="AF15" s="97">
        <f>IFERROR(VLOOKUP(E:E,'（居民）工资表-11月'!E:AF,28,0)+VLOOKUP(E:E,'（居民）工资表-11月'!E:AG,29,0),0)</f>
        <v>0</v>
      </c>
      <c r="AG15" s="97">
        <f t="shared" si="3"/>
        <v>43.23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6380</v>
      </c>
      <c r="T16" s="91">
        <f>5000+IFERROR(VLOOKUP($E:$E,'（居民）工资表-11月'!$E:$T,16,0),0)</f>
        <v>5000</v>
      </c>
      <c r="U16" s="91">
        <f>Q16+IFERROR(VLOOKUP($E:$E,'（居民）工资表-11月'!$E:$U,17,0),0)</f>
        <v>527.71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852.29</v>
      </c>
      <c r="AE16" s="96">
        <f>ROUND(MAX((AD16)*{0.03;0.1;0.2;0.25;0.3;0.35;0.45}-{0;2520;16920;31920;52920;85920;181920},0),2)</f>
        <v>25.57</v>
      </c>
      <c r="AF16" s="97">
        <f>IFERROR(VLOOKUP(E:E,'（居民）工资表-11月'!E:AF,28,0)+VLOOKUP(E:E,'（居民）工资表-11月'!E:AG,29,0),0)</f>
        <v>0</v>
      </c>
      <c r="AG16" s="97">
        <f t="shared" si="3"/>
        <v>25.57</v>
      </c>
      <c r="AH16" s="107">
        <f t="shared" si="4"/>
        <v>5826.72</v>
      </c>
      <c r="AI16" s="108"/>
      <c r="AJ16" s="107">
        <f t="shared" si="5"/>
        <v>5826.72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211</v>
      </c>
      <c r="D17" s="37" t="s">
        <v>143</v>
      </c>
      <c r="E17" s="326" t="s">
        <v>212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6560</v>
      </c>
      <c r="T17" s="91">
        <f>5000+IFERROR(VLOOKUP($E:$E,'（居民）工资表-11月'!$E:$T,16,0),0)</f>
        <v>5000</v>
      </c>
      <c r="U17" s="91">
        <f>Q17+IFERROR(VLOOKUP($E:$E,'（居民）工资表-11月'!$E:$U,17,0),0)</f>
        <v>578.31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981.69</v>
      </c>
      <c r="AE17" s="96">
        <f>ROUND(MAX((AD17)*{0.03;0.1;0.2;0.25;0.3;0.35;0.45}-{0;2520;16920;31920;52920;85920;181920},0),2)</f>
        <v>29.45</v>
      </c>
      <c r="AF17" s="97">
        <f>IFERROR(VLOOKUP(E:E,'（居民）工资表-11月'!E:AF,28,0)+VLOOKUP(E:E,'（居民）工资表-11月'!E:AG,29,0),0)</f>
        <v>0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72000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6562.08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5437.92</v>
      </c>
      <c r="AE18" s="96">
        <f>ROUND(MAX((AD18)*{0.03;0.1;0.2;0.25;0.3;0.35;0.45}-{0;2520;16920;31920;52920;85920;181920},0),2)</f>
        <v>163.14</v>
      </c>
      <c r="AF18" s="97">
        <f>IFERROR(VLOOKUP(E:E,'（居民）工资表-11月'!E:AF,28,0)+VLOOKUP(E:E,'（居民）工资表-11月'!E:AG,29,0),0)</f>
        <v>148.89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213</v>
      </c>
      <c r="D19" s="37" t="s">
        <v>143</v>
      </c>
      <c r="E19" s="326" t="s">
        <v>214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7250</v>
      </c>
      <c r="T19" s="91">
        <f>5000+IFERROR(VLOOKUP($E:$E,'（居民）工资表-11月'!$E:$T,16,0),0)</f>
        <v>5000</v>
      </c>
      <c r="U19" s="91">
        <f>Q19+IFERROR(VLOOKUP($E:$E,'（居民）工资表-11月'!$E:$U,17,0),0)</f>
        <v>0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2250</v>
      </c>
      <c r="AE19" s="96">
        <f>ROUND(MAX((AD19)*{0.03;0.1;0.2;0.25;0.3;0.35;0.45}-{0;2520;16920;31920;52920;85920;181920},0),2)</f>
        <v>67.5</v>
      </c>
      <c r="AF19" s="97">
        <f>IFERROR(VLOOKUP(E:E,'（居民）工资表-11月'!E:AF,28,0)+VLOOKUP(E:E,'（居民）工资表-11月'!E:AG,29,0),0)</f>
        <v>0</v>
      </c>
      <c r="AG19" s="97">
        <f t="shared" si="3"/>
        <v>67.5</v>
      </c>
      <c r="AH19" s="107">
        <f t="shared" si="4"/>
        <v>7182.5</v>
      </c>
      <c r="AI19" s="108"/>
      <c r="AJ19" s="107">
        <f t="shared" si="5"/>
        <v>7182.5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1282967.26</v>
      </c>
      <c r="T21" s="74">
        <f t="shared" si="8"/>
        <v>685000</v>
      </c>
      <c r="U21" s="74">
        <f t="shared" si="8"/>
        <v>91799.22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477368.04</v>
      </c>
      <c r="AE21" s="74">
        <f t="shared" si="8"/>
        <v>49136.69</v>
      </c>
      <c r="AF21" s="74">
        <f t="shared" si="8"/>
        <v>43715.53</v>
      </c>
      <c r="AG21" s="74">
        <f t="shared" si="8"/>
        <v>6209.55</v>
      </c>
      <c r="AH21" s="74">
        <f t="shared" si="8"/>
        <v>119815.89</v>
      </c>
      <c r="AI21" s="126">
        <f t="shared" si="8"/>
        <v>0</v>
      </c>
      <c r="AJ21" s="74">
        <f t="shared" si="8"/>
        <v>119815.89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119815.89</v>
      </c>
      <c r="C26" s="48">
        <f>AG21</f>
        <v>6209.55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xmlns:etc="http://www.wps.cn/officeDocument/2017/etCustomData" ref="A3:AT21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215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216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217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218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219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220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221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222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223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220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220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223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219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224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219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215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xmlns:etc="http://www.wps.cn/officeDocument/2017/etCustomData" ref="A3:AT19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225</v>
      </c>
      <c r="C1" s="1"/>
      <c r="D1" s="1"/>
      <c r="E1" s="1"/>
    </row>
    <row r="2" ht="21" spans="2:2">
      <c r="B2" s="2"/>
    </row>
    <row r="3" ht="27.75" customHeight="1" spans="2:5">
      <c r="B3" s="3" t="s">
        <v>226</v>
      </c>
      <c r="C3" s="4" t="s">
        <v>227</v>
      </c>
      <c r="D3" s="4" t="s">
        <v>228</v>
      </c>
      <c r="E3" s="4" t="s">
        <v>229</v>
      </c>
    </row>
    <row r="4" ht="29.25" customHeight="1" spans="2:5">
      <c r="B4" s="5">
        <v>1</v>
      </c>
      <c r="C4" s="6" t="s">
        <v>230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231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232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233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234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235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236</v>
      </c>
      <c r="D10" s="7">
        <v>0.45</v>
      </c>
      <c r="E10" s="8">
        <v>181920</v>
      </c>
    </row>
    <row r="13" ht="57" customHeight="1" spans="2:5">
      <c r="B13" s="1" t="s">
        <v>237</v>
      </c>
      <c r="C13" s="1"/>
      <c r="D13" s="1"/>
      <c r="E13" s="1"/>
    </row>
    <row r="14" ht="21" spans="2:2">
      <c r="B14" s="2"/>
    </row>
    <row r="15" ht="27.75" customHeight="1" spans="2:5">
      <c r="B15" s="3" t="s">
        <v>226</v>
      </c>
      <c r="C15" s="4" t="s">
        <v>238</v>
      </c>
      <c r="D15" s="4" t="s">
        <v>228</v>
      </c>
      <c r="E15" s="4" t="s">
        <v>229</v>
      </c>
    </row>
    <row r="16" ht="29.25" customHeight="1" spans="2:5">
      <c r="B16" s="5">
        <v>1</v>
      </c>
      <c r="C16" s="6" t="s">
        <v>239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240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241</v>
      </c>
      <c r="D18" s="7">
        <v>0.4</v>
      </c>
      <c r="E18" s="8">
        <v>7000</v>
      </c>
    </row>
    <row r="21" ht="47.25" customHeight="1" spans="2:5">
      <c r="B21" s="1" t="s">
        <v>242</v>
      </c>
      <c r="C21" s="1"/>
      <c r="D21" s="1"/>
      <c r="E21" s="1"/>
    </row>
    <row r="22" ht="21" spans="2:2">
      <c r="B22" s="2"/>
    </row>
    <row r="23" ht="27.75" customHeight="1" spans="2:5">
      <c r="B23" s="3" t="s">
        <v>226</v>
      </c>
      <c r="C23" s="4" t="s">
        <v>243</v>
      </c>
      <c r="D23" s="4" t="s">
        <v>228</v>
      </c>
      <c r="E23" s="4" t="s">
        <v>229</v>
      </c>
    </row>
    <row r="24" ht="29.25" customHeight="1" spans="2:5">
      <c r="B24" s="5">
        <v>1</v>
      </c>
      <c r="C24" s="6" t="s">
        <v>244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245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246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247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248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249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250</v>
      </c>
      <c r="D30" s="7">
        <v>0.45</v>
      </c>
      <c r="E30" s="8">
        <v>15160</v>
      </c>
    </row>
    <row r="35" ht="57" customHeight="1" spans="2:5">
      <c r="B35" s="9" t="s">
        <v>251</v>
      </c>
      <c r="C35" s="9"/>
      <c r="D35" s="9"/>
      <c r="E35" s="9"/>
    </row>
    <row r="36" ht="14.25"/>
    <row r="37" ht="21.75" customHeight="1" spans="2:5">
      <c r="B37" s="3" t="s">
        <v>226</v>
      </c>
      <c r="C37" s="4" t="s">
        <v>252</v>
      </c>
      <c r="D37" s="4" t="s">
        <v>253</v>
      </c>
      <c r="E37" s="4" t="s">
        <v>229</v>
      </c>
    </row>
    <row r="38" ht="21.75" customHeight="1" spans="2:5">
      <c r="B38" s="5">
        <v>1</v>
      </c>
      <c r="C38" s="6" t="s">
        <v>244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245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246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247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248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249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250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H18" sqref="H17:H18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114129.2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114129.2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114129.2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'（居民）工资表-11月'!E23</f>
        <v>114129.2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114129.2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114129.2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114129.2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4216.9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-16.9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40700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4635.68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-5935.68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6639.85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158280.15</v>
      </c>
      <c r="AE6" s="96">
        <f>ROUND(MAX((AD6)*{0.03;0.1;0.2;0.25;0.3;0.35;0.45}-{0;2520;16920;31920;52920;85920;181920},0),2)</f>
        <v>14736.03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61000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3693.97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17306.03</v>
      </c>
      <c r="AE7" s="96">
        <f>ROUND(MAX((AD7)*{0.03;0.1;0.2;0.25;0.3;0.35;0.45}-{0;2520;16920;31920;52920;85920;181920},0),2)</f>
        <v>519.18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5404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35096</v>
      </c>
      <c r="AE8" s="96">
        <f>ROUND(MAX((AD8)*{0.03;0.1;0.2;0.25;0.3;0.35;0.45}-{0;2520;16920;31920;52920;85920;181920},0),2)</f>
        <v>1052.88</v>
      </c>
      <c r="AF8" s="97">
        <f>IFERROR(VLOOKUP(E:E,'（居民）工资表-6月'!E:AF,28,0)+VLOOKUP(E:E,'（居民）工资表-6月'!E:AG,29,0),0)</f>
        <v>851.04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3711.09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6788.91</v>
      </c>
      <c r="AE9" s="96">
        <f>ROUND(MAX((AD9)*{0.03;0.1;0.2;0.25;0.3;0.35;0.45}-{0;2520;16920;31920;52920;85920;181920},0),2)</f>
        <v>203.67</v>
      </c>
      <c r="AF9" s="97">
        <f>IFERROR(VLOOKUP(E:E,'（居民）工资表-6月'!E:AF,28,0)+VLOOKUP(E:E,'（居民）工资表-6月'!E:AG,29,0),0)</f>
        <v>174.47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31680.88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4409.02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-7728.14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60500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21587</v>
      </c>
      <c r="AE11" s="96">
        <f>ROUND(MAX((AD11)*{0.03;0.1;0.2;0.25;0.3;0.35;0.45}-{0;2520;16920;31920;52920;85920;181920},0),2)</f>
        <v>647.61</v>
      </c>
      <c r="AF11" s="97">
        <f>IFERROR(VLOOKUP(E:E,'（居民）工资表-6月'!E:AF,28,0)+VLOOKUP(E:E,'（居民）工资表-6月'!E:AG,29,0),0)</f>
        <v>529.38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50000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5404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9596</v>
      </c>
      <c r="AE12" s="96">
        <f>ROUND(MAX((AD12)*{0.03;0.1;0.2;0.25;0.3;0.35;0.45}-{0;2520;16920;31920;52920;85920;181920},0),2)</f>
        <v>287.88</v>
      </c>
      <c r="AF12" s="97">
        <f>IFERROR(VLOOKUP(E:E,'（居民）工资表-6月'!E:AF,28,0)+VLOOKUP(E:E,'（居民）工资表-6月'!E:AG,29,0),0)</f>
        <v>221.04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51608.7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5404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11204.7</v>
      </c>
      <c r="AE13" s="96">
        <f>ROUND(MAX((AD13)*{0.03;0.1;0.2;0.25;0.3;0.35;0.45}-{0;2520;16920;31920;52920;85920;181920},0),2)</f>
        <v>336.14</v>
      </c>
      <c r="AF13" s="97">
        <f>IFERROR(VLOOKUP(E:E,'（居民）工资表-6月'!E:AF,28,0)+VLOOKUP(E:E,'（居民）工资表-6月'!E:AG,29,0),0)</f>
        <v>239.3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49600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10687</v>
      </c>
      <c r="AE14" s="96">
        <f>ROUND(MAX((AD14)*{0.03;0.1;0.2;0.25;0.3;0.35;0.45}-{0;2520;16920;31920;52920;85920;181920},0),2)</f>
        <v>320.61</v>
      </c>
      <c r="AF14" s="97">
        <f>IFERROR(VLOOKUP(E:E,'（居民）工资表-6月'!E:AF,28,0)+VLOOKUP(E:E,'（居民）工资表-6月'!E:AG,29,0),0)</f>
        <v>259.38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43747.38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3693.97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5053.41</v>
      </c>
      <c r="AE15" s="96">
        <f>ROUND(MAX((AD15)*{0.03;0.1;0.2;0.25;0.3;0.35;0.45}-{0;2520;16920;31920;52920;85920;181920},0),2)</f>
        <v>151.6</v>
      </c>
      <c r="AF15" s="97">
        <f>IFERROR(VLOOKUP(E:E,'（居民）工资表-6月'!E:AF,28,0)+VLOOKUP(E:E,'（居民）工资表-6月'!E:AG,29,0),0)</f>
        <v>118.66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3325</v>
      </c>
      <c r="AE16" s="96">
        <f>ROUND(MAX((AD16)*{0.03;0.1;0.2;0.25;0.3;0.35;0.45}-{0;2520;16920;31920;52920;85920;181920},0),2)</f>
        <v>99.75</v>
      </c>
      <c r="AF16" s="97">
        <f>IFERROR(VLOOKUP(E:E,'（居民）工资表-6月'!E:AF,28,0)+VLOOKUP(E:E,'（居民）工资表-6月'!E:AG,29,0),0)</f>
        <v>85.5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57556.93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4221.68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23335.25</v>
      </c>
      <c r="AE17" s="96">
        <f>ROUND(MAX((AD17)*{0.03;0.1;0.2;0.25;0.3;0.35;0.45}-{0;2520;16920;31920;52920;85920;181920},0),2)</f>
        <v>700.06</v>
      </c>
      <c r="AF17" s="97">
        <f>IFERROR(VLOOKUP(E:E,'（居民）工资表-6月'!E:AF,28,0)+VLOOKUP(E:E,'（居民）工资表-6月'!E:AG,29,0),0)</f>
        <v>565.89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896564.19</v>
      </c>
      <c r="T20" s="74">
        <f t="shared" si="7"/>
        <v>505000</v>
      </c>
      <c r="U20" s="74">
        <f t="shared" si="7"/>
        <v>65698.01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286566.18</v>
      </c>
      <c r="AE20" s="74">
        <f t="shared" si="7"/>
        <v>19055.41</v>
      </c>
      <c r="AF20" s="74">
        <f t="shared" si="7"/>
        <v>16013.36</v>
      </c>
      <c r="AG20" s="74">
        <f t="shared" si="7"/>
        <v>3492</v>
      </c>
      <c r="AH20" s="74">
        <f t="shared" si="7"/>
        <v>129032.26</v>
      </c>
      <c r="AI20" s="74">
        <f t="shared" si="7"/>
        <v>0</v>
      </c>
      <c r="AJ20" s="74">
        <f t="shared" si="7"/>
        <v>129032.26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129032.26</v>
      </c>
      <c r="C25" s="48">
        <f>AG20</f>
        <v>3492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L20" etc:filterBottomFollowUsedRange="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xmlns:etc="http://www.wps.cn/officeDocument/2017/etCustomData" ref="A3:AT20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$A18:$XFD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4857.39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19142.61</v>
      </c>
      <c r="AE4" s="96">
        <f>ROUND(MAX((AD4)*{0.03;0.1;0.2;0.25;0.3;0.35;0.45}-{0;2520;16920;31920;52920;85920;181920},0),2)</f>
        <v>574.28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143.13</v>
      </c>
      <c r="AH4" s="107">
        <f>ROUND(IF((L4-Q4-AG4)&lt;0,0,(L4-Q4-AG4)),2)</f>
        <v>7216.38</v>
      </c>
      <c r="AI4" s="108"/>
      <c r="AJ4" s="107">
        <f>AH4+AI4</f>
        <v>7216.38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46800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5297.92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1502.08</v>
      </c>
      <c r="AE5" s="96">
        <f>ROUND(MAX((AD5)*{0.03;0.1;0.2;0.25;0.3;0.35;0.45}-{0;2520;16920;31920;52920;85920;181920},0),2)</f>
        <v>45.06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26.26</v>
      </c>
      <c r="AH5" s="107">
        <f>ROUND(IF((L5-Q5-AG5)&lt;0,0,(L5-Q5-AG5)),2)</f>
        <v>5411.5</v>
      </c>
      <c r="AI5" s="108"/>
      <c r="AJ5" s="107">
        <f>AH5+AI5</f>
        <v>5411.5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240480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7603.94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192876.06</v>
      </c>
      <c r="AE6" s="96">
        <f>ROUND(MAX((AD6)*{0.03;0.1;0.2;0.25;0.3;0.35;0.45}-{0;2520;16920;31920;52920;85920;181920},0),2)</f>
        <v>21655.21</v>
      </c>
      <c r="AF6" s="97">
        <f>IFERROR(VLOOKUP(E:E,'（居民）工资表-7月'!E:AF,28,0)+VLOOKUP(E:E,'（居民）工资表-7月'!E:AG,29,0),0)</f>
        <v>14736.03</v>
      </c>
      <c r="AG6" s="97">
        <f t="shared" ref="AG6:AG19" si="3">IF((AE6-AF6)&lt;0,0,AE6-AF6)</f>
        <v>6919.18</v>
      </c>
      <c r="AH6" s="107">
        <f t="shared" ref="AH6:AH19" si="4">ROUND(IF((L6-Q6-AG6)&lt;0,0,(L6-Q6-AG6)),2)</f>
        <v>22176.73</v>
      </c>
      <c r="AI6" s="108"/>
      <c r="AJ6" s="107">
        <f t="shared" ref="AJ6:AJ19" si="5">AH6+AI6</f>
        <v>22176.73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71000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4221.68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26778.32</v>
      </c>
      <c r="AE7" s="96">
        <f>ROUND(MAX((AD7)*{0.03;0.1;0.2;0.25;0.3;0.35;0.45}-{0;2520;16920;31920;52920;85920;181920},0),2)</f>
        <v>803.35</v>
      </c>
      <c r="AF7" s="97">
        <f>IFERROR(VLOOKUP(E:E,'（居民）工资表-7月'!E:AF,28,0)+VLOOKUP(E:E,'（居民）工资表-7月'!E:AG,29,0),0)</f>
        <v>519.18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87000</v>
      </c>
      <c r="T8" s="91">
        <f>5000+IFERROR(VLOOKUP($E:$E,'（居民）工资表-7月'!$E:$T,16,0),0)</f>
        <v>40000</v>
      </c>
      <c r="U8" s="91">
        <f>Q8+IFERROR(VLOOKUP($E:$E,'（居民）工资表-7月'!$E:$U,17,0),0)</f>
        <v>6176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40824</v>
      </c>
      <c r="AE8" s="96">
        <f>ROUND(MAX((AD8)*{0.03;0.1;0.2;0.25;0.3;0.35;0.45}-{0;2520;16920;31920;52920;85920;181920},0),2)</f>
        <v>1562.4</v>
      </c>
      <c r="AF8" s="97">
        <f>IFERROR(VLOOKUP(E:E,'（居民）工资表-7月'!E:AF,28,0)+VLOOKUP(E:E,'（居民）工资表-7月'!E:AG,29,0),0)</f>
        <v>1052.88</v>
      </c>
      <c r="AG8" s="97">
        <f t="shared" si="3"/>
        <v>509.52</v>
      </c>
      <c r="AH8" s="107">
        <f t="shared" si="4"/>
        <v>10218.48</v>
      </c>
      <c r="AI8" s="108"/>
      <c r="AJ8" s="107">
        <f t="shared" si="5"/>
        <v>10218.48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4237.89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7762.11</v>
      </c>
      <c r="AE9" s="96">
        <f>ROUND(MAX((AD9)*{0.03;0.1;0.2;0.25;0.3;0.35;0.45}-{0;2520;16920;31920;52920;85920;181920},0),2)</f>
        <v>232.86</v>
      </c>
      <c r="AF9" s="97">
        <f>IFERROR(VLOOKUP(E:E,'（居民）工资表-7月'!E:AF,28,0)+VLOOKUP(E:E,'（居民）工资表-7月'!E:AG,29,0),0)</f>
        <v>203.67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36121.85</v>
      </c>
      <c r="T10" s="91">
        <f>5000+IFERROR(VLOOKUP($E:$E,'（居民）工资表-7月'!$E:$T,16,0),0)</f>
        <v>40000</v>
      </c>
      <c r="U10" s="91">
        <f>Q10+IFERROR(VLOOKUP($E:$E,'（居民）工资表-7月'!$E:$U,17,0),0)</f>
        <v>5080.39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-8958.54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69500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4472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25028</v>
      </c>
      <c r="AE11" s="96">
        <f>ROUND(MAX((AD11)*{0.03;0.1;0.2;0.25;0.3;0.35;0.45}-{0;2520;16920;31920;52920;85920;181920},0),2)</f>
        <v>750.84</v>
      </c>
      <c r="AF11" s="97">
        <f>IFERROR(VLOOKUP(E:E,'（居民）工资表-7月'!E:AF,28,0)+VLOOKUP(E:E,'（居民）工资表-7月'!E:AG,29,0),0)</f>
        <v>647.61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57500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6176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11324</v>
      </c>
      <c r="AE12" s="96">
        <f>ROUND(MAX((AD12)*{0.03;0.1;0.2;0.25;0.3;0.35;0.45}-{0;2520;16920;31920;52920;85920;181920},0),2)</f>
        <v>339.72</v>
      </c>
      <c r="AF12" s="97">
        <f>IFERROR(VLOOKUP(E:E,'（居民）工资表-7月'!E:AF,28,0)+VLOOKUP(E:E,'（居民）工资表-7月'!E:AG,29,0),0)</f>
        <v>287.88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59608.7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6176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13432.7</v>
      </c>
      <c r="AE13" s="96">
        <f>ROUND(MAX((AD13)*{0.03;0.1;0.2;0.25;0.3;0.35;0.45}-{0;2520;16920;31920;52920;85920;181920},0),2)</f>
        <v>402.98</v>
      </c>
      <c r="AF13" s="97">
        <f>IFERROR(VLOOKUP(E:E,'（居民）工资表-7月'!E:AF,28,0)+VLOOKUP(E:E,'（居民）工资表-7月'!E:AG,29,0),0)</f>
        <v>336.14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55572.73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11659.73</v>
      </c>
      <c r="AE14" s="96">
        <f>ROUND(MAX((AD14)*{0.03;0.1;0.2;0.25;0.3;0.35;0.45}-{0;2520;16920;31920;52920;85920;181920},0),2)</f>
        <v>349.79</v>
      </c>
      <c r="AF14" s="97">
        <f>IFERROR(VLOOKUP(E:E,'（居民）工资表-7月'!E:AF,28,0)+VLOOKUP(E:E,'（居民）工资表-7月'!E:AG,29,0),0)</f>
        <v>320.61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48042.83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4876.57</v>
      </c>
      <c r="AE15" s="96">
        <f>ROUND(MAX((AD15)*{0.03;0.1;0.2;0.25;0.3;0.35;0.45}-{0;2520;16920;31920;52920;85920;181920},0),2)</f>
        <v>146.3</v>
      </c>
      <c r="AF15" s="97">
        <f>IFERROR(VLOOKUP(E:E,'（居民）工资表-7月'!E:AF,28,0)+VLOOKUP(E:E,'（居民）工资表-7月'!E:AG,29,0),0)</f>
        <v>151.6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48000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3800</v>
      </c>
      <c r="AE16" s="96">
        <f>ROUND(MAX((AD16)*{0.03;0.1;0.2;0.25;0.3;0.35;0.45}-{0;2520;16920;31920;52920;85920;181920},0),2)</f>
        <v>114</v>
      </c>
      <c r="AF16" s="97">
        <f>IFERROR(VLOOKUP(E:E,'（居民）工资表-7月'!E:AF,28,0)+VLOOKUP(E:E,'（居民）工资表-7月'!E:AG,29,0),0)</f>
        <v>99.75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67556.93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4749.39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27807.54</v>
      </c>
      <c r="AE17" s="96">
        <f>ROUND(MAX((AD17)*{0.03;0.1;0.2;0.25;0.3;0.35;0.45}-{0;2520;16920;31920;52920;85920;181920},0),2)</f>
        <v>834.23</v>
      </c>
      <c r="AF17" s="97">
        <f>IFERROR(VLOOKUP(E:E,'（居民）工资表-7月'!E:AF,28,0)+VLOOKUP(E:E,'（居民）工资表-7月'!E:AG,29,0),0)</f>
        <v>700.06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1031533.34</v>
      </c>
      <c r="T20" s="74">
        <f t="shared" si="10"/>
        <v>580000</v>
      </c>
      <c r="U20" s="74">
        <f t="shared" si="10"/>
        <v>73643.28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377890.06</v>
      </c>
      <c r="AE20" s="74">
        <f t="shared" si="10"/>
        <v>27812.07</v>
      </c>
      <c r="AF20" s="74">
        <f t="shared" si="10"/>
        <v>19505.36</v>
      </c>
      <c r="AG20" s="74">
        <f t="shared" si="10"/>
        <v>8312.01</v>
      </c>
      <c r="AH20" s="74">
        <f t="shared" si="10"/>
        <v>118711.87</v>
      </c>
      <c r="AI20" s="74">
        <f t="shared" si="10"/>
        <v>0</v>
      </c>
      <c r="AJ20" s="74">
        <f t="shared" si="10"/>
        <v>118711.87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118711.87</v>
      </c>
      <c r="C25" s="48">
        <f>AG20</f>
        <v>8312.01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>ROUND(SUM(M4:P4),2)</f>
        <v>621.03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5478.42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21521.58</v>
      </c>
      <c r="AE4" s="96">
        <f>ROUND(MAX((AD4)*{0.03;0.1;0.2;0.25;0.3;0.35;0.45}-{0;2520;16920;31920;52920;85920;181920},0),2)</f>
        <v>645.65</v>
      </c>
      <c r="AF4" s="97">
        <f>IFERROR(VLOOKUP(E:E,'（居民）工资表-8月'!E:AF,28,0)+VLOOKUP(E:E,'（居民）工资表-8月'!E:AG,29,0),0)</f>
        <v>574.28</v>
      </c>
      <c r="AG4" s="97">
        <f>AE4-AF4</f>
        <v>71.37</v>
      </c>
      <c r="AH4" s="107">
        <f>ROUND(IF((L4-Q4-AG4)&lt;0,0,(L4-Q4-AG4)),2)</f>
        <v>7307.6</v>
      </c>
      <c r="AI4" s="108"/>
      <c r="AJ4" s="107">
        <f>AH4+AI4</f>
        <v>7307.6</v>
      </c>
      <c r="AK4" s="109"/>
      <c r="AL4" s="107">
        <f>AJ4+AG4+AK4</f>
        <v>7378.97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ref="Q5:Q19" si="0">ROUND(SUM(M5:P5),2)</f>
        <v>662.24</v>
      </c>
      <c r="R5" s="70">
        <v>0</v>
      </c>
      <c r="S5" s="90">
        <f>L5+IFERROR(VLOOKUP($E:$E,'（居民）工资表-8月'!$E:$S,15,0),0)</f>
        <v>52900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5960.16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1939.84</v>
      </c>
      <c r="AE5" s="96">
        <f>ROUND(MAX((AD5)*{0.03;0.1;0.2;0.25;0.3;0.35;0.45}-{0;2520;16920;31920;52920;85920;181920},0),2)</f>
        <v>58.2</v>
      </c>
      <c r="AF5" s="97">
        <f>IFERROR(VLOOKUP(E:E,'（居民）工资表-8月'!E:AF,28,0)+VLOOKUP(E:E,'（居民）工资表-8月'!E:AG,29,0),0)</f>
        <v>45.06</v>
      </c>
      <c r="AG5" s="97">
        <f t="shared" ref="AG5:AG19" si="3">AE5-AF5</f>
        <v>13.14</v>
      </c>
      <c r="AH5" s="107">
        <f t="shared" ref="AH5:AH19" si="4">ROUND(IF((L5-Q5-AG5)&lt;0,0,(L5-Q5-AG5)),2)</f>
        <v>5424.62</v>
      </c>
      <c r="AI5" s="108"/>
      <c r="AJ5" s="107">
        <f t="shared" ref="AJ5:AJ19" si="5">AH5+AI5</f>
        <v>5424.62</v>
      </c>
      <c r="AK5" s="109"/>
      <c r="AL5" s="107">
        <f t="shared" ref="AL5:AL19" si="6">AJ5+AG5+AK5</f>
        <v>5437.76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202</v>
      </c>
      <c r="Q6" s="89">
        <f t="shared" si="0"/>
        <v>977.32</v>
      </c>
      <c r="R6" s="70">
        <v>0</v>
      </c>
      <c r="S6" s="90">
        <f>L6+IFERROR(VLOOKUP($E:$E,'（居民）工资表-8月'!$E:$S,15,0),0)</f>
        <v>270540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8581.26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216958.74</v>
      </c>
      <c r="AE6" s="96">
        <f>ROUND(MAX((AD6)*{0.03;0.1;0.2;0.25;0.3;0.35;0.45}-{0;2520;16920;31920;52920;85920;181920},0),2)</f>
        <v>26471.75</v>
      </c>
      <c r="AF6" s="97">
        <f>IFERROR(VLOOKUP(E:E,'（居民）工资表-8月'!E:AF,28,0)+VLOOKUP(E:E,'（居民）工资表-8月'!E:AG,29,0),0)</f>
        <v>21655.21</v>
      </c>
      <c r="AG6" s="97">
        <f t="shared" si="3"/>
        <v>4816.54</v>
      </c>
      <c r="AH6" s="107">
        <f t="shared" si="4"/>
        <v>24266.14</v>
      </c>
      <c r="AI6" s="108"/>
      <c r="AJ6" s="107">
        <f t="shared" si="5"/>
        <v>24266.14</v>
      </c>
      <c r="AK6" s="109"/>
      <c r="AL6" s="107">
        <f t="shared" si="6"/>
        <v>29082.68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L7+IFERROR(VLOOKUP($E:$E,'（居民）工资表-8月'!$E:$S,15,0),0)</f>
        <v>80000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4749.39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30250.61</v>
      </c>
      <c r="AE7" s="96">
        <f>ROUND(MAX((AD7)*{0.03;0.1;0.2;0.25;0.3;0.35;0.45}-{0;2520;16920;31920;52920;85920;181920},0),2)</f>
        <v>907.52</v>
      </c>
      <c r="AF7" s="97">
        <f>IFERROR(VLOOKUP(E:E,'（居民）工资表-8月'!E:AF,28,0)+VLOOKUP(E:E,'（居民）工资表-8月'!E:AG,29,0),0)</f>
        <v>803.35</v>
      </c>
      <c r="AG7" s="97">
        <f t="shared" si="3"/>
        <v>104.17</v>
      </c>
      <c r="AH7" s="107">
        <f t="shared" si="4"/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L8+IFERROR(VLOOKUP($E:$E,'（居民）工资表-8月'!$E:$S,15,0),0)</f>
        <v>97500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6948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45552</v>
      </c>
      <c r="AE8" s="96">
        <f>ROUND(MAX((AD8)*{0.03;0.1;0.2;0.25;0.3;0.35;0.45}-{0;2520;16920;31920;52920;85920;181920},0),2)</f>
        <v>2035.2</v>
      </c>
      <c r="AF8" s="97">
        <f>IFERROR(VLOOKUP(E:E,'（居民）工资表-8月'!E:AF,28,0)+VLOOKUP(E:E,'（居民）工资表-8月'!E:AG,29,0),0)</f>
        <v>1562.4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4764.69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8735.31</v>
      </c>
      <c r="AE9" s="96">
        <f>ROUND(MAX((AD9)*{0.03;0.1;0.2;0.25;0.3;0.35;0.45}-{0;2520;16920;31920;52920;85920;181920},0),2)</f>
        <v>262.06</v>
      </c>
      <c r="AF9" s="97">
        <f>IFERROR(VLOOKUP(E:E,'（居民）工资表-8月'!E:AF,28,0)+VLOOKUP(E:E,'（居民）工资表-8月'!E:AG,29,0),0)</f>
        <v>232.86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L10+IFERROR(VLOOKUP($E:$E,'（居民）工资表-8月'!$E:$S,15,0),0)</f>
        <v>40569.82</v>
      </c>
      <c r="T10" s="91">
        <f>5000+IFERROR(VLOOKUP($E:$E,'（居民）工资表-8月'!$E:$T,16,0),0)</f>
        <v>45000</v>
      </c>
      <c r="U10" s="91">
        <f>Q10+IFERROR(VLOOKUP($E:$E,'（居民）工资表-8月'!$E:$U,17,0),0)</f>
        <v>5744.76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-10174.94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L11+IFERROR(VLOOKUP($E:$E,'（居民）工资表-8月'!$E:$S,15,0),0)</f>
        <v>78500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5031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28469</v>
      </c>
      <c r="AE11" s="96">
        <f>ROUND(MAX((AD11)*{0.03;0.1;0.2;0.25;0.3;0.35;0.45}-{0;2520;16920;31920;52920;85920;181920},0),2)</f>
        <v>854.07</v>
      </c>
      <c r="AF11" s="97">
        <f>IFERROR(VLOOKUP(E:E,'（居民）工资表-8月'!E:AF,28,0)+VLOOKUP(E:E,'（居民）工资表-8月'!E:AG,29,0),0)</f>
        <v>750.84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L12+IFERROR(VLOOKUP($E:$E,'（居民）工资表-8月'!$E:$S,15,0),0)</f>
        <v>65000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6948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13052</v>
      </c>
      <c r="AE12" s="96">
        <f>ROUND(MAX((AD12)*{0.03;0.1;0.2;0.25;0.3;0.35;0.45}-{0;2520;16920;31920;52920;85920;181920},0),2)</f>
        <v>391.56</v>
      </c>
      <c r="AF12" s="97">
        <f>IFERROR(VLOOKUP(E:E,'（居民）工资表-8月'!E:AF,28,0)+VLOOKUP(E:E,'（居民）工资表-8月'!E:AG,29,0),0)</f>
        <v>339.72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L13+IFERROR(VLOOKUP($E:$E,'（居民）工资表-8月'!$E:$S,15,0),0)</f>
        <v>67608.7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6948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15660.7</v>
      </c>
      <c r="AE13" s="96">
        <f>ROUND(MAX((AD13)*{0.03;0.1;0.2;0.25;0.3;0.35;0.45}-{0;2520;16920;31920;52920;85920;181920},0),2)</f>
        <v>469.82</v>
      </c>
      <c r="AF13" s="97">
        <f>IFERROR(VLOOKUP(E:E,'（居民）工资表-8月'!E:AF,28,0)+VLOOKUP(E:E,'（居民）工资表-8月'!E:AG,29,0),0)</f>
        <v>402.98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13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321.52</v>
      </c>
      <c r="N14" s="71">
        <v>80.38</v>
      </c>
      <c r="O14" s="71">
        <v>20.1</v>
      </c>
      <c r="P14" s="71">
        <v>103</v>
      </c>
      <c r="Q14" s="89">
        <f t="shared" si="0"/>
        <v>525</v>
      </c>
      <c r="R14" s="70">
        <v>0</v>
      </c>
      <c r="S14" s="90">
        <f>L14+IFERROR(VLOOKUP($E:$E,'（居民）工资表-8月'!$E:$S,15,0),0)</f>
        <v>54000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4725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4275</v>
      </c>
      <c r="AE14" s="96">
        <f>ROUND(MAX((AD14)*{0.03;0.1;0.2;0.25;0.3;0.35;0.45}-{0;2520;16920;31920;52920;85920;181920},0),2)</f>
        <v>128.25</v>
      </c>
      <c r="AF14" s="97">
        <f>IFERROR(VLOOKUP(E:E,'（居民）工资表-8月'!E:AF,28,0)+VLOOKUP(E:E,'（居民）工资表-8月'!E:AG,29,0),0)</f>
        <v>114</v>
      </c>
      <c r="AG14" s="97">
        <f t="shared" si="3"/>
        <v>14.25</v>
      </c>
      <c r="AH14" s="107">
        <f t="shared" si="4"/>
        <v>5460.75</v>
      </c>
      <c r="AI14" s="108"/>
      <c r="AJ14" s="107">
        <f t="shared" si="5"/>
        <v>5460.75</v>
      </c>
      <c r="AK14" s="109"/>
      <c r="AL14" s="107">
        <f t="shared" si="6"/>
        <v>5475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</row>
    <row r="15" s="12" customFormat="1" ht="18" customHeight="1" spans="1:46">
      <c r="A15" s="36">
        <v>14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L15+IFERROR(VLOOKUP($E:$E,'（居民）工资表-8月'!$E:$S,15,0),0)</f>
        <v>77556.93</v>
      </c>
      <c r="T15" s="91">
        <f>5000+IFERROR(VLOOKUP($E:$E,'（居民）工资表-8月'!$E:$T,16,0),0)</f>
        <v>40000</v>
      </c>
      <c r="U15" s="91">
        <f>Q15+IFERROR(VLOOKUP($E:$E,'（居民）工资表-8月'!$E:$U,17,0),0)</f>
        <v>5277.1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32279.83</v>
      </c>
      <c r="AE15" s="96">
        <f>ROUND(MAX((AD15)*{0.03;0.1;0.2;0.25;0.3;0.35;0.45}-{0;2520;16920;31920;52920;85920;181920},0),2)</f>
        <v>968.39</v>
      </c>
      <c r="AF15" s="97">
        <f>IFERROR(VLOOKUP(E:E,'（居民）工资表-8月'!E:AF,28,0)+VLOOKUP(E:E,'（居民）工资表-8月'!E:AG,29,0),0)</f>
        <v>834.23</v>
      </c>
      <c r="AG15" s="97">
        <f t="shared" si="3"/>
        <v>134.16</v>
      </c>
      <c r="AH15" s="107">
        <f t="shared" si="4"/>
        <v>9338.13</v>
      </c>
      <c r="AI15" s="108"/>
      <c r="AJ15" s="107">
        <f t="shared" si="5"/>
        <v>9338.13</v>
      </c>
      <c r="AK15" s="109"/>
      <c r="AL15" s="107">
        <f t="shared" si="6"/>
        <v>9472.29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</row>
    <row r="16" s="12" customFormat="1" ht="18" customHeight="1" spans="1:46">
      <c r="A16" s="36">
        <v>15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0"/>
        <v>552.57</v>
      </c>
      <c r="R16" s="70">
        <v>0</v>
      </c>
      <c r="S16" s="90">
        <f>L16+IFERROR(VLOOKUP($E:$E,'（居民）工资表-7月'!$E:$S,15,0),0)</f>
        <v>28350.3</v>
      </c>
      <c r="T16" s="91">
        <f>5000+IFERROR(VLOOKUP($E:$E,'（居民）工资表-7月'!$E:$T,16,0),0)</f>
        <v>25000</v>
      </c>
      <c r="U16" s="91">
        <f>Q16+IFERROR(VLOOKUP($E:$E,'（居民）工资表-7月'!$E:$U,17,0),0)</f>
        <v>3315.42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34.88</v>
      </c>
      <c r="AE16" s="96">
        <f>ROUND(MAX((AD16)*{0.03;0.1;0.2;0.25;0.3;0.35;0.45}-{0;2520;16920;31920;52920;85920;181920},0),2)</f>
        <v>1.05</v>
      </c>
      <c r="AF16" s="97">
        <f>IFERROR(VLOOKUP(E:E,'（居民）工资表-7月'!E:AF,28,0)+VLOOKUP(E:E,'（居民）工资表-7月'!E:AG,29,0),0)</f>
        <v>0</v>
      </c>
      <c r="AG16" s="97">
        <f>IF((AE16-AF16)&lt;0,0,AE16-AF16)</f>
        <v>1.05</v>
      </c>
      <c r="AH16" s="107">
        <f t="shared" si="4"/>
        <v>7046.38</v>
      </c>
      <c r="AI16" s="108"/>
      <c r="AJ16" s="107">
        <f t="shared" si="5"/>
        <v>7046.38</v>
      </c>
      <c r="AK16" s="109"/>
      <c r="AL16" s="107">
        <f t="shared" si="6"/>
        <v>7047.43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IF(SUMPRODUCT(N(E$1:E$18=E16))&gt;1,"重复","不")</f>
        <v>不</v>
      </c>
      <c r="AT16" s="116" t="str">
        <f>IF(SUMPRODUCT(N(AO$1:AO$18=AO16))&gt;1,"重复","不")</f>
        <v>重复</v>
      </c>
    </row>
    <row r="17" s="12" customFormat="1" ht="19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9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122707.97</v>
      </c>
      <c r="M18" s="74">
        <f>SUM(M4:M17)</f>
        <v>4671.85</v>
      </c>
      <c r="N18" s="74">
        <f>SUM(N4:N17)</f>
        <v>1295.96</v>
      </c>
      <c r="O18" s="74">
        <f t="shared" ref="O18:AL18" si="10">SUM(O4:O17)</f>
        <v>245.04</v>
      </c>
      <c r="P18" s="74">
        <f t="shared" si="10"/>
        <v>2246.9</v>
      </c>
      <c r="Q18" s="74">
        <f t="shared" si="10"/>
        <v>8459.75</v>
      </c>
      <c r="R18" s="74">
        <f t="shared" si="10"/>
        <v>0</v>
      </c>
      <c r="S18" s="74">
        <f t="shared" si="10"/>
        <v>1043025.75</v>
      </c>
      <c r="T18" s="74">
        <f t="shared" si="10"/>
        <v>560000</v>
      </c>
      <c r="U18" s="74">
        <f t="shared" si="10"/>
        <v>74471.2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408554.55</v>
      </c>
      <c r="AE18" s="74">
        <f t="shared" si="10"/>
        <v>33193.52</v>
      </c>
      <c r="AF18" s="74">
        <f t="shared" si="10"/>
        <v>27314.93</v>
      </c>
      <c r="AG18" s="74">
        <f t="shared" si="10"/>
        <v>5878.59</v>
      </c>
      <c r="AH18" s="74">
        <f t="shared" si="10"/>
        <v>108369.63</v>
      </c>
      <c r="AI18" s="74">
        <f t="shared" si="10"/>
        <v>0</v>
      </c>
      <c r="AJ18" s="74">
        <f t="shared" si="10"/>
        <v>108369.63</v>
      </c>
      <c r="AK18" s="74">
        <f t="shared" si="10"/>
        <v>0</v>
      </c>
      <c r="AL18" s="74">
        <f t="shared" si="10"/>
        <v>114248.22</v>
      </c>
      <c r="AM18" s="110"/>
      <c r="AN18" s="110"/>
      <c r="AO18" s="110"/>
      <c r="AP18" s="110"/>
      <c r="AQ18" s="110"/>
      <c r="AR18" s="45"/>
      <c r="AS18" s="45"/>
      <c r="AT18" s="118"/>
    </row>
    <row r="19" ht="19" customHeight="1"/>
    <row r="20" ht="19" customHeight="1"/>
    <row r="21" ht="19" customHeight="1" spans="30:30">
      <c r="AD21" s="101"/>
    </row>
    <row r="22" ht="19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9" customHeight="1" spans="2:5">
      <c r="B23" s="48">
        <f>AJ18</f>
        <v>108369.63</v>
      </c>
      <c r="C23" s="48">
        <f>AG18</f>
        <v>5878.59</v>
      </c>
      <c r="D23" s="48">
        <f>AK18</f>
        <v>0</v>
      </c>
      <c r="E23" s="48">
        <f>B23+C23+D23</f>
        <v>114248.22</v>
      </c>
    </row>
    <row r="24" ht="19" customHeight="1" spans="2:5">
      <c r="B24" s="49"/>
      <c r="C24" s="49"/>
      <c r="D24" s="49"/>
      <c r="E24" s="49"/>
    </row>
    <row r="25" s="14" customFormat="1" ht="19" customHeigh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ht="19" customHeigh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1" si="0">ROUND(SUM(M4:P4),2)</f>
        <v>621.03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6099.45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-99.45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645.65</v>
      </c>
      <c r="AG4" s="97">
        <f t="shared" ref="AG4:AG11" si="3">IF((AE4-AF4)&lt;0,0,AE4-AF4)</f>
        <v>0</v>
      </c>
      <c r="AH4" s="107">
        <f t="shared" ref="AH4:AH11" si="4">ROUND(IF((L4-Q4-AG4)&lt;0,0,(L4-Q4-AG4)),2)</f>
        <v>7378.97</v>
      </c>
      <c r="AI4" s="108"/>
      <c r="AJ4" s="107">
        <f t="shared" ref="AJ4:AJ11" si="5">AH4+AI4</f>
        <v>7378.97</v>
      </c>
      <c r="AK4" s="109"/>
      <c r="AL4" s="107">
        <f t="shared" ref="AL4:AL11" si="6">AJ4+AG4+AK4</f>
        <v>7378.97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L5+IFERROR(VLOOKUP($E:$E,'（居民）工资表-9月'!$E:$S,15,0),0)</f>
        <v>59000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6622.4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2377.6</v>
      </c>
      <c r="AE5" s="96">
        <f>ROUND(MAX((AD5)*{0.03;0.1;0.2;0.25;0.3;0.35;0.45}-{0;2520;16920;31920;52920;85920;181920},0),2)</f>
        <v>71.33</v>
      </c>
      <c r="AF5" s="97">
        <f>IFERROR(VLOOKUP(E:E,'（居民）工资表-9月'!E:AF,28,0)+VLOOKUP(E:E,'（居民）工资表-9月'!E:AG,29,0),0)</f>
        <v>58.2</v>
      </c>
      <c r="AG5" s="97">
        <f t="shared" si="3"/>
        <v>13.13</v>
      </c>
      <c r="AH5" s="107">
        <f t="shared" si="4"/>
        <v>5424.63</v>
      </c>
      <c r="AI5" s="108"/>
      <c r="AJ5" s="107">
        <f t="shared" si="5"/>
        <v>5424.63</v>
      </c>
      <c r="AK5" s="109"/>
      <c r="AL5" s="107">
        <f t="shared" si="6"/>
        <v>5437.76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L6+IFERROR(VLOOKUP($E:$E,'（居民）工资表-9月'!$E:$S,15,0),0)</f>
        <v>300600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9544.58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241055.42</v>
      </c>
      <c r="AE6" s="96">
        <f>ROUND(MAX((AD6)*{0.03;0.1;0.2;0.25;0.3;0.35;0.45}-{0;2520;16920;31920;52920;85920;181920},0),2)</f>
        <v>31291.08</v>
      </c>
      <c r="AF6" s="97">
        <f>IFERROR(VLOOKUP(E:E,'（居民）工资表-9月'!E:AF,28,0)+VLOOKUP(E:E,'（居民）工资表-9月'!E:AG,29,0),0)</f>
        <v>26471.75</v>
      </c>
      <c r="AG6" s="97">
        <f t="shared" si="3"/>
        <v>4819.33</v>
      </c>
      <c r="AH6" s="107">
        <f t="shared" si="4"/>
        <v>24277.35</v>
      </c>
      <c r="AI6" s="108"/>
      <c r="AJ6" s="107">
        <f t="shared" si="5"/>
        <v>24277.35</v>
      </c>
      <c r="AK6" s="109"/>
      <c r="AL6" s="107">
        <f t="shared" si="6"/>
        <v>29096.68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504.56</v>
      </c>
      <c r="N7" s="71">
        <v>139.8</v>
      </c>
      <c r="O7" s="71">
        <v>31.54</v>
      </c>
      <c r="P7" s="71">
        <v>97</v>
      </c>
      <c r="Q7" s="89">
        <f t="shared" si="0"/>
        <v>772.9</v>
      </c>
      <c r="R7" s="70">
        <v>0</v>
      </c>
      <c r="S7" s="90">
        <f>L7+IFERROR(VLOOKUP($E:$E,'（居民）工资表-9月'!$E:$S,15,0),0)</f>
        <v>89000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5522.29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33477.71</v>
      </c>
      <c r="AE7" s="96">
        <f>ROUND(MAX((AD7)*{0.03;0.1;0.2;0.25;0.3;0.35;0.45}-{0;2520;16920;31920;52920;85920;181920},0),2)</f>
        <v>1004.33</v>
      </c>
      <c r="AF7" s="97">
        <f>IFERROR(VLOOKUP(E:E,'（居民）工资表-9月'!E:AF,28,0)+VLOOKUP(E:E,'（居民）工资表-9月'!E:AG,29,0),0)</f>
        <v>907.52</v>
      </c>
      <c r="AG7" s="97">
        <f t="shared" si="3"/>
        <v>96.8100000000001</v>
      </c>
      <c r="AH7" s="107">
        <f t="shared" si="4"/>
        <v>8130.29</v>
      </c>
      <c r="AI7" s="108"/>
      <c r="AJ7" s="107">
        <f t="shared" si="5"/>
        <v>8130.29</v>
      </c>
      <c r="AK7" s="109"/>
      <c r="AL7" s="107">
        <f t="shared" si="6"/>
        <v>8227.1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504.56</v>
      </c>
      <c r="N8" s="71">
        <v>132.14</v>
      </c>
      <c r="O8" s="71">
        <v>31.54</v>
      </c>
      <c r="P8" s="71">
        <v>344</v>
      </c>
      <c r="Q8" s="89">
        <f t="shared" si="0"/>
        <v>1012.24</v>
      </c>
      <c r="R8" s="70">
        <v>0</v>
      </c>
      <c r="S8" s="90">
        <f>L8+IFERROR(VLOOKUP($E:$E,'（居民）工资表-9月'!$E:$S,15,0),0)</f>
        <v>108000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7960.24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50039.76</v>
      </c>
      <c r="AE8" s="96">
        <f>ROUND(MAX((AD8)*{0.03;0.1;0.2;0.25;0.3;0.35;0.45}-{0;2520;16920;31920;52920;85920;181920},0),2)</f>
        <v>2483.98</v>
      </c>
      <c r="AF8" s="97">
        <f>IFERROR(VLOOKUP(E:E,'（居民）工资表-9月'!E:AF,28,0)+VLOOKUP(E:E,'（居民）工资表-9月'!E:AG,29,0),0)</f>
        <v>2035.2</v>
      </c>
      <c r="AG8" s="97">
        <f t="shared" si="3"/>
        <v>448.78</v>
      </c>
      <c r="AH8" s="107">
        <f t="shared" si="4"/>
        <v>9038.98</v>
      </c>
      <c r="AI8" s="108"/>
      <c r="AJ8" s="107">
        <f t="shared" si="5"/>
        <v>9038.98</v>
      </c>
      <c r="AK8" s="109"/>
      <c r="AL8" s="107">
        <f t="shared" si="6"/>
        <v>9487.76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105.82</v>
      </c>
      <c r="O9" s="71">
        <v>12.16</v>
      </c>
      <c r="P9" s="71">
        <v>100</v>
      </c>
      <c r="Q9" s="89">
        <f t="shared" si="0"/>
        <v>542.22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5306.91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9693.09</v>
      </c>
      <c r="AE9" s="96">
        <f>ROUND(MAX((AD9)*{0.03;0.1;0.2;0.25;0.3;0.35;0.45}-{0;2520;16920;31920;52920;85920;181920},0),2)</f>
        <v>290.79</v>
      </c>
      <c r="AF9" s="97">
        <f>IFERROR(VLOOKUP(E:E,'（居民）工资表-9月'!E:AF,28,0)+VLOOKUP(E:E,'（居民）工资表-9月'!E:AG,29,0),0)</f>
        <v>262.06</v>
      </c>
      <c r="AG9" s="97">
        <f t="shared" si="3"/>
        <v>28.73</v>
      </c>
      <c r="AH9" s="107">
        <f t="shared" si="4"/>
        <v>5929.05</v>
      </c>
      <c r="AI9" s="108"/>
      <c r="AJ9" s="107">
        <f t="shared" si="5"/>
        <v>5929.05</v>
      </c>
      <c r="AK9" s="109"/>
      <c r="AL9" s="107">
        <f t="shared" si="6"/>
        <v>5957.78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L10+IFERROR(VLOOKUP($E:$E,'（居民）工资表-9月'!$E:$S,15,0),0)</f>
        <v>45017.79</v>
      </c>
      <c r="T10" s="91">
        <f>5000+IFERROR(VLOOKUP($E:$E,'（居民）工资表-9月'!$E:$T,16,0),0)</f>
        <v>50000</v>
      </c>
      <c r="U10" s="91">
        <f>Q10+IFERROR(VLOOKUP($E:$E,'（居民）工资表-9月'!$E:$U,17,0),0)</f>
        <v>6409.13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-11391.34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3783.6</v>
      </c>
      <c r="AI10" s="108"/>
      <c r="AJ10" s="107">
        <f t="shared" si="5"/>
        <v>3783.6</v>
      </c>
      <c r="AK10" s="109"/>
      <c r="AL10" s="107">
        <f t="shared" si="6"/>
        <v>3783.6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207</v>
      </c>
    </row>
    <row r="11" s="12" customFormat="1" ht="18" customHeight="1" spans="1:49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504.56</v>
      </c>
      <c r="N11" s="71">
        <v>166.14</v>
      </c>
      <c r="O11" s="71">
        <v>31.54</v>
      </c>
      <c r="P11" s="71">
        <v>97</v>
      </c>
      <c r="Q11" s="89">
        <f t="shared" ref="Q11:Q19" si="10">ROUND(SUM(M11:P11),2)</f>
        <v>799.24</v>
      </c>
      <c r="R11" s="70">
        <v>0</v>
      </c>
      <c r="S11" s="90">
        <f>L11+IFERROR(VLOOKUP($E:$E,'（居民）工资表-9月'!$E:$S,15,0),0)</f>
        <v>87500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5830.24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31669.76</v>
      </c>
      <c r="AE11" s="96">
        <f>ROUND(MAX((AD11)*{0.03;0.1;0.2;0.25;0.3;0.35;0.45}-{0;2520;16920;31920;52920;85920;181920},0),2)</f>
        <v>950.09</v>
      </c>
      <c r="AF11" s="97">
        <f>IFERROR(VLOOKUP(E:E,'（居民）工资表-9月'!E:AF,28,0)+VLOOKUP(E:E,'（居民）工资表-9月'!E:AG,29,0),0)</f>
        <v>854.07</v>
      </c>
      <c r="AG11" s="97">
        <f t="shared" ref="AG11:AG19" si="13">IF((AE11-AF11)&lt;0,0,AE11-AF11)</f>
        <v>96.02</v>
      </c>
      <c r="AH11" s="107">
        <f t="shared" ref="AH11:AH19" si="14">ROUND(IF((L11-Q11-AG11)&lt;0,0,(L11-Q11-AG11)),2)</f>
        <v>8104.74</v>
      </c>
      <c r="AI11" s="108"/>
      <c r="AJ11" s="107">
        <f t="shared" ref="AJ11:AJ19" si="15">AH11+AI11</f>
        <v>8104.74</v>
      </c>
      <c r="AK11" s="109"/>
      <c r="AL11" s="107">
        <f t="shared" ref="AL11:AL19" si="16">AJ11+AG11+AK11</f>
        <v>8200.76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504.56</v>
      </c>
      <c r="N12" s="71">
        <v>132.14</v>
      </c>
      <c r="O12" s="71">
        <v>31.54</v>
      </c>
      <c r="P12" s="71">
        <v>344</v>
      </c>
      <c r="Q12" s="89">
        <f t="shared" si="10"/>
        <v>1012.24</v>
      </c>
      <c r="R12" s="70">
        <v>0</v>
      </c>
      <c r="S12" s="90">
        <f>L12+IFERROR(VLOOKUP($E:$E,'（居民）工资表-9月'!$E:$S,15,0),0)</f>
        <v>72500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7960.24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14539.76</v>
      </c>
      <c r="AE12" s="96">
        <f>ROUND(MAX((AD12)*{0.03;0.1;0.2;0.25;0.3;0.35;0.45}-{0;2520;16920;31920;52920;85920;181920},0),2)</f>
        <v>436.19</v>
      </c>
      <c r="AF12" s="97">
        <f>IFERROR(VLOOKUP(E:E,'（居民）工资表-9月'!E:AF,28,0)+VLOOKUP(E:E,'（居民）工资表-9月'!E:AG,29,0),0)</f>
        <v>391.56</v>
      </c>
      <c r="AG12" s="97">
        <f t="shared" si="13"/>
        <v>44.6299999999999</v>
      </c>
      <c r="AH12" s="107">
        <f t="shared" si="14"/>
        <v>6443.13</v>
      </c>
      <c r="AI12" s="108"/>
      <c r="AJ12" s="107">
        <f t="shared" si="15"/>
        <v>6443.13</v>
      </c>
      <c r="AK12" s="109"/>
      <c r="AL12" s="107">
        <f t="shared" si="16"/>
        <v>6487.76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504.56</v>
      </c>
      <c r="N13" s="71">
        <v>132.14</v>
      </c>
      <c r="O13" s="71">
        <v>41.24</v>
      </c>
      <c r="P13" s="71">
        <v>344</v>
      </c>
      <c r="Q13" s="89">
        <f t="shared" si="10"/>
        <v>1021.94</v>
      </c>
      <c r="R13" s="70">
        <v>0</v>
      </c>
      <c r="S13" s="90">
        <f>L13+IFERROR(VLOOKUP($E:$E,'（居民）工资表-9月'!$E:$S,15,0),0)</f>
        <v>75608.7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7969.94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17638.76</v>
      </c>
      <c r="AE13" s="96">
        <f>ROUND(MAX((AD13)*{0.03;0.1;0.2;0.25;0.3;0.35;0.45}-{0;2520;16920;31920;52920;85920;181920},0),2)</f>
        <v>529.16</v>
      </c>
      <c r="AF13" s="97">
        <f>IFERROR(VLOOKUP(E:E,'（居民）工资表-9月'!E:AF,28,0)+VLOOKUP(E:E,'（居民）工资表-9月'!E:AG,29,0),0)</f>
        <v>469.82</v>
      </c>
      <c r="AG13" s="97">
        <f t="shared" si="13"/>
        <v>59.3399999999999</v>
      </c>
      <c r="AH13" s="107">
        <f t="shared" si="14"/>
        <v>6918.72</v>
      </c>
      <c r="AI13" s="108"/>
      <c r="AJ13" s="107">
        <f t="shared" si="15"/>
        <v>6918.72</v>
      </c>
      <c r="AK13" s="109"/>
      <c r="AL13" s="107">
        <f t="shared" si="16"/>
        <v>6978.06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504.56</v>
      </c>
      <c r="N14" s="71">
        <v>126.14</v>
      </c>
      <c r="O14" s="71">
        <v>31.54</v>
      </c>
      <c r="P14" s="71">
        <v>103</v>
      </c>
      <c r="Q14" s="89">
        <f t="shared" si="10"/>
        <v>765.24</v>
      </c>
      <c r="R14" s="70">
        <v>0</v>
      </c>
      <c r="S14" s="90">
        <f>L14+IFERROR(VLOOKUP($E:$E,'（居民）工资表-9月'!$E:$S,15,0),0)</f>
        <v>60000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5490.24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4509.76</v>
      </c>
      <c r="AE14" s="96">
        <f>ROUND(MAX((AD14)*{0.03;0.1;0.2;0.25;0.3;0.35;0.45}-{0;2520;16920;31920;52920;85920;181920},0),2)</f>
        <v>135.29</v>
      </c>
      <c r="AF14" s="97">
        <f>IFERROR(VLOOKUP(E:E,'（居民）工资表-9月'!E:AF,28,0)+VLOOKUP(E:E,'（居民）工资表-9月'!E:AG,29,0),0)</f>
        <v>128.25</v>
      </c>
      <c r="AG14" s="97">
        <f t="shared" si="13"/>
        <v>7.03999999999999</v>
      </c>
      <c r="AH14" s="107">
        <f t="shared" si="14"/>
        <v>5227.72</v>
      </c>
      <c r="AI14" s="108"/>
      <c r="AJ14" s="107">
        <f t="shared" si="15"/>
        <v>5227.72</v>
      </c>
      <c r="AK14" s="109"/>
      <c r="AL14" s="107">
        <f t="shared" si="16"/>
        <v>5234.76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504.56</v>
      </c>
      <c r="N15" s="71">
        <v>139.8</v>
      </c>
      <c r="O15" s="71">
        <v>31.54</v>
      </c>
      <c r="P15" s="71">
        <v>97</v>
      </c>
      <c r="Q15" s="89">
        <f t="shared" si="10"/>
        <v>772.9</v>
      </c>
      <c r="R15" s="70">
        <v>0</v>
      </c>
      <c r="S15" s="90">
        <f>L15+IFERROR(VLOOKUP($E:$E,'（居民）工资表-9月'!$E:$S,15,0),0)</f>
        <v>87556.93</v>
      </c>
      <c r="T15" s="91">
        <f>5000+IFERROR(VLOOKUP($E:$E,'（居民）工资表-9月'!$E:$T,16,0),0)</f>
        <v>45000</v>
      </c>
      <c r="U15" s="91">
        <f>Q15+IFERROR(VLOOKUP($E:$E,'（居民）工资表-9月'!$E:$U,17,0),0)</f>
        <v>6050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36506.93</v>
      </c>
      <c r="AE15" s="96">
        <f>ROUND(MAX((AD15)*{0.03;0.1;0.2;0.25;0.3;0.35;0.45}-{0;2520;16920;31920;52920;85920;181920},0),2)</f>
        <v>1130.69</v>
      </c>
      <c r="AF15" s="97">
        <f>IFERROR(VLOOKUP(E:E,'（居民）工资表-9月'!E:AF,28,0)+VLOOKUP(E:E,'（居民）工资表-9月'!E:AG,29,0),0)</f>
        <v>968.39</v>
      </c>
      <c r="AG15" s="97">
        <f t="shared" si="13"/>
        <v>162.3</v>
      </c>
      <c r="AH15" s="107">
        <f t="shared" si="14"/>
        <v>9064.8</v>
      </c>
      <c r="AI15" s="108"/>
      <c r="AJ15" s="107">
        <f t="shared" si="15"/>
        <v>9064.8</v>
      </c>
      <c r="AK15" s="109"/>
      <c r="AL15" s="107">
        <f t="shared" si="16"/>
        <v>9227.1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7560.35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 t="shared" si="10"/>
        <v>552.57</v>
      </c>
      <c r="R16" s="70">
        <v>0</v>
      </c>
      <c r="S16" s="90">
        <f>L16+IFERROR(VLOOKUP($E:$E,'（居民）工资表-9月'!$E:$S,15,0),0)</f>
        <v>35910.65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3867.99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2042.66</v>
      </c>
      <c r="AE16" s="96">
        <f>ROUND(MAX((AD16)*{0.03;0.1;0.2;0.25;0.3;0.35;0.45}-{0;2520;16920;31920;52920;85920;181920},0),2)</f>
        <v>61.28</v>
      </c>
      <c r="AF16" s="97">
        <f>IFERROR(VLOOKUP(E:E,'（居民）工资表-9月'!E:AF,28,0)+VLOOKUP(E:E,'（居民）工资表-9月'!E:AG,29,0),0)</f>
        <v>1.05</v>
      </c>
      <c r="AG16" s="97">
        <f t="shared" si="13"/>
        <v>60.23</v>
      </c>
      <c r="AH16" s="107">
        <f t="shared" si="14"/>
        <v>6947.55</v>
      </c>
      <c r="AI16" s="108"/>
      <c r="AJ16" s="107">
        <f t="shared" si="15"/>
        <v>6947.55</v>
      </c>
      <c r="AK16" s="109"/>
      <c r="AL16" s="107">
        <f t="shared" si="16"/>
        <v>7007.78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6">
      <c r="A17" s="36"/>
      <c r="B17" s="37"/>
      <c r="C17" s="128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SUM(L4:L17)</f>
        <v>122668.32</v>
      </c>
      <c r="M18" s="74">
        <f>SUM(M4:M17)</f>
        <v>5953.13</v>
      </c>
      <c r="N18" s="74">
        <f>SUM(N4:N17)</f>
        <v>1641.6</v>
      </c>
      <c r="O18" s="74">
        <f>SUM(O4:O17)</f>
        <v>334.82</v>
      </c>
      <c r="P18" s="74">
        <f>SUM(P4:P17)</f>
        <v>2232.9</v>
      </c>
      <c r="Q18" s="74">
        <f t="shared" ref="Q18:AL18" si="20">SUM(Q4:Q17)</f>
        <v>10162.45</v>
      </c>
      <c r="R18" s="74">
        <f t="shared" si="20"/>
        <v>0</v>
      </c>
      <c r="S18" s="74">
        <f t="shared" si="20"/>
        <v>1165694.07</v>
      </c>
      <c r="T18" s="74">
        <f t="shared" si="20"/>
        <v>625000</v>
      </c>
      <c r="U18" s="74">
        <f t="shared" si="20"/>
        <v>84633.65</v>
      </c>
      <c r="V18" s="74">
        <f t="shared" si="20"/>
        <v>10000</v>
      </c>
      <c r="W18" s="74">
        <f t="shared" si="20"/>
        <v>0</v>
      </c>
      <c r="X18" s="74">
        <f t="shared" si="20"/>
        <v>10000</v>
      </c>
      <c r="Y18" s="74">
        <f t="shared" si="20"/>
        <v>0</v>
      </c>
      <c r="Z18" s="74">
        <f t="shared" si="20"/>
        <v>4000</v>
      </c>
      <c r="AA18" s="74">
        <f t="shared" si="20"/>
        <v>0</v>
      </c>
      <c r="AB18" s="74">
        <f t="shared" si="20"/>
        <v>24000</v>
      </c>
      <c r="AC18" s="74">
        <f t="shared" si="20"/>
        <v>0</v>
      </c>
      <c r="AD18" s="74">
        <f t="shared" si="20"/>
        <v>432060.42</v>
      </c>
      <c r="AE18" s="74">
        <f t="shared" si="20"/>
        <v>38384.21</v>
      </c>
      <c r="AF18" s="74">
        <f t="shared" si="20"/>
        <v>33193.52</v>
      </c>
      <c r="AG18" s="74">
        <f t="shared" si="20"/>
        <v>5836.34</v>
      </c>
      <c r="AH18" s="74">
        <f t="shared" si="20"/>
        <v>106669.53</v>
      </c>
      <c r="AI18" s="74">
        <f t="shared" si="20"/>
        <v>0</v>
      </c>
      <c r="AJ18" s="74">
        <f t="shared" si="20"/>
        <v>106669.53</v>
      </c>
      <c r="AK18" s="74">
        <f t="shared" si="20"/>
        <v>0</v>
      </c>
      <c r="AL18" s="74">
        <f t="shared" si="20"/>
        <v>112505.87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106669.53</v>
      </c>
      <c r="C23" s="48">
        <f>AG18</f>
        <v>5836.34</v>
      </c>
      <c r="D23" s="48">
        <f>AK18</f>
        <v>0</v>
      </c>
      <c r="E23" s="48">
        <f>B23+C23+D23</f>
        <v>112505.87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17">
    <cfRule type="duplicateValues" dxfId="4" priority="1"/>
  </conditionalFormatting>
  <conditionalFormatting sqref="B30">
    <cfRule type="duplicateValues" dxfId="4" priority="3" stopIfTrue="1"/>
  </conditionalFormatting>
  <conditionalFormatting sqref="B25:B29">
    <cfRule type="duplicateValues" dxfId="4" priority="4" stopIfTrue="1"/>
  </conditionalFormatting>
  <conditionalFormatting sqref="B33:B34">
    <cfRule type="duplicateValues" dxfId="4" priority="2" stopIfTrue="1"/>
  </conditionalFormatting>
  <conditionalFormatting sqref="C22:C24">
    <cfRule type="duplicateValues" dxfId="4" priority="5" stopIfTrue="1"/>
    <cfRule type="expression" dxfId="5" priority="6" stopIfTrue="1">
      <formula>AND(COUNTIF($B$18:$B$65454,C22)+COUNTIF($B$1:$B$3,C22)&gt;1,NOT(ISBLANK(C22)))</formula>
    </cfRule>
    <cfRule type="expression" dxfId="5" priority="7" stopIfTrue="1">
      <formula>AND(COUNTIF($B$29:$B$65405,C22)+COUNTIF($B$1:$B$28,C22)&gt;1,NOT(ISBLANK(C22)))</formula>
    </cfRule>
    <cfRule type="expression" dxfId="5" priority="8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4"/>
  <sheetViews>
    <sheetView workbookViewId="0">
      <pane xSplit="6" ySplit="3" topLeftCell="G8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344.57</v>
      </c>
      <c r="N4" s="71">
        <v>86.14</v>
      </c>
      <c r="O4" s="71">
        <v>12.92</v>
      </c>
      <c r="P4" s="71">
        <v>177.4</v>
      </c>
      <c r="Q4" s="89">
        <f t="shared" ref="Q4:Q12" si="0">ROUND(SUM(M4:P4),2)</f>
        <v>621.03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6720.48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26279.52</v>
      </c>
      <c r="AE4" s="96">
        <f>ROUND(MAX((AD4)*{0.03;0.1;0.2;0.25;0.3;0.35;0.45}-{0;2520;16920;31920;52920;85920;181920},0),2)</f>
        <v>788.39</v>
      </c>
      <c r="AF4" s="97">
        <f>IFERROR(VLOOKUP(E:E,'（居民）工资表-10月'!E:AF,28,0)+VLOOKUP(E:E,'（居民）工资表-10月'!E:AG,29,0),0)</f>
        <v>645.65</v>
      </c>
      <c r="AG4" s="97">
        <f>IF((AE4-AF4)&lt;0,0,AE4-AF4)</f>
        <v>142.74</v>
      </c>
      <c r="AH4" s="107">
        <f t="shared" ref="AH4:AH12" si="3">ROUND(IF((L4-Q4-AG4)&lt;0,0,(L4-Q4-AG4)),2)</f>
        <v>7236.23</v>
      </c>
      <c r="AI4" s="108"/>
      <c r="AJ4" s="107">
        <f t="shared" ref="AJ4:AJ12" si="4">AH4+AI4</f>
        <v>7236.23</v>
      </c>
      <c r="AK4" s="109"/>
      <c r="AL4" s="107">
        <f t="shared" ref="AL4:AL12" si="5">AJ4+AG4+AK4</f>
        <v>7378.97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L5+IFERROR(VLOOKUP($E:$E,'（居民）工资表-10月'!$E:$S,15,0),0)</f>
        <v>65100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7284.64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2815.36</v>
      </c>
      <c r="AE5" s="96">
        <f>ROUND(MAX((AD5)*{0.03;0.1;0.2;0.25;0.3;0.35;0.45}-{0;2520;16920;31920;52920;85920;181920},0),2)</f>
        <v>84.46</v>
      </c>
      <c r="AF5" s="97">
        <f>IFERROR(VLOOKUP(E:E,'（居民）工资表-10月'!E:AF,28,0)+VLOOKUP(E:E,'（居民）工资表-10月'!E:AG,29,0),0)</f>
        <v>71.33</v>
      </c>
      <c r="AG5" s="97">
        <f t="shared" ref="AG5:AG12" si="9">IF((AE5-AF5)&lt;0,0,AE5-AF5)</f>
        <v>13.13</v>
      </c>
      <c r="AH5" s="107">
        <f t="shared" si="3"/>
        <v>5424.63</v>
      </c>
      <c r="AI5" s="108"/>
      <c r="AJ5" s="107">
        <f t="shared" si="4"/>
        <v>5424.63</v>
      </c>
      <c r="AK5" s="109"/>
      <c r="AL5" s="107">
        <f t="shared" si="5"/>
        <v>5437.76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590.72</v>
      </c>
      <c r="N6" s="71">
        <v>147.68</v>
      </c>
      <c r="O6" s="71">
        <v>36.92</v>
      </c>
      <c r="P6" s="71">
        <v>188</v>
      </c>
      <c r="Q6" s="89">
        <f t="shared" si="0"/>
        <v>963.32</v>
      </c>
      <c r="R6" s="70">
        <v>0</v>
      </c>
      <c r="S6" s="90">
        <f>L6+IFERROR(VLOOKUP($E:$E,'（居民）工资表-10月'!$E:$S,15,0),0)</f>
        <v>330660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10507.9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265152.1</v>
      </c>
      <c r="AE6" s="96">
        <f>ROUND(MAX((AD6)*{0.03;0.1;0.2;0.25;0.3;0.35;0.45}-{0;2520;16920;31920;52920;85920;181920},0),2)</f>
        <v>36110.42</v>
      </c>
      <c r="AF6" s="97">
        <f>IFERROR(VLOOKUP(E:E,'（居民）工资表-10月'!E:AF,28,0)+VLOOKUP(E:E,'（居民）工资表-10月'!E:AG,29,0),0)</f>
        <v>31291.08</v>
      </c>
      <c r="AG6" s="97">
        <f t="shared" si="9"/>
        <v>4819.34</v>
      </c>
      <c r="AH6" s="107">
        <f t="shared" si="3"/>
        <v>24277.34</v>
      </c>
      <c r="AI6" s="108"/>
      <c r="AJ6" s="107">
        <f t="shared" si="4"/>
        <v>24277.34</v>
      </c>
      <c r="AK6" s="109"/>
      <c r="AL6" s="107">
        <f t="shared" si="5"/>
        <v>29096.68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v>338.16</v>
      </c>
      <c r="N7" s="71">
        <v>93.7</v>
      </c>
      <c r="O7" s="71">
        <v>21.14</v>
      </c>
      <c r="P7" s="71">
        <v>97</v>
      </c>
      <c r="Q7" s="89">
        <f t="shared" si="0"/>
        <v>550</v>
      </c>
      <c r="R7" s="70">
        <v>0</v>
      </c>
      <c r="S7" s="90">
        <f>L7+IFERROR(VLOOKUP($E:$E,'（居民）工资表-10月'!$E:$S,15,0),0)</f>
        <v>98000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6072.29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36927.71</v>
      </c>
      <c r="AE7" s="96">
        <f>ROUND(MAX((AD7)*{0.03;0.1;0.2;0.25;0.3;0.35;0.45}-{0;2520;16920;31920;52920;85920;181920},0),2)</f>
        <v>1172.77</v>
      </c>
      <c r="AF7" s="97">
        <f>IFERROR(VLOOKUP(E:E,'（居民）工资表-10月'!E:AF,28,0)+VLOOKUP(E:E,'（居民）工资表-10月'!E:AG,29,0),0)</f>
        <v>1004.33</v>
      </c>
      <c r="AG7" s="97">
        <f t="shared" si="9"/>
        <v>168.44</v>
      </c>
      <c r="AH7" s="107">
        <f t="shared" si="3"/>
        <v>8281.56</v>
      </c>
      <c r="AI7" s="108"/>
      <c r="AJ7" s="107">
        <f t="shared" si="4"/>
        <v>8281.56</v>
      </c>
      <c r="AK7" s="109"/>
      <c r="AL7" s="107">
        <f t="shared" si="5"/>
        <v>8450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338.16</v>
      </c>
      <c r="N8" s="71">
        <v>90.54</v>
      </c>
      <c r="O8" s="71">
        <v>21.14</v>
      </c>
      <c r="P8" s="71">
        <v>344</v>
      </c>
      <c r="Q8" s="89">
        <f t="shared" si="0"/>
        <v>793.84</v>
      </c>
      <c r="R8" s="70">
        <v>0</v>
      </c>
      <c r="S8" s="90">
        <f>L8+IFERROR(VLOOKUP($E:$E,'（居民）工资表-10月'!$E:$S,15,0),0)</f>
        <v>118500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8754.08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54745.92</v>
      </c>
      <c r="AE8" s="96">
        <f>ROUND(MAX((AD8)*{0.03;0.1;0.2;0.25;0.3;0.35;0.45}-{0;2520;16920;31920;52920;85920;181920},0),2)</f>
        <v>2954.59</v>
      </c>
      <c r="AF8" s="97">
        <f>IFERROR(VLOOKUP(E:E,'（居民）工资表-10月'!E:AF,28,0)+VLOOKUP(E:E,'（居民）工资表-10月'!E:AG,29,0),0)</f>
        <v>2483.98</v>
      </c>
      <c r="AG8" s="97">
        <f t="shared" si="9"/>
        <v>470.61</v>
      </c>
      <c r="AH8" s="107">
        <f t="shared" si="3"/>
        <v>9235.55</v>
      </c>
      <c r="AI8" s="108"/>
      <c r="AJ8" s="107">
        <f t="shared" si="4"/>
        <v>9235.55</v>
      </c>
      <c r="AK8" s="109"/>
      <c r="AL8" s="107">
        <f t="shared" si="5"/>
        <v>9706.16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299.28</v>
      </c>
      <c r="N9" s="71">
        <v>95.54</v>
      </c>
      <c r="O9" s="71">
        <v>11.22</v>
      </c>
      <c r="P9" s="71">
        <v>100</v>
      </c>
      <c r="Q9" s="89">
        <f t="shared" si="0"/>
        <v>506.04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5812.95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10687.05</v>
      </c>
      <c r="AE9" s="96">
        <f>ROUND(MAX((AD9)*{0.03;0.1;0.2;0.25;0.3;0.35;0.45}-{0;2520;16920;31920;52920;85920;181920},0),2)</f>
        <v>320.61</v>
      </c>
      <c r="AF9" s="97">
        <f>IFERROR(VLOOKUP(E:E,'（居民）工资表-10月'!E:AF,28,0)+VLOOKUP(E:E,'（居民）工资表-10月'!E:AG,29,0),0)</f>
        <v>290.79</v>
      </c>
      <c r="AG9" s="97">
        <f t="shared" si="9"/>
        <v>29.82</v>
      </c>
      <c r="AH9" s="107">
        <f t="shared" si="3"/>
        <v>5964.14</v>
      </c>
      <c r="AI9" s="108"/>
      <c r="AJ9" s="107">
        <f t="shared" si="4"/>
        <v>5964.14</v>
      </c>
      <c r="AK9" s="109"/>
      <c r="AL9" s="107">
        <f t="shared" si="5"/>
        <v>5993.96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4447.97</v>
      </c>
      <c r="M10" s="71">
        <v>401.04</v>
      </c>
      <c r="N10" s="71">
        <v>122.26</v>
      </c>
      <c r="O10" s="71">
        <v>25.07</v>
      </c>
      <c r="P10" s="71">
        <v>116</v>
      </c>
      <c r="Q10" s="89">
        <f t="shared" si="0"/>
        <v>664.37</v>
      </c>
      <c r="R10" s="70">
        <v>0</v>
      </c>
      <c r="S10" s="90">
        <f>L10+IFERROR(VLOOKUP($E:$E,'（居民）工资表-10月'!$E:$S,15,0),0)</f>
        <v>49465.76</v>
      </c>
      <c r="T10" s="91">
        <f>5000+IFERROR(VLOOKUP($E:$E,'（居民）工资表-10月'!$E:$T,16,0),0)</f>
        <v>55000</v>
      </c>
      <c r="U10" s="91">
        <f>Q10+IFERROR(VLOOKUP($E:$E,'（居民）工资表-10月'!$E:$U,17,0),0)</f>
        <v>7073.5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-12607.74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3783.6</v>
      </c>
      <c r="AI10" s="108"/>
      <c r="AJ10" s="107">
        <f t="shared" si="4"/>
        <v>3783.6</v>
      </c>
      <c r="AK10" s="109"/>
      <c r="AL10" s="107">
        <f t="shared" si="5"/>
        <v>3783.6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338.16</v>
      </c>
      <c r="N11" s="71">
        <v>124.54</v>
      </c>
      <c r="O11" s="71">
        <v>21.14</v>
      </c>
      <c r="P11" s="71">
        <v>97</v>
      </c>
      <c r="Q11" s="89">
        <f t="shared" si="0"/>
        <v>580.84</v>
      </c>
      <c r="R11" s="70">
        <v>0</v>
      </c>
      <c r="S11" s="90">
        <f>L11+IFERROR(VLOOKUP($E:$E,'（居民）工资表-10月'!$E:$S,15,0),0)</f>
        <v>96500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6411.08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35088.92</v>
      </c>
      <c r="AE11" s="96">
        <f>ROUND(MAX((AD11)*{0.03;0.1;0.2;0.25;0.3;0.35;0.45}-{0;2520;16920;31920;52920;85920;181920},0),2)</f>
        <v>1052.67</v>
      </c>
      <c r="AF11" s="97">
        <f>IFERROR(VLOOKUP(E:E,'（居民）工资表-10月'!E:AF,28,0)+VLOOKUP(E:E,'（居民）工资表-10月'!E:AG,29,0),0)</f>
        <v>950.09</v>
      </c>
      <c r="AG11" s="97">
        <f t="shared" si="9"/>
        <v>102.58</v>
      </c>
      <c r="AH11" s="107">
        <f t="shared" si="3"/>
        <v>8316.58</v>
      </c>
      <c r="AI11" s="108"/>
      <c r="AJ11" s="107">
        <f t="shared" si="4"/>
        <v>8316.58</v>
      </c>
      <c r="AK11" s="109"/>
      <c r="AL11" s="107">
        <f t="shared" si="5"/>
        <v>8419.16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338.16</v>
      </c>
      <c r="N12" s="71">
        <v>90.54</v>
      </c>
      <c r="O12" s="71">
        <v>21.14</v>
      </c>
      <c r="P12" s="71">
        <v>344</v>
      </c>
      <c r="Q12" s="89">
        <f>ROUND(SUM(M12:P12),2)</f>
        <v>793.84</v>
      </c>
      <c r="R12" s="70">
        <v>0</v>
      </c>
      <c r="S12" s="90">
        <f>L12+IFERROR(VLOOKUP($E:$E,'（居民）工资表-10月'!$E:$S,15,0),0)</f>
        <v>80000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8754.08</v>
      </c>
      <c r="V12" s="70"/>
      <c r="W12" s="70"/>
      <c r="X12" s="70"/>
      <c r="Y12" s="70"/>
      <c r="Z12" s="70"/>
      <c r="AA12" s="70"/>
      <c r="AB12" s="90">
        <f>ROUND(SUM(V12:AA12),2)</f>
        <v>0</v>
      </c>
      <c r="AC12" s="90">
        <f>R12+IFERROR(VLOOKUP($E:$E,'（居民）工资表-10月'!$E:$AC,25,0),0)</f>
        <v>0</v>
      </c>
      <c r="AD12" s="95">
        <f>ROUND(S12-T12-U12-AB12-AC12,2)</f>
        <v>16245.92</v>
      </c>
      <c r="AE12" s="96">
        <f>ROUND(MAX((AD12)*{0.03;0.1;0.2;0.25;0.3;0.35;0.45}-{0;2520;16920;31920;52920;85920;181920},0),2)</f>
        <v>487.38</v>
      </c>
      <c r="AF12" s="97">
        <f>IFERROR(VLOOKUP(E:E,'（居民）工资表-10月'!E:AF,28,0)+VLOOKUP(E:E,'（居民）工资表-10月'!E:AG,29,0),0)</f>
        <v>436.19</v>
      </c>
      <c r="AG12" s="97">
        <f>IF((AE12-AF12)&lt;0,0,AE12-AF12)</f>
        <v>51.1900000000001</v>
      </c>
      <c r="AH12" s="107">
        <f>ROUND(IF((L12-Q12-AG12)&lt;0,0,(L12-Q12-AG12)),2)</f>
        <v>6654.97</v>
      </c>
      <c r="AI12" s="108"/>
      <c r="AJ12" s="107">
        <f>AH12+AI12</f>
        <v>6654.97</v>
      </c>
      <c r="AK12" s="109"/>
      <c r="AL12" s="107">
        <f>AJ12+AG12+AK12</f>
        <v>6706.16</v>
      </c>
      <c r="AM12" s="109"/>
      <c r="AN12" s="109"/>
      <c r="AO12" s="109"/>
      <c r="AP12" s="109"/>
      <c r="AQ12" s="109"/>
      <c r="AR12" s="116" t="str">
        <f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>IF(SUMPRODUCT(N(E$1:E$6=E12))&gt;1,"重复","不")</f>
        <v>不</v>
      </c>
      <c r="AT12" s="116" t="str">
        <f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338.16</v>
      </c>
      <c r="N13" s="71">
        <v>90.54</v>
      </c>
      <c r="O13" s="71">
        <v>21.14</v>
      </c>
      <c r="P13" s="71">
        <v>344</v>
      </c>
      <c r="Q13" s="89">
        <f>ROUND(SUM(M13:P13),2)</f>
        <v>793.84</v>
      </c>
      <c r="R13" s="70">
        <v>0</v>
      </c>
      <c r="S13" s="90">
        <f>L13+IFERROR(VLOOKUP($E:$E,'（居民）工资表-10月'!$E:$S,15,0),0)</f>
        <v>83608.7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8763.78</v>
      </c>
      <c r="V13" s="70"/>
      <c r="W13" s="70"/>
      <c r="X13" s="70"/>
      <c r="Y13" s="70"/>
      <c r="Z13" s="70"/>
      <c r="AA13" s="70"/>
      <c r="AB13" s="90">
        <f>ROUND(SUM(V13:AA13),2)</f>
        <v>0</v>
      </c>
      <c r="AC13" s="90">
        <f>R13+IFERROR(VLOOKUP($E:$E,'（居民）工资表-10月'!$E:$AC,25,0),0)</f>
        <v>0</v>
      </c>
      <c r="AD13" s="95">
        <f>ROUND(S13-T13-U13-AB13-AC13,2)</f>
        <v>19844.92</v>
      </c>
      <c r="AE13" s="96">
        <f>ROUND(MAX((AD13)*{0.03;0.1;0.2;0.25;0.3;0.35;0.45}-{0;2520;16920;31920;52920;85920;181920},0),2)</f>
        <v>595.35</v>
      </c>
      <c r="AF13" s="97">
        <f>IFERROR(VLOOKUP(E:E,'（居民）工资表-10月'!E:AF,28,0)+VLOOKUP(E:E,'（居民）工资表-10月'!E:AG,29,0),0)</f>
        <v>529.16</v>
      </c>
      <c r="AG13" s="97">
        <f>IF((AE13-AF13)&lt;0,0,AE13-AF13)</f>
        <v>66.1900000000002</v>
      </c>
      <c r="AH13" s="107">
        <f>ROUND(IF((L13-Q13-AG13)&lt;0,0,(L13-Q13-AG13)),2)</f>
        <v>7139.97</v>
      </c>
      <c r="AI13" s="108"/>
      <c r="AJ13" s="107">
        <f>AH13+AI13</f>
        <v>7139.97</v>
      </c>
      <c r="AK13" s="109"/>
      <c r="AL13" s="107">
        <f>AJ13+AG13+AK13</f>
        <v>7206.16</v>
      </c>
      <c r="AM13" s="109"/>
      <c r="AN13" s="109"/>
      <c r="AO13" s="109"/>
      <c r="AP13" s="109"/>
      <c r="AQ13" s="109"/>
      <c r="AR13" s="116" t="str">
        <f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6" t="str">
        <f>IF(SUMPRODUCT(N(E$1:E$6=E13))&gt;1,"重复","不")</f>
        <v>不</v>
      </c>
      <c r="AT13" s="116" t="str">
        <f>IF(SUMPRODUCT(N(AO$1:AO$6=AO13))&gt;1,"重复","不")</f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181</v>
      </c>
      <c r="D14" s="37" t="s">
        <v>143</v>
      </c>
      <c r="E14" s="326" t="s">
        <v>182</v>
      </c>
      <c r="F14" s="38" t="s">
        <v>148</v>
      </c>
      <c r="G14" s="39"/>
      <c r="H14" s="40"/>
      <c r="I14" s="40"/>
      <c r="J14" s="69"/>
      <c r="K14" s="40"/>
      <c r="L14" s="70">
        <v>6000</v>
      </c>
      <c r="M14" s="71">
        <v>338.16</v>
      </c>
      <c r="N14" s="71">
        <v>84.54</v>
      </c>
      <c r="O14" s="71">
        <v>21.14</v>
      </c>
      <c r="P14" s="71">
        <v>103</v>
      </c>
      <c r="Q14" s="89">
        <f>ROUND(SUM(M14:P14),2)</f>
        <v>546.84</v>
      </c>
      <c r="R14" s="70">
        <v>0</v>
      </c>
      <c r="S14" s="90">
        <f>L14+IFERROR(VLOOKUP($E:$E,'（居民）工资表-10月'!$E:$S,15,0),0)</f>
        <v>66000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6037.08</v>
      </c>
      <c r="V14" s="70"/>
      <c r="W14" s="70"/>
      <c r="X14" s="70"/>
      <c r="Y14" s="70"/>
      <c r="Z14" s="70"/>
      <c r="AA14" s="70"/>
      <c r="AB14" s="90">
        <f>ROUND(SUM(V14:AA14),2)</f>
        <v>0</v>
      </c>
      <c r="AC14" s="90">
        <f>R14+IFERROR(VLOOKUP($E:$E,'（居民）工资表-10月'!$E:$AC,25,0),0)</f>
        <v>0</v>
      </c>
      <c r="AD14" s="95">
        <f>ROUND(S14-T14-U14-AB14-AC14,2)</f>
        <v>4962.92</v>
      </c>
      <c r="AE14" s="96">
        <f>ROUND(MAX((AD14)*{0.03;0.1;0.2;0.25;0.3;0.35;0.45}-{0;2520;16920;31920;52920;85920;181920},0),2)</f>
        <v>148.89</v>
      </c>
      <c r="AF14" s="97">
        <f>IFERROR(VLOOKUP(E:E,'（居民）工资表-10月'!E:AF,28,0)+VLOOKUP(E:E,'（居民）工资表-10月'!E:AG,29,0),0)</f>
        <v>135.29</v>
      </c>
      <c r="AG14" s="97">
        <f>IF((AE14-AF14)&lt;0,0,AE14-AF14)</f>
        <v>13.6</v>
      </c>
      <c r="AH14" s="107">
        <f>ROUND(IF((L14-Q14-AG14)&lt;0,0,(L14-Q14-AG14)),2)</f>
        <v>5439.56</v>
      </c>
      <c r="AI14" s="108"/>
      <c r="AJ14" s="107">
        <f>AH14+AI14</f>
        <v>5439.56</v>
      </c>
      <c r="AK14" s="109"/>
      <c r="AL14" s="107">
        <f>AJ14+AG14+AK14</f>
        <v>5453.16</v>
      </c>
      <c r="AM14" s="109"/>
      <c r="AN14" s="109"/>
      <c r="AO14" s="109"/>
      <c r="AP14" s="109"/>
      <c r="AQ14" s="109"/>
      <c r="AR14" s="116" t="str">
        <f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正确</v>
      </c>
      <c r="AS14" s="116" t="str">
        <f>IF(SUMPRODUCT(N(E$1:E$6=E14))&gt;1,"重复","不")</f>
        <v>不</v>
      </c>
      <c r="AT14" s="116" t="str">
        <f>IF(SUMPRODUCT(N(AO$1:AO$6=AO14))&gt;1,"重复","不")</f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183</v>
      </c>
      <c r="D15" s="37" t="s">
        <v>143</v>
      </c>
      <c r="E15" s="326" t="s">
        <v>184</v>
      </c>
      <c r="F15" s="38" t="s">
        <v>144</v>
      </c>
      <c r="G15" s="39">
        <v>15056587375</v>
      </c>
      <c r="H15" s="40"/>
      <c r="I15" s="40"/>
      <c r="J15" s="69"/>
      <c r="K15" s="40"/>
      <c r="L15" s="70">
        <v>10000</v>
      </c>
      <c r="M15" s="71">
        <v>338.16</v>
      </c>
      <c r="N15" s="71">
        <v>93.7</v>
      </c>
      <c r="O15" s="71">
        <v>21.14</v>
      </c>
      <c r="P15" s="71">
        <v>97</v>
      </c>
      <c r="Q15" s="89">
        <f>ROUND(SUM(M15:P15),2)</f>
        <v>550</v>
      </c>
      <c r="R15" s="70">
        <v>0</v>
      </c>
      <c r="S15" s="90">
        <f>L15+IFERROR(VLOOKUP($E:$E,'（居民）工资表-10月'!$E:$S,15,0),0)</f>
        <v>97556.93</v>
      </c>
      <c r="T15" s="91">
        <f>5000+IFERROR(VLOOKUP($E:$E,'（居民）工资表-10月'!$E:$T,16,0),0)</f>
        <v>50000</v>
      </c>
      <c r="U15" s="91">
        <f>Q15+IFERROR(VLOOKUP($E:$E,'（居民）工资表-10月'!$E:$U,17,0),0)</f>
        <v>6600</v>
      </c>
      <c r="V15" s="70"/>
      <c r="W15" s="70"/>
      <c r="X15" s="70"/>
      <c r="Y15" s="70"/>
      <c r="Z15" s="70"/>
      <c r="AA15" s="70"/>
      <c r="AB15" s="90">
        <f>ROUND(SUM(V15:AA15),2)</f>
        <v>0</v>
      </c>
      <c r="AC15" s="90">
        <f>R15+IFERROR(VLOOKUP($E:$E,'（居民）工资表-10月'!$E:$AC,25,0),0)</f>
        <v>0</v>
      </c>
      <c r="AD15" s="95">
        <f>ROUND(S15-T15-U15-AB15-AC15,2)</f>
        <v>40956.93</v>
      </c>
      <c r="AE15" s="96">
        <f>ROUND(MAX((AD15)*{0.03;0.1;0.2;0.25;0.3;0.35;0.45}-{0;2520;16920;31920;52920;85920;181920},0),2)</f>
        <v>1575.69</v>
      </c>
      <c r="AF15" s="97">
        <f>IFERROR(VLOOKUP(E:E,'（居民）工资表-10月'!E:AF,28,0)+VLOOKUP(E:E,'（居民）工资表-10月'!E:AG,29,0),0)</f>
        <v>1130.69</v>
      </c>
      <c r="AG15" s="97">
        <f>IF((AE15-AF15)&lt;0,0,AE15-AF15)</f>
        <v>445</v>
      </c>
      <c r="AH15" s="107">
        <f>ROUND(IF((L15-Q15-AG15)&lt;0,0,(L15-Q15-AG15)),2)</f>
        <v>9005</v>
      </c>
      <c r="AI15" s="108"/>
      <c r="AJ15" s="107">
        <f>AH15+AI15</f>
        <v>9005</v>
      </c>
      <c r="AK15" s="109"/>
      <c r="AL15" s="107">
        <f>AJ15+AG15+AK15</f>
        <v>9450</v>
      </c>
      <c r="AM15" s="109"/>
      <c r="AN15" s="109"/>
      <c r="AO15" s="109"/>
      <c r="AP15" s="109"/>
      <c r="AQ15" s="109"/>
      <c r="AR15" s="116" t="str">
        <f>IF(LEN(E15)=18,IF(RIGHT(E15,1)="X",IF(CHOOSE(MOD(SUM(LEFT(RIGHT(E15,18))*7+LEFT(RIGHT(E15,17))*9+LEFT(RIGHT(E15,16))*10+LEFT(RIGHT(E15,15))*5+LEFT(RIGHT(E15,14))*8+LEFT(RIGHT(E15,13))*4+LEFT(RIGHT(E15,12))*2+LEFT(RIGHT(E15,11))*1+LEFT(RIGHT(E15,10))*6+LEFT(RIGHT(E15,9))*3+LEFT(RIGHT(E15,8))*7+LEFT(RIGHT(E15,7))*9+LEFT(RIGHT(E15,6))*10+LEFT(RIGHT(E15,5))*5+LEFT(RIGHT(E15,4))*8+LEFT(RIGHT(E15,3))*4+LEFT(RIGHT(E15,2))*2),11)+1,1,0,"X",9,8,7,6,5,4,3,2)=LEFT(RIGHT(E15,1)),"正确","错误"),IF(CHOOSE(MOD(SUM(LEFT(RIGHT(E15,18))*7+LEFT(RIGHT(E15,17))*9+LEFT(RIGHT(E15,16))*10+LEFT(RIGHT(E15,15))*5+LEFT(RIGHT(E15,14))*8+LEFT(RIGHT(E15,13))*4+LEFT(RIGHT(E15,12))*2+LEFT(RIGHT(E15,11))*1+LEFT(RIGHT(E15,10))*6+LEFT(RIGHT(E15,9))*3+LEFT(RIGHT(E15,8))*7+LEFT(RIGHT(E15,7))*9+LEFT(RIGHT(E15,6))*10+LEFT(RIGHT(E15,5))*5+LEFT(RIGHT(E15,4))*8+LEFT(RIGHT(E15,3))*4+LEFT(RIGHT(E15,2))*2),11)+1,1,0,"X",9,8,7,6,5,4,3,2)=LEFT(RIGHT(E15,1))*1,"正确","错误")),IF(LEN(E15)=15,"老号，请注意！",IF(LEN(E15)=0,"未填写身份证号码","位数不对！")))</f>
        <v>正确</v>
      </c>
      <c r="AS15" s="116" t="str">
        <f>IF(SUMPRODUCT(N(E$1:E$6=E15))&gt;1,"重复","不")</f>
        <v>不</v>
      </c>
      <c r="AT15" s="116" t="str">
        <f>IF(SUMPRODUCT(N(AO$1:AO$6=AO15))&gt;1,"重复","不")</f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185</v>
      </c>
      <c r="D16" s="37" t="s">
        <v>143</v>
      </c>
      <c r="E16" s="37" t="s">
        <v>186</v>
      </c>
      <c r="F16" s="38" t="s">
        <v>144</v>
      </c>
      <c r="G16" s="39">
        <v>13711361074</v>
      </c>
      <c r="H16" s="40"/>
      <c r="I16" s="40"/>
      <c r="J16" s="69"/>
      <c r="K16" s="40"/>
      <c r="L16" s="70">
        <v>7600</v>
      </c>
      <c r="M16" s="71">
        <v>337.92</v>
      </c>
      <c r="N16" s="71">
        <v>91.48</v>
      </c>
      <c r="O16" s="71">
        <v>12.67</v>
      </c>
      <c r="P16" s="71">
        <v>110.5</v>
      </c>
      <c r="Q16" s="89">
        <f>ROUND(SUM(M16:P16),2)</f>
        <v>552.57</v>
      </c>
      <c r="R16" s="70">
        <v>0</v>
      </c>
      <c r="S16" s="90">
        <f>L16+IFERROR(VLOOKUP($E:$E,'（居民）工资表-10月'!$E:$S,15,0),0)</f>
        <v>43510.65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4420.56</v>
      </c>
      <c r="V16" s="70"/>
      <c r="W16" s="70"/>
      <c r="X16" s="70"/>
      <c r="Y16" s="70"/>
      <c r="Z16" s="70"/>
      <c r="AA16" s="70"/>
      <c r="AB16" s="90">
        <f>ROUND(SUM(V16:AA16),2)</f>
        <v>0</v>
      </c>
      <c r="AC16" s="90">
        <f>R16+IFERROR(VLOOKUP($E:$E,'（居民）工资表-10月'!$E:$AC,25,0),0)</f>
        <v>0</v>
      </c>
      <c r="AD16" s="95">
        <f>ROUND(S16-T16-U16-AB16-AC16,2)</f>
        <v>4090.09</v>
      </c>
      <c r="AE16" s="96">
        <f>ROUND(MAX((AD16)*{0.03;0.1;0.2;0.25;0.3;0.35;0.45}-{0;2520;16920;31920;52920;85920;181920},0),2)</f>
        <v>122.7</v>
      </c>
      <c r="AF16" s="97">
        <f>IFERROR(VLOOKUP(E:E,'（居民）工资表-10月'!E:AF,28,0)+VLOOKUP(E:E,'（居民）工资表-10月'!E:AG,29,0),0)</f>
        <v>61.28</v>
      </c>
      <c r="AG16" s="97">
        <f>IF((AE16-AF16)&lt;0,0,AE16-AF16)</f>
        <v>61.42</v>
      </c>
      <c r="AH16" s="107">
        <f>ROUND(IF((L16-Q16-AG16)&lt;0,0,(L16-Q16-AG16)),2)</f>
        <v>6986.01</v>
      </c>
      <c r="AI16" s="108"/>
      <c r="AJ16" s="107">
        <f>AH16+AI16</f>
        <v>6986.01</v>
      </c>
      <c r="AK16" s="109"/>
      <c r="AL16" s="107">
        <f>AJ16+AG16+AK16</f>
        <v>7047.43</v>
      </c>
      <c r="AM16" s="109"/>
      <c r="AN16" s="109"/>
      <c r="AO16" s="109"/>
      <c r="AP16" s="109"/>
      <c r="AQ16" s="109"/>
      <c r="AR16" s="116" t="str">
        <f>IF(LEN(E16)=18,IF(RIGHT(E16,1)="X",IF(CHOOSE(MOD(SUM(LEFT(RIGHT(E16,18))*7+LEFT(RIGHT(E16,17))*9+LEFT(RIGHT(E16,16))*10+LEFT(RIGHT(E16,15))*5+LEFT(RIGHT(E16,14))*8+LEFT(RIGHT(E16,13))*4+LEFT(RIGHT(E16,12))*2+LEFT(RIGHT(E16,11))*1+LEFT(RIGHT(E16,10))*6+LEFT(RIGHT(E16,9))*3+LEFT(RIGHT(E16,8))*7+LEFT(RIGHT(E16,7))*9+LEFT(RIGHT(E16,6))*10+LEFT(RIGHT(E16,5))*5+LEFT(RIGHT(E16,4))*8+LEFT(RIGHT(E16,3))*4+LEFT(RIGHT(E16,2))*2),11)+1,1,0,"X",9,8,7,6,5,4,3,2)=LEFT(RIGHT(E16,1)),"正确","错误"),IF(CHOOSE(MOD(SUM(LEFT(RIGHT(E16,18))*7+LEFT(RIGHT(E16,17))*9+LEFT(RIGHT(E16,16))*10+LEFT(RIGHT(E16,15))*5+LEFT(RIGHT(E16,14))*8+LEFT(RIGHT(E16,13))*4+LEFT(RIGHT(E16,12))*2+LEFT(RIGHT(E16,11))*1+LEFT(RIGHT(E16,10))*6+LEFT(RIGHT(E16,9))*3+LEFT(RIGHT(E16,8))*7+LEFT(RIGHT(E16,7))*9+LEFT(RIGHT(E16,6))*10+LEFT(RIGHT(E16,5))*5+LEFT(RIGHT(E16,4))*8+LEFT(RIGHT(E16,3))*4+LEFT(RIGHT(E16,2))*2),11)+1,1,0,"X",9,8,7,6,5,4,3,2)=LEFT(RIGHT(E16,1))*1,"正确","错误")),IF(LEN(E16)=15,"老号，请注意！",IF(LEN(E16)=0,"未填写身份证号码","位数不对！")))</f>
        <v>正确</v>
      </c>
      <c r="AS16" s="116" t="str">
        <f>IF(SUMPRODUCT(N(E$1:E$6=E16))&gt;1,"重复","不")</f>
        <v>不</v>
      </c>
      <c r="AT16" s="116" t="str">
        <f>IF(SUMPRODUCT(N(AO$1:AO$6=AO16))&gt;1,"重复","不")</f>
        <v>重复</v>
      </c>
      <c r="AU16" s="11"/>
      <c r="AV16" s="11"/>
    </row>
    <row r="17" s="12" customFormat="1" ht="18" customHeight="1" spans="1:48">
      <c r="A17" s="36"/>
      <c r="B17" s="37"/>
      <c r="C17" s="37"/>
      <c r="D17" s="37"/>
      <c r="E17" s="37"/>
      <c r="F17" s="38"/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/>
      <c r="R17" s="70"/>
      <c r="S17" s="90"/>
      <c r="T17" s="91"/>
      <c r="U17" s="91"/>
      <c r="V17" s="70"/>
      <c r="W17" s="70"/>
      <c r="X17" s="70"/>
      <c r="Y17" s="70"/>
      <c r="Z17" s="70"/>
      <c r="AA17" s="70"/>
      <c r="AB17" s="90"/>
      <c r="AC17" s="90"/>
      <c r="AD17" s="95"/>
      <c r="AE17" s="96"/>
      <c r="AF17" s="97"/>
      <c r="AG17" s="97"/>
      <c r="AH17" s="107"/>
      <c r="AI17" s="108"/>
      <c r="AJ17" s="107"/>
      <c r="AK17" s="109"/>
      <c r="AL17" s="107"/>
      <c r="AM17" s="109"/>
      <c r="AN17" s="109"/>
      <c r="AO17" s="109"/>
      <c r="AP17" s="109"/>
      <c r="AQ17" s="109"/>
      <c r="AR17" s="116"/>
      <c r="AS17" s="116"/>
      <c r="AT17" s="116"/>
      <c r="AU17" s="11"/>
      <c r="AV17" s="11"/>
    </row>
    <row r="18" s="13" customFormat="1" ht="18" customHeight="1" spans="1:46">
      <c r="A18" s="41"/>
      <c r="B18" s="42" t="s">
        <v>187</v>
      </c>
      <c r="C18" s="42"/>
      <c r="D18" s="43"/>
      <c r="E18" s="44"/>
      <c r="F18" s="45"/>
      <c r="G18" s="46"/>
      <c r="H18" s="45"/>
      <c r="I18" s="72"/>
      <c r="J18" s="73"/>
      <c r="K18" s="72"/>
      <c r="L18" s="74">
        <f>SUM(L4:L16)</f>
        <v>122707.97</v>
      </c>
      <c r="M18" s="74">
        <f>SUM(M4:M16)</f>
        <v>4763.37</v>
      </c>
      <c r="N18" s="74">
        <f>SUM(N4:N16)</f>
        <v>1331.12</v>
      </c>
      <c r="O18" s="74">
        <f t="shared" ref="O18:AL18" si="10">SUM(O4:O16)</f>
        <v>251.38</v>
      </c>
      <c r="P18" s="74">
        <f t="shared" si="10"/>
        <v>2232.9</v>
      </c>
      <c r="Q18" s="74">
        <f t="shared" si="10"/>
        <v>8578.77</v>
      </c>
      <c r="R18" s="74">
        <f t="shared" si="10"/>
        <v>0</v>
      </c>
      <c r="S18" s="74">
        <f t="shared" si="10"/>
        <v>1288402.04</v>
      </c>
      <c r="T18" s="74">
        <f t="shared" si="10"/>
        <v>690000</v>
      </c>
      <c r="U18" s="74">
        <f t="shared" si="10"/>
        <v>93212.42</v>
      </c>
      <c r="V18" s="74">
        <f t="shared" si="10"/>
        <v>0</v>
      </c>
      <c r="W18" s="74">
        <f t="shared" si="10"/>
        <v>0</v>
      </c>
      <c r="X18" s="74">
        <f t="shared" si="10"/>
        <v>0</v>
      </c>
      <c r="Y18" s="74">
        <f t="shared" si="10"/>
        <v>0</v>
      </c>
      <c r="Z18" s="74">
        <f t="shared" si="10"/>
        <v>0</v>
      </c>
      <c r="AA18" s="74">
        <f t="shared" si="10"/>
        <v>0</v>
      </c>
      <c r="AB18" s="74">
        <f t="shared" si="10"/>
        <v>0</v>
      </c>
      <c r="AC18" s="74">
        <f t="shared" si="10"/>
        <v>0</v>
      </c>
      <c r="AD18" s="74">
        <f t="shared" si="10"/>
        <v>505189.62</v>
      </c>
      <c r="AE18" s="74">
        <f t="shared" si="10"/>
        <v>45413.92</v>
      </c>
      <c r="AF18" s="74">
        <f t="shared" si="10"/>
        <v>39029.86</v>
      </c>
      <c r="AG18" s="74">
        <f t="shared" si="10"/>
        <v>6384.06</v>
      </c>
      <c r="AH18" s="74">
        <f t="shared" si="10"/>
        <v>107745.14</v>
      </c>
      <c r="AI18" s="74">
        <f t="shared" si="10"/>
        <v>0</v>
      </c>
      <c r="AJ18" s="74">
        <f t="shared" si="10"/>
        <v>107745.14</v>
      </c>
      <c r="AK18" s="74">
        <f t="shared" si="10"/>
        <v>0</v>
      </c>
      <c r="AL18" s="74">
        <f t="shared" si="10"/>
        <v>114129.2</v>
      </c>
      <c r="AM18" s="110"/>
      <c r="AN18" s="110"/>
      <c r="AO18" s="110"/>
      <c r="AP18" s="110"/>
      <c r="AQ18" s="110"/>
      <c r="AR18" s="45"/>
      <c r="AS18" s="45"/>
      <c r="AT18" s="118"/>
    </row>
    <row r="21" spans="30:30">
      <c r="AD21" s="101"/>
    </row>
    <row r="22" ht="18.75" customHeight="1" spans="2:30">
      <c r="B22" s="47" t="s">
        <v>131</v>
      </c>
      <c r="C22" s="47" t="s">
        <v>188</v>
      </c>
      <c r="D22" s="47" t="s">
        <v>22</v>
      </c>
      <c r="E22" s="47" t="s">
        <v>23</v>
      </c>
      <c r="AD22" s="10"/>
    </row>
    <row r="23" ht="18.75" customHeight="1" spans="2:5">
      <c r="B23" s="48">
        <f>AJ18</f>
        <v>107745.14</v>
      </c>
      <c r="C23" s="48">
        <f>AG18</f>
        <v>6384.06</v>
      </c>
      <c r="D23" s="48">
        <f>AK18</f>
        <v>0</v>
      </c>
      <c r="E23" s="48">
        <f>B23+C23+D23</f>
        <v>114129.2</v>
      </c>
    </row>
    <row r="24" spans="2:5">
      <c r="B24" s="49"/>
      <c r="C24" s="49"/>
      <c r="D24" s="49"/>
      <c r="E24" s="49"/>
    </row>
    <row r="25" s="14" customFormat="1" spans="1:35">
      <c r="A25" s="51" t="s">
        <v>189</v>
      </c>
      <c r="B25" s="52" t="s">
        <v>190</v>
      </c>
      <c r="C25" s="50"/>
      <c r="D25" s="50"/>
      <c r="E25" s="50"/>
      <c r="G25" s="53"/>
      <c r="J25" s="75"/>
      <c r="M25" s="76"/>
      <c r="AI25" s="112"/>
    </row>
    <row r="26" s="14" customFormat="1" spans="1:35">
      <c r="A26" s="54"/>
      <c r="B26" s="55" t="s">
        <v>191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2"/>
      <c r="B27" s="55" t="s">
        <v>192</v>
      </c>
      <c r="C27" s="56"/>
      <c r="D27" s="56"/>
      <c r="E27" s="56"/>
      <c r="F27" s="56"/>
      <c r="G27" s="56"/>
      <c r="H27" s="56"/>
      <c r="I27" s="56"/>
      <c r="J27" s="77"/>
      <c r="K27" s="56"/>
      <c r="L27" s="56"/>
      <c r="M27" s="78"/>
      <c r="N27" s="56"/>
      <c r="O27" s="56"/>
      <c r="P27" s="56"/>
      <c r="AI27" s="112"/>
    </row>
    <row r="28" s="14" customFormat="1" customHeight="1" spans="1:35">
      <c r="A28" s="55"/>
      <c r="B28" s="55" t="s">
        <v>193</v>
      </c>
      <c r="C28" s="57"/>
      <c r="D28" s="57"/>
      <c r="E28" s="57"/>
      <c r="F28" s="57"/>
      <c r="G28" s="57"/>
      <c r="H28" s="57"/>
      <c r="I28" s="79"/>
      <c r="J28" s="80"/>
      <c r="K28" s="79"/>
      <c r="L28" s="79"/>
      <c r="M28" s="81"/>
      <c r="N28" s="79"/>
      <c r="O28" s="79"/>
      <c r="P28" s="79"/>
      <c r="AI28" s="112"/>
    </row>
    <row r="29" s="14" customFormat="1" customHeight="1" spans="1:35">
      <c r="A29" s="55"/>
      <c r="B29" s="55" t="s">
        <v>194</v>
      </c>
      <c r="C29" s="57"/>
      <c r="D29" s="57"/>
      <c r="E29" s="57"/>
      <c r="F29" s="57"/>
      <c r="G29" s="57"/>
      <c r="H29" s="57"/>
      <c r="I29" s="57"/>
      <c r="J29" s="82"/>
      <c r="K29" s="57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195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2" ht="11.25" customHeight="1" spans="2:2">
      <c r="B32" s="58" t="s">
        <v>196</v>
      </c>
    </row>
    <row r="33" spans="2:2">
      <c r="B33" s="59" t="s">
        <v>197</v>
      </c>
    </row>
    <row r="34" spans="2:2">
      <c r="B34" s="59" t="s">
        <v>198</v>
      </c>
    </row>
  </sheetData>
  <autoFilter xmlns:etc="http://www.wps.cn/officeDocument/2017/etCustomData" ref="A3:AT18" etc:filterBottomFollowUsedRange="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4" priority="2" stopIfTrue="1"/>
  </conditionalFormatting>
  <conditionalFormatting sqref="B25:B29">
    <cfRule type="duplicateValues" dxfId="4" priority="3" stopIfTrue="1"/>
  </conditionalFormatting>
  <conditionalFormatting sqref="B33:B34">
    <cfRule type="duplicateValues" dxfId="4" priority="1" stopIfTrue="1"/>
  </conditionalFormatting>
  <conditionalFormatting sqref="C22:C24">
    <cfRule type="duplicateValues" dxfId="4" priority="4" stopIfTrue="1"/>
    <cfRule type="expression" dxfId="5" priority="5" stopIfTrue="1">
      <formula>AND(COUNTIF($B$18:$B$65454,C22)+COUNTIF($B$1:$B$3,C22)&gt;1,NOT(ISBLANK(C22)))</formula>
    </cfRule>
    <cfRule type="expression" dxfId="5" priority="6" stopIfTrue="1">
      <formula>AND(COUNTIF($B$29:$B$65405,C22)+COUNTIF($B$1:$B$28,C22)&gt;1,NOT(ISBLANK(C22)))</formula>
    </cfRule>
    <cfRule type="expression" dxfId="5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2024-11-06T02:47:36Z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2052-12.1.0.18608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