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225" tabRatio="609" firstSheet="1" activeTab="1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'（居民）工资表-9月'!$A$3:$AT$18</definedName>
    <definedName name="_xlnm._FilterDatabase" localSheetId="7" hidden="1">'（居民）工资表-10月'!$A$3:$AT$18</definedName>
    <definedName name="_xlnm._FilterDatabase" localSheetId="8" hidden="1">'（居民）工资表-11月'!$A$3:$AT$21</definedName>
    <definedName name="_xlnm._FilterDatabase" localSheetId="10" hidden="1">'（居民）工资表-12月'!$A$3:$AT$21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'（居民）工资表-10月'!$A$1:$AT$24</definedName>
    <definedName name="_xlnm.Print_Area" localSheetId="8">'（居民）工资表-11月'!$A$1:$AT$27</definedName>
    <definedName name="_xlnm.Print_Area" localSheetId="10">'（居民）工资表-12月'!$A$1:$AT$27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<sst xmlns="http://schemas.openxmlformats.org/spreadsheetml/2006/main" count="2153" uniqueCount="254">
  <si>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</si>
  <si>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</si>
  <si>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</si>
  <si>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</si>
  <si>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</si>
  <si>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</si>
  <si>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</si>
  <si>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</si>
  <si>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</si>
  <si>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</si>
  <si>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</si>
  <si>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</si>
  <si>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</si>
  <si>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</si>
  <si>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</si>
  <si>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</si>
  <si>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</si>
  <si>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</si>
  <si>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</si>
  <si>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</si>
  <si>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</si>
  <si>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</si>
  <si>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</si>
  <si>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</si>
  <si>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</si>
  <si>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</si>
  <si>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</si>
  <si>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</si>
  <si>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</si>
  <si>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</si>
  <si>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</si>
  <si>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</si>
  <si>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</si>
  <si>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</si>
  <si>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</si>
  <si>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</si>
  <si>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</si>
  <si>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</si>
  <si>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</si>
  <si>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</si>
  <si>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</si>
  <si>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</si>
  <si>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</si>
  <si>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</si>
  <si>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</si>
  <si>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</si>
  <si>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</si>
  <si>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</si>
  <si>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</si>
  <si>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</si>
  <si>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</si>
  <si>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</si>
  <si>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</si>
  <si>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</si>
  <si>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</si>
  <si>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</si>
  <si>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</si>
  <si>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</si>
  <si>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</si>
  <si>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</si>
  <si>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</si>
  <si>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</si>
  <si>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</si>
  <si>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</si>
  <si>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</si>
  <si>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</si>
  <si>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</si>
  <si>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</si>
  <si>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</si>
  <si>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根据贵公司与我公司所签订的服务协议，请贵公司在2024年10月8日之前按照下列表格内容支付相关款项.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</si>
  <si>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</si>
  <si>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</si>
  <si>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</si>
  <si>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</si>
  <si>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</si>
  <si>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</si>
  <si>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</si>
  <si>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</si>
  <si>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</si>
  <si>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</si>
  <si>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</si>
  <si>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</si>
  <si>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</si>
  <si>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</si>
  <si>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</si>
  <si>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</si>
  <si>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</si>
  <si>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</si>
  <si>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</si>
  <si>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</si>
  <si>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</si>
  <si>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</si>
  <si>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</si>
  <si>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</si>
  <si>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</si>
  <si>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</si>
  <si>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</si>
  <si>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</si>
  <si>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</si>
  <si>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</si>
  <si>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</si>
  <si>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</si>
  <si>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</si>
  <si>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</si>
  <si>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</si>
  <si>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</si>
  <si>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</si>
  <si>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</si>
  <si>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</si>
  <si>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</si>
  <si>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</si>
  <si>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</si>
  <si>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</si>
  <si>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</si>
  <si>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</si>
  <si>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</si>
  <si>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</si>
  <si>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</si>
  <si>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</si>
  <si>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</si>
  <si>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</si>
  <si>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</si>
  <si>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</si>
  <si>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</si>
  <si>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</si>
  <si>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</si>
  <si>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</si>
  <si>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</si>
  <si>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</si>
  <si>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</si>
  <si>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</si>
  <si>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</si>
  <si>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</si>
  <si>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</si>
  <si>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</si>
  <si>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</si>
  <si>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</si>
  <si>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</si>
  <si>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</si>
  <si>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</si>
  <si>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</si>
  <si>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</si>
  <si>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</si>
  <si>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</si>
  <si>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</si>
  <si>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</si>
  <si>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</si>
  <si>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</si>
  <si>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</si>
  <si>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</si>
  <si>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</si>
  <si>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</si>
  <si>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</si>
  <si>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</si>
  <si>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</si>
  <si>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</si>
  <si>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</si>
  <si>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</si>
  <si>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</si>
  <si>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</si>
  <si>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</si>
  <si>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</si>
  <si>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</si>
  <si>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</si>
  <si>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</si>
  <si>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</si>
  <si>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</si>
  <si>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</si>
  <si>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</si>
  <si>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</si>
  <si>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</si>
  <si>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</si>
  <si>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</si>
  <si>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</si>
  <si>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</si>
  <si>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</si>
  <si>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</si>
  <si>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</si>
  <si>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</si>
  <si>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</si>
  <si>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</si>
  <si>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</si>
  <si>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</si>
  <si>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</si>
  <si>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</si>
  <si>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</si>
  <si>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</si>
  <si>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</si>
  <si>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</si>
  <si>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</si>
  <si>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</si>
  <si>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</si>
  <si>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</si>
  <si>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</si>
  <si>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</si>
  <si>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</si>
  <si>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</si>
  <si>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</si>
  <si>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</si>
  <si>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</si>
  <si>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</si>
  <si>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</si>
  <si>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</si>
  <si>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</si>
  <si>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</si>
  <si>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</si>
  <si>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</si>
  <si>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</si>
  <si>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谭江月</t>
  </si>
  <si>
    <t>500228199607193387</t>
  </si>
  <si>
    <t>18297976577</t>
  </si>
  <si>
    <t>杨文</t>
  </si>
  <si>
    <t>430902198512287016</t>
  </si>
  <si>
    <t>周兆平</t>
  </si>
  <si>
    <t>420625199902250033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</si>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</sst>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B6" sqref="B6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112505.87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112505.87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112505.87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'（居民）工资表-10月'!E23</f>
        <v>112505.87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112505.87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112505.87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112505.87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4216.9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-16.9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431.15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40700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4635.68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-5935.68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18.8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210420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6639.85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158280.15</v>
      </c>
      <c r="AE6" s="96">
        <f>ROUND(MAX((AD6)*{0.03;0.1;0.2;0.25;0.3;0.35;0.45}-{0;2520;16920;31920;52920;85920;181920},0),2)</f>
        <v>14736.03</v>
      </c>
      <c r="AF6" s="97">
        <f>IFERROR(VLOOKUP(E:E,'（居民）工资表-6月'!E:AF,28,0)+VLOOKUP(E:E,'（居民）工资表-6月'!E:AG,29,0),0)</f>
        <v>12013.74</v>
      </c>
      <c r="AG6" s="97">
        <f>IF((AE6-AF6)&lt;0,0,AE6-AF6)</f>
        <v>2722.29</v>
      </c>
      <c r="AH6" s="107">
        <f>ROUND(IF((L6-Q6-AG6)&lt;0,0,(L6-Q6-AG6)),2)</f>
        <v>26389.16</v>
      </c>
      <c r="AI6" s="108"/>
      <c r="AJ6" s="107">
        <f>AH6+AI6</f>
        <v>26389.16</v>
      </c>
      <c r="AK6" s="109"/>
      <c r="AL6" s="107">
        <f>AJ6+AG6+AK6</f>
        <v>29111.45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61000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3693.97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17306.03</v>
      </c>
      <c r="AE7" s="96">
        <f>ROUND(MAX((AD7)*{0.03;0.1;0.2;0.25;0.3;0.35;0.45}-{0;2520;16920;31920;52920;85920;181920},0),2)</f>
        <v>519.18</v>
      </c>
      <c r="AF7" s="97">
        <f>IFERROR(VLOOKUP(E:E,'（居民）工资表-6月'!E:AF,28,0)+VLOOKUP(E:E,'（居民）工资表-6月'!E:AG,29,0),0)</f>
        <v>505.01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75500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5404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35096</v>
      </c>
      <c r="AE8" s="96">
        <f>ROUND(MAX((AD8)*{0.03;0.1;0.2;0.25;0.3;0.35;0.45}-{0;2520;16920;31920;52920;85920;181920},0),2)</f>
        <v>1052.88</v>
      </c>
      <c r="AF8" s="97">
        <f>IFERROR(VLOOKUP(E:E,'（居民）工资表-6月'!E:AF,28,0)+VLOOKUP(E:E,'（居民）工资表-6月'!E:AG,29,0),0)</f>
        <v>851.04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3711.09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6788.91</v>
      </c>
      <c r="AE9" s="96">
        <f>ROUND(MAX((AD9)*{0.03;0.1;0.2;0.25;0.3;0.35;0.45}-{0;2520;16920;31920;52920;85920;181920},0),2)</f>
        <v>203.67</v>
      </c>
      <c r="AF9" s="97">
        <f>IFERROR(VLOOKUP(E:E,'（居民）工资表-6月'!E:AF,28,0)+VLOOKUP(E:E,'（居民）工资表-6月'!E:AG,29,0),0)</f>
        <v>174.47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31680.88</v>
      </c>
      <c r="T10" s="91">
        <f>5000+IFERROR(VLOOKUP($E:$E,'（居民）工资表-6月'!$E:$T,16,0),0)</f>
        <v>35000</v>
      </c>
      <c r="U10" s="91">
        <f>Q10+IFERROR(VLOOKUP($E:$E,'（居民）工资表-6月'!$E:$U,17,0),0)</f>
        <v>4409.02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-7728.14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60500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3913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21587</v>
      </c>
      <c r="AE11" s="96">
        <f>ROUND(MAX((AD11)*{0.03;0.1;0.2;0.25;0.3;0.35;0.45}-{0;2520;16920;31920;52920;85920;181920},0),2)</f>
        <v>647.61</v>
      </c>
      <c r="AF11" s="97">
        <f>IFERROR(VLOOKUP(E:E,'（居民）工资表-6月'!E:AF,28,0)+VLOOKUP(E:E,'（居民）工资表-6月'!E:AG,29,0),0)</f>
        <v>529.38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170</v>
      </c>
      <c r="AN11" s="12" t="s">
        <v>171</v>
      </c>
    </row>
    <row r="12" s="12" customFormat="1" ht="18" customHeight="1" spans="1:40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50000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5404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9596</v>
      </c>
      <c r="AE12" s="96">
        <f>ROUND(MAX((AD12)*{0.03;0.1;0.2;0.25;0.3;0.35;0.45}-{0;2520;16920;31920;52920;85920;181920},0),2)</f>
        <v>287.88</v>
      </c>
      <c r="AF12" s="97">
        <f>IFERROR(VLOOKUP(E:E,'（居民）工资表-6月'!E:AF,28,0)+VLOOKUP(E:E,'（居民）工资表-6月'!E:AG,29,0),0)</f>
        <v>221.04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51608.7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5404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11204.7</v>
      </c>
      <c r="AE13" s="96">
        <f>ROUND(MAX((AD13)*{0.03;0.1;0.2;0.25;0.3;0.35;0.45}-{0;2520;16920;31920;52920;85920;181920},0),2)</f>
        <v>336.14</v>
      </c>
      <c r="AF13" s="97">
        <f>IFERROR(VLOOKUP(E:E,'（居民）工资表-6月'!E:AF,28,0)+VLOOKUP(E:E,'（居民）工资表-6月'!E:AG,29,0),0)</f>
        <v>239.3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49600</v>
      </c>
      <c r="T14" s="91">
        <f>5000+IFERROR(VLOOKUP($E:$E,'（居民）工资表-6月'!$E:$T,16,0),0)</f>
        <v>35000</v>
      </c>
      <c r="U14" s="91">
        <f>Q14+IFERROR(VLOOKUP($E:$E,'（居民）工资表-6月'!$E:$U,17,0),0)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10687</v>
      </c>
      <c r="AE14" s="96">
        <f>ROUND(MAX((AD14)*{0.03;0.1;0.2;0.25;0.3;0.35;0.45}-{0;2520;16920;31920;52920;85920;181920},0),2)</f>
        <v>320.61</v>
      </c>
      <c r="AF14" s="97">
        <f>IFERROR(VLOOKUP(E:E,'（居民）工资表-6月'!E:AF,28,0)+VLOOKUP(E:E,'（居民）工资表-6月'!E:AG,29,0),0)</f>
        <v>259.38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43747.38</v>
      </c>
      <c r="T15" s="91">
        <f>5000+IFERROR(VLOOKUP($E:$E,'（居民）工资表-6月'!$E:$T,16,0),0)</f>
        <v>35000</v>
      </c>
      <c r="U15" s="91">
        <f>Q15+IFERROR(VLOOKUP($E:$E,'（居民）工资表-6月'!$E:$U,17,0),0)</f>
        <v>3693.97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5053.41</v>
      </c>
      <c r="AE15" s="96">
        <f>ROUND(MAX((AD15)*{0.03;0.1;0.2;0.25;0.3;0.35;0.45}-{0;2520;16920;31920;52920;85920;181920},0),2)</f>
        <v>151.6</v>
      </c>
      <c r="AF15" s="97">
        <f>IFERROR(VLOOKUP(E:E,'（居民）工资表-6月'!E:AF,28,0)+VLOOKUP(E:E,'（居民）工资表-6月'!E:AG,29,0),0)</f>
        <v>118.66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42000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3325</v>
      </c>
      <c r="AE16" s="96">
        <f>ROUND(MAX((AD16)*{0.03;0.1;0.2;0.25;0.3;0.35;0.45}-{0;2520;16920;31920;52920;85920;181920},0),2)</f>
        <v>99.75</v>
      </c>
      <c r="AF16" s="97">
        <f>IFERROR(VLOOKUP(E:E,'（居民）工资表-6月'!E:AF,28,0)+VLOOKUP(E:E,'（居民）工资表-6月'!E:AG,29,0),0)</f>
        <v>85.5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57556.93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4221.68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23335.25</v>
      </c>
      <c r="AE17" s="96">
        <f>ROUND(MAX((AD17)*{0.03;0.1;0.2;0.25;0.3;0.35;0.45}-{0;2520;16920;31920;52920;85920;181920},0),2)</f>
        <v>700.06</v>
      </c>
      <c r="AF17" s="97">
        <f>IFERROR(VLOOKUP(E:E,'（居民）工资表-6月'!E:AF,28,0)+VLOOKUP(E:E,'（居民）工资表-6月'!E:AG,29,0),0)</f>
        <v>565.89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162</v>
      </c>
      <c r="AN17" s="12" t="s">
        <v>51</v>
      </c>
    </row>
    <row r="18" s="12" customFormat="1" ht="21" customHeight="1" spans="1:40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157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896564.19</v>
      </c>
      <c r="T20" s="74">
        <f t="shared" si="7"/>
        <v>505000</v>
      </c>
      <c r="U20" s="74">
        <f t="shared" si="7"/>
        <v>65698.01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286566.18</v>
      </c>
      <c r="AE20" s="74">
        <f t="shared" si="7"/>
        <v>19055.41</v>
      </c>
      <c r="AF20" s="74">
        <f t="shared" si="7"/>
        <v>16013.36</v>
      </c>
      <c r="AG20" s="74">
        <f t="shared" si="7"/>
        <v>3492</v>
      </c>
      <c r="AH20" s="74">
        <f t="shared" si="7"/>
        <v>129032.26</v>
      </c>
      <c r="AI20" s="74">
        <f t="shared" si="7"/>
        <v>0</v>
      </c>
      <c r="AJ20" s="74">
        <f t="shared" si="7"/>
        <v>129032.26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129032.26</v>
      </c>
      <c r="C25" s="48">
        <f>AG20</f>
        <v>3492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3039.5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11960.5</v>
      </c>
      <c r="AE4" s="96">
        <f>ROUND(MAX((AD4)*{0.03;0.1;0.2;0.25;0.3;0.35;0.45}-{0;2520;16920;31920;52920;85920;181920},0),2)</f>
        <v>358.82</v>
      </c>
      <c r="AF4" s="97">
        <f>IFERROR(VLOOKUP(E:E,'（居民）工资表-4月'!E:AF,28,0)+VLOOKUP(E:E,'（居民）工资表-4月'!E:AG,29,0),0)</f>
        <v>286.48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3311.2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188.8</v>
      </c>
      <c r="AE5" s="96">
        <f>ROUND(MAX((AD5)*{0.03;0.1;0.2;0.25;0.3;0.35;0.45}-{0;2520;16920;31920;52920;85920;181920},0),2)</f>
        <v>5.66</v>
      </c>
      <c r="AF5" s="97">
        <f>IFERROR(VLOOKUP(E:E,'（居民）工资表-4月'!E:AF,28,0)+VLOOKUP(E:E,'（居民）工资表-4月'!E:AG,29,0),0)</f>
        <v>4.53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4742.75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120557.25</v>
      </c>
      <c r="AE6" s="96">
        <f>ROUND(MAX((AD6)*{0.03;0.1;0.2;0.25;0.3;0.35;0.45}-{0;2520;16920;31920;52920;85920;181920},0),2)</f>
        <v>9535.73</v>
      </c>
      <c r="AF6" s="97">
        <f>IFERROR(VLOOKUP(E:E,'（居民）工资表-4月'!E:AF,28,0)+VLOOKUP(E:E,'（居民）工资表-4月'!E:AG,29,0),0)</f>
        <v>7124.58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41000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2638.55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13361.45</v>
      </c>
      <c r="AE7" s="96">
        <f>ROUND(MAX((AD7)*{0.03;0.1;0.2;0.25;0.3;0.35;0.45}-{0;2520;16920;31920;52920;85920;181920},0),2)</f>
        <v>400.84</v>
      </c>
      <c r="AF7" s="97">
        <f>IFERROR(VLOOKUP(E:E,'（居民）工资表-4月'!E:AF,28,0)+VLOOKUP(E:E,'（居民）工资表-4月'!E:AG,29,0),0)</f>
        <v>296.67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3860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23640</v>
      </c>
      <c r="AE8" s="96">
        <f>ROUND(MAX((AD8)*{0.03;0.1;0.2;0.25;0.3;0.35;0.45}-{0;2520;16920;31920;52920;85920;181920},0),2)</f>
        <v>709.2</v>
      </c>
      <c r="AF8" s="97">
        <f>IFERROR(VLOOKUP(E:E,'（居民）工资表-4月'!E:AF,28,0)+VLOOKUP(E:E,'（居民）工资表-4月'!E:AG,29,0),0)</f>
        <v>567.36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2657.49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4842.51</v>
      </c>
      <c r="AE9" s="96">
        <f>ROUND(MAX((AD9)*{0.03;0.1;0.2;0.25;0.3;0.35;0.45}-{0;2520;16920;31920;52920;85920;181920},0),2)</f>
        <v>145.28</v>
      </c>
      <c r="AF9" s="97">
        <f>IFERROR(VLOOKUP(E:E,'（居民）工资表-4月'!E:AF,28,0)+VLOOKUP(E:E,'（居民）工资表-4月'!E:AG,29,0),0)</f>
        <v>116.08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22629.2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3149.3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-5520.1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42500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2795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14705</v>
      </c>
      <c r="AE11" s="96">
        <f>ROUND(MAX((AD11)*{0.03;0.1;0.2;0.25;0.3;0.35;0.45}-{0;2520;16920;31920;52920;85920;181920},0),2)</f>
        <v>441.15</v>
      </c>
      <c r="AF11" s="97">
        <f>IFERROR(VLOOKUP(E:E,'（居民）工资表-4月'!E:AF,28,0)+VLOOKUP(E:E,'（居民）工资表-4月'!E:AG,29,0),0)</f>
        <v>352.92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35000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3860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6140</v>
      </c>
      <c r="AE12" s="96">
        <f>ROUND(MAX((AD12)*{0.03;0.1;0.2;0.25;0.3;0.35;0.45}-{0;2520;16920;31920;52920;85920;181920},0),2)</f>
        <v>184.2</v>
      </c>
      <c r="AF12" s="97">
        <f>IFERROR(VLOOKUP(E:E,'（居民）工资表-4月'!E:AF,28,0)+VLOOKUP(E:E,'（居民）工资表-4月'!E:AG,29,0),0)</f>
        <v>147.36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35608.7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3860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6748.7</v>
      </c>
      <c r="AE13" s="96">
        <f>ROUND(MAX((AD13)*{0.03;0.1;0.2;0.25;0.3;0.35;0.45}-{0;2520;16920;31920;52920;85920;181920},0),2)</f>
        <v>202.46</v>
      </c>
      <c r="AF13" s="97">
        <f>IFERROR(VLOOKUP(E:E,'（居民）工资表-4月'!E:AF,28,0)+VLOOKUP(E:E,'（居民）工资表-4月'!E:AG,29,0),0)</f>
        <v>165.62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35000</v>
      </c>
      <c r="T14" s="91">
        <f>5000+IFERROR(VLOOKUP($E:$E,'（居民）工资表-4月'!$E:$T,16,0),0)</f>
        <v>25000</v>
      </c>
      <c r="U14" s="91">
        <f>Q14+IFERROR(VLOOKUP($E:$E,'（居民）工资表-4月'!$E:$U,17,0),0)</f>
        <v>2795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IFERROR(VLOOKUP(E:E,'（居民）工资表-4月'!E:AF,28,0)+VLOOKUP(E:E,'（居民）工资表-4月'!E:AG,29,0),0)</f>
        <v>172.92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31061.74</v>
      </c>
      <c r="T15" s="91">
        <f>5000+IFERROR(VLOOKUP($E:$E,'（居民）工资表-4月'!$E:$T,16,0),0)</f>
        <v>25000</v>
      </c>
      <c r="U15" s="91">
        <f>Q15+IFERROR(VLOOKUP($E:$E,'（居民）工资表-4月'!$E:$U,17,0),0)</f>
        <v>2638.55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IFERROR(VLOOKUP(E:E,'（居民）工资表-4月'!E:AF,28,0)+VLOOKUP(E:E,'（居民）工资表-4月'!E:AG,29,0),0)</f>
        <v>86.73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2375</v>
      </c>
      <c r="AE16" s="96">
        <f>ROUND(MAX((AD16)*{0.03;0.1;0.2;0.25;0.3;0.35;0.45}-{0;2520;16920;31920;52920;85920;181920},0),2)</f>
        <v>71.25</v>
      </c>
      <c r="AF16" s="97">
        <f>IFERROR(VLOOKUP(E:E,'（居民）工资表-4月'!E:AF,28,0)+VLOOKUP(E:E,'（居民）工资表-4月'!E:AG,29,0),0)</f>
        <v>57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37556.93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3166.26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14390.67</v>
      </c>
      <c r="AE17" s="96">
        <f>ROUND(MAX((AD17)*{0.03;0.1;0.2;0.25;0.3;0.35;0.45}-{0;2520;16920;31920;52920;85920;181920},0),2)</f>
        <v>431.72</v>
      </c>
      <c r="AF17" s="97">
        <f>IFERROR(VLOOKUP(E:E,'（居民）工资表-4月'!E:AF,28,0)+VLOOKUP(E:E,'（居民）工资表-4月'!E:AG,29,0),0)</f>
        <v>297.55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622263.24</v>
      </c>
      <c r="T20" s="74">
        <f t="shared" si="19"/>
        <v>355000</v>
      </c>
      <c r="U20" s="74">
        <f t="shared" si="19"/>
        <v>46796.31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220466.93</v>
      </c>
      <c r="AE20" s="74">
        <f t="shared" si="19"/>
        <v>12805.16</v>
      </c>
      <c r="AF20" s="74">
        <f t="shared" si="19"/>
        <v>9675.8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3628.2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14371.8</v>
      </c>
      <c r="AE4" s="96">
        <f>ROUND(MAX((AD4)*{0.03;0.1;0.2;0.25;0.3;0.35;0.45}-{0;2520;16920;31920;52920;85920;181920},0),2)</f>
        <v>431.15</v>
      </c>
      <c r="AF4" s="97">
        <f>IFERROR(VLOOKUP(E:E,'（居民）工资表-5月'!E:AF,28,0)+VLOOKUP(E:E,'（居民）工资表-5月'!E:AG,29,0),0)</f>
        <v>358.82</v>
      </c>
      <c r="AG4" s="97">
        <f>IF((AE4-AF4)&lt;0,0,AE4-AF4)</f>
        <v>72.3299999999999</v>
      </c>
      <c r="AH4" s="107">
        <f>ROUND(IF((L4-Q4-AG4)&lt;0,0,(L4-Q4-AG4)),2)</f>
        <v>7338.97</v>
      </c>
      <c r="AI4" s="108"/>
      <c r="AJ4" s="107">
        <f>AH4+AI4</f>
        <v>7338.97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34600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3973.44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626.56</v>
      </c>
      <c r="AE5" s="96">
        <f>ROUND(MAX((AD5)*{0.03;0.1;0.2;0.25;0.3;0.35;0.45}-{0;2520;16920;31920;52920;85920;181920},0),2)</f>
        <v>18.8</v>
      </c>
      <c r="AF5" s="97">
        <f>IFERROR(VLOOKUP(E:E,'（居民）工资表-5月'!E:AF,28,0)+VLOOKUP(E:E,'（居民）工资表-5月'!E:AG,29,0),0)</f>
        <v>5.66</v>
      </c>
      <c r="AG5" s="97">
        <f>IF((AE5-AF5)&lt;0,0,AE5-AF5)</f>
        <v>13.14</v>
      </c>
      <c r="AH5" s="107">
        <f>ROUND(IF((L5-Q5-AG5)&lt;0,0,(L5-Q5-AG5)),2)</f>
        <v>5424.62</v>
      </c>
      <c r="AI5" s="108"/>
      <c r="AJ5" s="107">
        <f>AH5+AI5</f>
        <v>5424.62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5691.3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144668.7</v>
      </c>
      <c r="AE6" s="96">
        <f>ROUND(MAX((AD6)*{0.03;0.1;0.2;0.25;0.3;0.35;0.45}-{0;2520;16920;31920;52920;85920;181920},0),2)</f>
        <v>12013.74</v>
      </c>
      <c r="AF6" s="97">
        <f>IFERROR(VLOOKUP(E:E,'（居民）工资表-5月'!E:AF,28,0)+VLOOKUP(E:E,'（居民）工资表-5月'!E:AG,29,0),0)</f>
        <v>9535.73</v>
      </c>
      <c r="AG6" s="97">
        <f>IF((AE6-AF6)&lt;0,0,AE6-AF6)</f>
        <v>2478.01</v>
      </c>
      <c r="AH6" s="107">
        <f>ROUND(IF((L6-Q6-AG6)&lt;0,0,(L6-Q6-AG6)),2)</f>
        <v>26633.44</v>
      </c>
      <c r="AI6" s="108"/>
      <c r="AJ6" s="107">
        <f>AH6+AI6</f>
        <v>26633.44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50000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3166.26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16833.74</v>
      </c>
      <c r="AE7" s="96">
        <f>ROUND(MAX((AD7)*{0.03;0.1;0.2;0.25;0.3;0.35;0.45}-{0;2520;16920;31920;52920;85920;181920},0),2)</f>
        <v>505.01</v>
      </c>
      <c r="AF7" s="97">
        <f>IFERROR(VLOOKUP(E:E,'（居民）工资表-5月'!E:AF,28,0)+VLOOKUP(E:E,'（居民）工资表-5月'!E:AG,29,0),0)</f>
        <v>400.84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63000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4632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28368</v>
      </c>
      <c r="AE8" s="96">
        <f>ROUND(MAX((AD8)*{0.03;0.1;0.2;0.25;0.3;0.35;0.45}-{0;2520;16920;31920;52920;85920;181920},0),2)</f>
        <v>851.04</v>
      </c>
      <c r="AF8" s="97">
        <f>IFERROR(VLOOKUP(E:E,'（居民）工资表-5月'!E:AF,28,0)+VLOOKUP(E:E,'（居民）工资表-5月'!E:AG,29,0),0)</f>
        <v>709.2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3184.29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5815.71</v>
      </c>
      <c r="AE9" s="96">
        <f>ROUND(MAX((AD9)*{0.03;0.1;0.2;0.25;0.3;0.35;0.45}-{0;2520;16920;31920;52920;85920;181920},0),2)</f>
        <v>174.47</v>
      </c>
      <c r="AF9" s="97">
        <f>IFERROR(VLOOKUP(E:E,'（居民）工资表-5月'!E:AF,28,0)+VLOOKUP(E:E,'（居民）工资表-5月'!E:AG,29,0),0)</f>
        <v>145.28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27155.04</v>
      </c>
      <c r="T10" s="91">
        <f>5000+IFERROR(VLOOKUP($E:$E,'（居民）工资表-5月'!$E:$T,16,0),0)</f>
        <v>30000</v>
      </c>
      <c r="U10" s="91">
        <f>Q10+IFERROR(VLOOKUP($E:$E,'（居民）工资表-5月'!$E:$U,17,0),0)</f>
        <v>3779.16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-6624.12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51000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3354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17646</v>
      </c>
      <c r="AE11" s="96">
        <f>ROUND(MAX((AD11)*{0.03;0.1;0.2;0.25;0.3;0.35;0.45}-{0;2520;16920;31920;52920;85920;181920},0),2)</f>
        <v>529.38</v>
      </c>
      <c r="AF11" s="97">
        <f>IFERROR(VLOOKUP(E:E,'（居民）工资表-5月'!E:AF,28,0)+VLOOKUP(E:E,'（居民）工资表-5月'!E:AG,29,0),0)</f>
        <v>441.15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42000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4632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7368</v>
      </c>
      <c r="AE12" s="96">
        <f>ROUND(MAX((AD12)*{0.03;0.1;0.2;0.25;0.3;0.35;0.45}-{0;2520;16920;31920;52920;85920;181920},0),2)</f>
        <v>221.04</v>
      </c>
      <c r="AF12" s="97">
        <f>IFERROR(VLOOKUP(E:E,'（居民）工资表-5月'!E:AF,28,0)+VLOOKUP(E:E,'（居民）工资表-5月'!E:AG,29,0),0)</f>
        <v>184.2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42608.7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4632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7976.7</v>
      </c>
      <c r="AE13" s="96">
        <f>ROUND(MAX((AD13)*{0.03;0.1;0.2;0.25;0.3;0.35;0.45}-{0;2520;16920;31920;52920;85920;181920},0),2)</f>
        <v>239.3</v>
      </c>
      <c r="AF13" s="97">
        <f>IFERROR(VLOOKUP(E:E,'（居民）工资表-5月'!E:AF,28,0)+VLOOKUP(E:E,'（居民）工资表-5月'!E:AG,29,0),0)</f>
        <v>202.46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42000</v>
      </c>
      <c r="T14" s="91">
        <f>5000+IFERROR(VLOOKUP($E:$E,'（居民）工资表-5月'!$E:$T,16,0),0)</f>
        <v>30000</v>
      </c>
      <c r="U14" s="91">
        <f>Q14+IFERROR(VLOOKUP($E:$E,'（居民）工资表-5月'!$E:$U,17,0),0)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8646</v>
      </c>
      <c r="AE14" s="96">
        <f>ROUND(MAX((AD14)*{0.03;0.1;0.2;0.25;0.3;0.35;0.45}-{0;2520;16920;31920;52920;85920;181920},0),2)</f>
        <v>259.38</v>
      </c>
      <c r="AF14" s="97">
        <f>IFERROR(VLOOKUP(E:E,'（居民）工资表-5月'!E:AF,28,0)+VLOOKUP(E:E,'（居民）工资表-5月'!E:AG,29,0),0)</f>
        <v>216.15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37121.74</v>
      </c>
      <c r="T15" s="91">
        <f>5000+IFERROR(VLOOKUP($E:$E,'（居民）工资表-5月'!$E:$T,16,0),0)</f>
        <v>30000</v>
      </c>
      <c r="U15" s="91">
        <f>Q15+IFERROR(VLOOKUP($E:$E,'（居民）工资表-5月'!$E:$U,17,0),0)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3955.48</v>
      </c>
      <c r="AE15" s="96">
        <f>ROUND(MAX((AD15)*{0.03;0.1;0.2;0.25;0.3;0.35;0.45}-{0;2520;16920;31920;52920;85920;181920},0),2)</f>
        <v>118.66</v>
      </c>
      <c r="AF15" s="97">
        <f>IFERROR(VLOOKUP(E:E,'（居民）工资表-5月'!E:AF,28,0)+VLOOKUP(E:E,'（居民）工资表-5月'!E:AG,29,0),0)</f>
        <v>102.7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36000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3150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2850</v>
      </c>
      <c r="AE16" s="96">
        <f>ROUND(MAX((AD16)*{0.03;0.1;0.2;0.25;0.3;0.35;0.45}-{0;2520;16920;31920;52920;85920;181920},0),2)</f>
        <v>85.5</v>
      </c>
      <c r="AF16" s="97">
        <f>IFERROR(VLOOKUP(E:E,'（居民）工资表-5月'!E:AF,28,0)+VLOOKUP(E:E,'（居民）工资表-5月'!E:AG,29,0),0)</f>
        <v>71.25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47556.93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3693.97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18862.96</v>
      </c>
      <c r="AE17" s="96">
        <f>ROUND(MAX((AD17)*{0.03;0.1;0.2;0.25;0.3;0.35;0.45}-{0;2520;16920;31920;52920;85920;181920},0),2)</f>
        <v>565.89</v>
      </c>
      <c r="AF17" s="97">
        <f>IFERROR(VLOOKUP(E:E,'（居民）工资表-5月'!E:AF,28,0)+VLOOKUP(E:E,'（居民）工资表-5月'!E:AG,29,0),0)</f>
        <v>431.72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754589.08</v>
      </c>
      <c r="T20" s="74">
        <f t="shared" si="10"/>
        <v>430000</v>
      </c>
      <c r="U20" s="74">
        <f t="shared" si="10"/>
        <v>56247.16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268341.92</v>
      </c>
      <c r="AE20" s="74">
        <f t="shared" si="10"/>
        <v>16013.36</v>
      </c>
      <c r="AF20" s="74">
        <f t="shared" si="10"/>
        <v>12805.16</v>
      </c>
      <c r="AG20" s="74">
        <f t="shared" si="10"/>
        <v>3208.2</v>
      </c>
      <c r="AH20" s="74">
        <f t="shared" si="10"/>
        <v>119666.79</v>
      </c>
      <c r="AI20" s="126">
        <f t="shared" si="10"/>
        <v>0</v>
      </c>
      <c r="AJ20" s="74">
        <f t="shared" si="10"/>
        <v>119666.79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119666.79</v>
      </c>
      <c r="C25" s="48">
        <f>AG20</f>
        <v>3208.2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4857.39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19142.61</v>
      </c>
      <c r="AE4" s="96">
        <f>ROUND(MAX((AD4)*{0.03;0.1;0.2;0.25;0.3;0.35;0.45}-{0;2520;16920;31920;52920;85920;181920},0),2)</f>
        <v>574.28</v>
      </c>
      <c r="AF4" s="97">
        <f>IFERROR(VLOOKUP(E:E,'（居民）工资表-7月'!E:AF,28,0)+VLOOKUP(E:E,'（居民）工资表-7月'!E:AG,29,0),0)</f>
        <v>431.15</v>
      </c>
      <c r="AG4" s="97">
        <f>IF((AE4-AF4)&lt;0,0,AE4-AF4)</f>
        <v>143.13</v>
      </c>
      <c r="AH4" s="107">
        <f>ROUND(IF((L4-Q4-AG4)&lt;0,0,(L4-Q4-AG4)),2)</f>
        <v>7216.38</v>
      </c>
      <c r="AI4" s="108"/>
      <c r="AJ4" s="107">
        <f>AH4+AI4</f>
        <v>7216.38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46800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5297.92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1502.08</v>
      </c>
      <c r="AE5" s="96">
        <f>ROUND(MAX((AD5)*{0.03;0.1;0.2;0.25;0.3;0.35;0.45}-{0;2520;16920;31920;52920;85920;181920},0),2)</f>
        <v>45.06</v>
      </c>
      <c r="AF5" s="97">
        <f>IFERROR(VLOOKUP(E:E,'（居民）工资表-7月'!E:AF,28,0)+VLOOKUP(E:E,'（居民）工资表-7月'!E:AG,29,0),0)</f>
        <v>18.8</v>
      </c>
      <c r="AG5" s="97">
        <f>IF((AE5-AF5)&lt;0,0,AE5-AF5)</f>
        <v>26.26</v>
      </c>
      <c r="AH5" s="107">
        <f>ROUND(IF((L5-Q5-AG5)&lt;0,0,(L5-Q5-AG5)),2)</f>
        <v>5411.5</v>
      </c>
      <c r="AI5" s="108"/>
      <c r="AJ5" s="107">
        <f>AH5+AI5</f>
        <v>5411.5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240480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7603.94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192876.06</v>
      </c>
      <c r="AE6" s="96">
        <f>ROUND(MAX((AD6)*{0.03;0.1;0.2;0.25;0.3;0.35;0.45}-{0;2520;16920;31920;52920;85920;181920},0),2)</f>
        <v>21655.21</v>
      </c>
      <c r="AF6" s="97">
        <f>IFERROR(VLOOKUP(E:E,'（居民）工资表-7月'!E:AF,28,0)+VLOOKUP(E:E,'（居民）工资表-7月'!E:AG,29,0),0)</f>
        <v>14736.03</v>
      </c>
      <c r="AG6" s="97">
        <f t="shared" ref="AG6:AG19" si="3">IF((AE6-AF6)&lt;0,0,AE6-AF6)</f>
        <v>6919.18</v>
      </c>
      <c r="AH6" s="107">
        <f t="shared" ref="AH6:AH19" si="4">ROUND(IF((L6-Q6-AG6)&lt;0,0,(L6-Q6-AG6)),2)</f>
        <v>22176.73</v>
      </c>
      <c r="AI6" s="108"/>
      <c r="AJ6" s="107">
        <f t="shared" ref="AJ6:AJ19" si="5">AH6+AI6</f>
        <v>22176.73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71000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4221.68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26778.32</v>
      </c>
      <c r="AE7" s="96">
        <f>ROUND(MAX((AD7)*{0.03;0.1;0.2;0.25;0.3;0.35;0.45}-{0;2520;16920;31920;52920;85920;181920},0),2)</f>
        <v>803.35</v>
      </c>
      <c r="AF7" s="97">
        <f>IFERROR(VLOOKUP(E:E,'（居民）工资表-7月'!E:AF,28,0)+VLOOKUP(E:E,'（居民）工资表-7月'!E:AG,29,0),0)</f>
        <v>519.18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87000</v>
      </c>
      <c r="T8" s="91">
        <f>5000+IFERROR(VLOOKUP($E:$E,'（居民）工资表-7月'!$E:$T,16,0),0)</f>
        <v>40000</v>
      </c>
      <c r="U8" s="91">
        <f>Q8+IFERROR(VLOOKUP($E:$E,'（居民）工资表-7月'!$E:$U,17,0),0)</f>
        <v>6176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40824</v>
      </c>
      <c r="AE8" s="96">
        <f>ROUND(MAX((AD8)*{0.03;0.1;0.2;0.25;0.3;0.35;0.45}-{0;2520;16920;31920;52920;85920;181920},0),2)</f>
        <v>1562.4</v>
      </c>
      <c r="AF8" s="97">
        <f>IFERROR(VLOOKUP(E:E,'（居民）工资表-7月'!E:AF,28,0)+VLOOKUP(E:E,'（居民）工资表-7月'!E:AG,29,0),0)</f>
        <v>1052.88</v>
      </c>
      <c r="AG8" s="97">
        <f t="shared" si="3"/>
        <v>509.52</v>
      </c>
      <c r="AH8" s="107">
        <f t="shared" si="4"/>
        <v>10218.48</v>
      </c>
      <c r="AI8" s="108"/>
      <c r="AJ8" s="107">
        <f t="shared" si="5"/>
        <v>10218.48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4237.89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7762.11</v>
      </c>
      <c r="AE9" s="96">
        <f>ROUND(MAX((AD9)*{0.03;0.1;0.2;0.25;0.3;0.35;0.45}-{0;2520;16920;31920;52920;85920;181920},0),2)</f>
        <v>232.86</v>
      </c>
      <c r="AF9" s="97">
        <f>IFERROR(VLOOKUP(E:E,'（居民）工资表-7月'!E:AF,28,0)+VLOOKUP(E:E,'（居民）工资表-7月'!E:AG,29,0),0)</f>
        <v>203.67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36121.85</v>
      </c>
      <c r="T10" s="91">
        <f>5000+IFERROR(VLOOKUP($E:$E,'（居民）工资表-7月'!$E:$T,16,0),0)</f>
        <v>40000</v>
      </c>
      <c r="U10" s="91">
        <f>Q10+IFERROR(VLOOKUP($E:$E,'（居民）工资表-7月'!$E:$U,17,0),0)</f>
        <v>5080.39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-8958.54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69500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4472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25028</v>
      </c>
      <c r="AE11" s="96">
        <f>ROUND(MAX((AD11)*{0.03;0.1;0.2;0.25;0.3;0.35;0.45}-{0;2520;16920;31920;52920;85920;181920},0),2)</f>
        <v>750.84</v>
      </c>
      <c r="AF11" s="97">
        <f>IFERROR(VLOOKUP(E:E,'（居民）工资表-7月'!E:AF,28,0)+VLOOKUP(E:E,'（居民）工资表-7月'!E:AG,29,0),0)</f>
        <v>647.61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57500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6176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11324</v>
      </c>
      <c r="AE12" s="96">
        <f>ROUND(MAX((AD12)*{0.03;0.1;0.2;0.25;0.3;0.35;0.45}-{0;2520;16920;31920;52920;85920;181920},0),2)</f>
        <v>339.72</v>
      </c>
      <c r="AF12" s="97">
        <f>IFERROR(VLOOKUP(E:E,'（居民）工资表-7月'!E:AF,28,0)+VLOOKUP(E:E,'（居民）工资表-7月'!E:AG,29,0),0)</f>
        <v>287.88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59608.7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6176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13432.7</v>
      </c>
      <c r="AE13" s="96">
        <f>ROUND(MAX((AD13)*{0.03;0.1;0.2;0.25;0.3;0.35;0.45}-{0;2520;16920;31920;52920;85920;181920},0),2)</f>
        <v>402.98</v>
      </c>
      <c r="AF13" s="97">
        <f>IFERROR(VLOOKUP(E:E,'（居民）工资表-7月'!E:AF,28,0)+VLOOKUP(E:E,'（居民）工资表-7月'!E:AG,29,0),0)</f>
        <v>336.14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55572.73</v>
      </c>
      <c r="T14" s="91">
        <f>5000+IFERROR(VLOOKUP($E:$E,'（居民）工资表-7月'!$E:$T,16,0),0)</f>
        <v>40000</v>
      </c>
      <c r="U14" s="91">
        <f>Q14+IFERROR(VLOOKUP($E:$E,'（居民）工资表-7月'!$E:$U,17,0),0)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11659.73</v>
      </c>
      <c r="AE14" s="96">
        <f>ROUND(MAX((AD14)*{0.03;0.1;0.2;0.25;0.3;0.35;0.45}-{0;2520;16920;31920;52920;85920;181920},0),2)</f>
        <v>349.79</v>
      </c>
      <c r="AF14" s="97">
        <f>IFERROR(VLOOKUP(E:E,'（居民）工资表-7月'!E:AF,28,0)+VLOOKUP(E:E,'（居民）工资表-7月'!E:AG,29,0),0)</f>
        <v>320.61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48042.83</v>
      </c>
      <c r="T15" s="91">
        <f>5000+IFERROR(VLOOKUP($E:$E,'（居民）工资表-7月'!$E:$T,16,0),0)</f>
        <v>40000</v>
      </c>
      <c r="U15" s="91">
        <f>Q15+IFERROR(VLOOKUP($E:$E,'（居民）工资表-7月'!$E:$U,17,0),0)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4876.57</v>
      </c>
      <c r="AE15" s="96">
        <f>ROUND(MAX((AD15)*{0.03;0.1;0.2;0.25;0.3;0.35;0.45}-{0;2520;16920;31920;52920;85920;181920},0),2)</f>
        <v>146.3</v>
      </c>
      <c r="AF15" s="97">
        <f>IFERROR(VLOOKUP(E:E,'（居民）工资表-7月'!E:AF,28,0)+VLOOKUP(E:E,'（居民）工资表-7月'!E:AG,29,0),0)</f>
        <v>151.6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48000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4200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3800</v>
      </c>
      <c r="AE16" s="96">
        <f>ROUND(MAX((AD16)*{0.03;0.1;0.2;0.25;0.3;0.35;0.45}-{0;2520;16920;31920;52920;85920;181920},0),2)</f>
        <v>114</v>
      </c>
      <c r="AF16" s="97">
        <f>IFERROR(VLOOKUP(E:E,'（居民）工资表-7月'!E:AF,28,0)+VLOOKUP(E:E,'（居民）工资表-7月'!E:AG,29,0),0)</f>
        <v>99.75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67556.93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4749.39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27807.54</v>
      </c>
      <c r="AE17" s="96">
        <f>ROUND(MAX((AD17)*{0.03;0.1;0.2;0.25;0.3;0.35;0.45}-{0;2520;16920;31920;52920;85920;181920},0),2)</f>
        <v>834.23</v>
      </c>
      <c r="AF17" s="97">
        <f>IFERROR(VLOOKUP(E:E,'（居民）工资表-7月'!E:AF,28,0)+VLOOKUP(E:E,'（居民）工资表-7月'!E:AG,29,0),0)</f>
        <v>700.06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28350.3</v>
      </c>
      <c r="T18" s="91">
        <f>5000+IFERROR(VLOOKUP($E:$E,'（居民）工资表-7月'!$E:$T,16,0),0)</f>
        <v>25000</v>
      </c>
      <c r="U18" s="91">
        <f>Q18+IFERROR(VLOOKUP($E:$E,'（居民）工资表-7月'!$E:$U,17,0),0)</f>
        <v>3315.42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34.88</v>
      </c>
      <c r="AE18" s="96">
        <f>ROUND(MAX((AD18)*{0.03;0.1;0.2;0.25;0.3;0.35;0.45}-{0;2520;16920;31920;52920;85920;181920},0),2)</f>
        <v>1.05</v>
      </c>
      <c r="AF18" s="97">
        <f>IFERROR(VLOOKUP(E:E,'（居民）工资表-7月'!E:AF,28,0)+VLOOKUP(E:E,'（居民）工资表-7月'!E:AG,29,0),0)</f>
        <v>0</v>
      </c>
      <c r="AG18" s="97">
        <f t="shared" si="3"/>
        <v>1.05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1031533.34</v>
      </c>
      <c r="T20" s="74">
        <f t="shared" si="10"/>
        <v>580000</v>
      </c>
      <c r="U20" s="74">
        <f t="shared" si="10"/>
        <v>73643.28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377890.06</v>
      </c>
      <c r="AE20" s="74">
        <f t="shared" si="10"/>
        <v>27812.07</v>
      </c>
      <c r="AF20" s="74">
        <f t="shared" si="10"/>
        <v>19505.36</v>
      </c>
      <c r="AG20" s="74">
        <f t="shared" si="10"/>
        <v>8312.01</v>
      </c>
      <c r="AH20" s="74">
        <f t="shared" si="10"/>
        <v>118711.87</v>
      </c>
      <c r="AI20" s="74">
        <f t="shared" si="10"/>
        <v>0</v>
      </c>
      <c r="AJ20" s="74">
        <f t="shared" si="10"/>
        <v>118711.87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118711.87</v>
      </c>
      <c r="C25" s="48">
        <f>AG20</f>
        <v>8312.01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5478.42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21521.58</v>
      </c>
      <c r="AE4" s="96">
        <f>ROUND(MAX((AD4)*{0.03;0.1;0.2;0.25;0.3;0.35;0.45}-{0;2520;16920;31920;52920;85920;181920},0),2)</f>
        <v>645.65</v>
      </c>
      <c r="AF4" s="97">
        <f>IFERROR(VLOOKUP(E:E,'（居民）工资表-8月'!E:AF,28,0)+VLOOKUP(E:E,'（居民）工资表-8月'!E:AG,29,0),0)</f>
        <v>574.28</v>
      </c>
      <c r="AG4" s="97">
        <f>AE4-AF4</f>
        <v>71.37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52900</v>
      </c>
      <c r="T5" s="91">
        <f>5000+IFERROR(VLOOKUP($E:$E,'（居民）工资表-8月'!$E:$T,16,0),0)</f>
        <v>45000</v>
      </c>
      <c r="U5" s="91">
        <f>Q5+IFERROR(VLOOKUP($E:$E,'（居民）工资表-8月'!$E:$U,17,0),0)</f>
        <v>5960.16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1939.84</v>
      </c>
      <c r="AE5" s="96">
        <f>ROUND(MAX((AD5)*{0.03;0.1;0.2;0.25;0.3;0.35;0.45}-{0;2520;16920;31920;52920;85920;181920},0),2)</f>
        <v>58.2</v>
      </c>
      <c r="AF5" s="97">
        <f>IFERROR(VLOOKUP(E:E,'（居民）工资表-8月'!E:AF,28,0)+VLOOKUP(E:E,'（居民）工资表-8月'!E:AG,29,0),0)</f>
        <v>45.06</v>
      </c>
      <c r="AG5" s="97">
        <f t="shared" ref="AG5:AG19" si="3">AE5-AF5</f>
        <v>13.14</v>
      </c>
      <c r="AH5" s="107">
        <f t="shared" ref="AH5:AH19" si="4">ROUND(IF((L5-Q5-AG5)&lt;0,0,(L5-Q5-AG5)),2)</f>
        <v>5424.62</v>
      </c>
      <c r="AI5" s="108"/>
      <c r="AJ5" s="107">
        <f t="shared" ref="AJ5:AJ19" si="5">AH5+AI5</f>
        <v>5424.62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270540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8581.26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216958.74</v>
      </c>
      <c r="AE6" s="96">
        <f>ROUND(MAX((AD6)*{0.03;0.1;0.2;0.25;0.3;0.35;0.45}-{0;2520;16920;31920;52920;85920;181920},0),2)</f>
        <v>26471.75</v>
      </c>
      <c r="AF6" s="97">
        <f>IFERROR(VLOOKUP(E:E,'（居民）工资表-8月'!E:AF,28,0)+VLOOKUP(E:E,'（居民）工资表-8月'!E:AG,29,0),0)</f>
        <v>21655.21</v>
      </c>
      <c r="AG6" s="97">
        <f t="shared" si="3"/>
        <v>4816.54</v>
      </c>
      <c r="AH6" s="107">
        <f t="shared" si="4"/>
        <v>24266.14</v>
      </c>
      <c r="AI6" s="108"/>
      <c r="AJ6" s="107">
        <f t="shared" si="5"/>
        <v>24266.14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80000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4749.39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30250.61</v>
      </c>
      <c r="AE7" s="96">
        <f>ROUND(MAX((AD7)*{0.03;0.1;0.2;0.25;0.3;0.35;0.45}-{0;2520;16920;31920;52920;85920;181920},0),2)</f>
        <v>907.52</v>
      </c>
      <c r="AF7" s="97">
        <f>IFERROR(VLOOKUP(E:E,'（居民）工资表-8月'!E:AF,28,0)+VLOOKUP(E:E,'（居民）工资表-8月'!E:AG,29,0),0)</f>
        <v>803.35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97500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6948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45552</v>
      </c>
      <c r="AE8" s="96">
        <f>ROUND(MAX((AD8)*{0.03;0.1;0.2;0.25;0.3;0.35;0.45}-{0;2520;16920;31920;52920;85920;181920},0),2)</f>
        <v>2035.2</v>
      </c>
      <c r="AF8" s="97">
        <f>IFERROR(VLOOKUP(E:E,'（居民）工资表-8月'!E:AF,28,0)+VLOOKUP(E:E,'（居民）工资表-8月'!E:AG,29,0),0)</f>
        <v>1562.4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4764.69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8735.31</v>
      </c>
      <c r="AE9" s="96">
        <f>ROUND(MAX((AD9)*{0.03;0.1;0.2;0.25;0.3;0.35;0.45}-{0;2520;16920;31920;52920;85920;181920},0),2)</f>
        <v>262.06</v>
      </c>
      <c r="AF9" s="97">
        <f>IFERROR(VLOOKUP(E:E,'（居民）工资表-8月'!E:AF,28,0)+VLOOKUP(E:E,'（居民）工资表-8月'!E:AG,29,0),0)</f>
        <v>232.86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40569.82</v>
      </c>
      <c r="T10" s="91">
        <f>5000+IFERROR(VLOOKUP($E:$E,'（居民）工资表-8月'!$E:$T,16,0),0)</f>
        <v>45000</v>
      </c>
      <c r="U10" s="91">
        <f>Q10+IFERROR(VLOOKUP($E:$E,'（居民）工资表-8月'!$E:$U,17,0),0)</f>
        <v>5744.76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-10174.94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78500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5031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28469</v>
      </c>
      <c r="AE11" s="96">
        <f>ROUND(MAX((AD11)*{0.03;0.1;0.2;0.25;0.3;0.35;0.45}-{0;2520;16920;31920;52920;85920;181920},0),2)</f>
        <v>854.07</v>
      </c>
      <c r="AF11" s="97">
        <f>IFERROR(VLOOKUP(E:E,'（居民）工资表-8月'!E:AF,28,0)+VLOOKUP(E:E,'（居民）工资表-8月'!E:AG,29,0),0)</f>
        <v>750.84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65000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6948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13052</v>
      </c>
      <c r="AE12" s="96">
        <f>ROUND(MAX((AD12)*{0.03;0.1;0.2;0.25;0.3;0.35;0.45}-{0;2520;16920;31920;52920;85920;181920},0),2)</f>
        <v>391.56</v>
      </c>
      <c r="AF12" s="97">
        <f>IFERROR(VLOOKUP(E:E,'（居民）工资表-8月'!E:AF,28,0)+VLOOKUP(E:E,'（居民）工资表-8月'!E:AG,29,0),0)</f>
        <v>339.72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67608.7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6948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15660.7</v>
      </c>
      <c r="AE13" s="96">
        <f>ROUND(MAX((AD13)*{0.03;0.1;0.2;0.25;0.3;0.35;0.45}-{0;2520;16920;31920;52920;85920;181920},0),2)</f>
        <v>469.82</v>
      </c>
      <c r="AF13" s="97">
        <f>IFERROR(VLOOKUP(E:E,'（居民）工资表-8月'!E:AF,28,0)+VLOOKUP(E:E,'（居民）工资表-8月'!E:AG,29,0),0)</f>
        <v>402.98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54000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4725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4275</v>
      </c>
      <c r="AE14" s="96">
        <f>ROUND(MAX((AD14)*{0.03;0.1;0.2;0.25;0.3;0.35;0.45}-{0;2520;16920;31920;52920;85920;181920},0),2)</f>
        <v>128.25</v>
      </c>
      <c r="AF14" s="97">
        <f>IFERROR(VLOOKUP(E:E,'（居民）工资表-8月'!E:AF,28,0)+VLOOKUP(E:E,'（居民）工资表-8月'!E:AG,29,0),0)</f>
        <v>114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77556.93</v>
      </c>
      <c r="T15" s="91">
        <f>5000+IFERROR(VLOOKUP($E:$E,'（居民）工资表-8月'!$E:$T,16,0),0)</f>
        <v>40000</v>
      </c>
      <c r="U15" s="91">
        <f>Q15+IFERROR(VLOOKUP($E:$E,'（居民）工资表-8月'!$E:$U,17,0),0)</f>
        <v>5277.1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32279.83</v>
      </c>
      <c r="AE15" s="96">
        <f>ROUND(MAX((AD15)*{0.03;0.1;0.2;0.25;0.3;0.35;0.45}-{0;2520;16920;31920;52920;85920;181920},0),2)</f>
        <v>968.39</v>
      </c>
      <c r="AF15" s="97">
        <f>IFERROR(VLOOKUP(E:E,'（居民）工资表-8月'!E:AF,28,0)+VLOOKUP(E:E,'（居民）工资表-8月'!E:AG,29,0),0)</f>
        <v>834.23</v>
      </c>
      <c r="AG15" s="97">
        <f t="shared" si="3"/>
        <v>134.16</v>
      </c>
      <c r="AH15" s="107">
        <f t="shared" si="4"/>
        <v>9338.13</v>
      </c>
      <c r="AI15" s="108"/>
      <c r="AJ15" s="107">
        <f t="shared" si="5"/>
        <v>9338.13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28350.3</v>
      </c>
      <c r="T16" s="91">
        <f>5000+IFERROR(VLOOKUP($E:$E,'（居民）工资表-7月'!$E:$T,16,0),0)</f>
        <v>25000</v>
      </c>
      <c r="U16" s="91">
        <f>Q16+IFERROR(VLOOKUP($E:$E,'（居民）工资表-7月'!$E:$U,17,0),0)</f>
        <v>3315.42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34.88</v>
      </c>
      <c r="AE16" s="96">
        <f>ROUND(MAX((AD16)*{0.03;0.1;0.2;0.25;0.3;0.35;0.45}-{0;2520;16920;31920;52920;85920;181920},0),2)</f>
        <v>1.05</v>
      </c>
      <c r="AF16" s="97">
        <f>IFERROR(VLOOKUP(E:E,'（居民）工资表-7月'!E:AF,28,0)+VLOOKUP(E:E,'（居民）工资表-7月'!E:AG,29,0),0)</f>
        <v>0</v>
      </c>
      <c r="AG16" s="97">
        <f>IF((AE16-AF16)&lt;0,0,AE16-AF16)</f>
        <v>1.05</v>
      </c>
      <c r="AH16" s="107">
        <f t="shared" si="4"/>
        <v>7046.38</v>
      </c>
      <c r="AI16" s="108"/>
      <c r="AJ16" s="107">
        <f t="shared" si="5"/>
        <v>7046.38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1043025.75</v>
      </c>
      <c r="T18" s="74">
        <f t="shared" si="10"/>
        <v>560000</v>
      </c>
      <c r="U18" s="74">
        <f t="shared" si="10"/>
        <v>74471.2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408554.55</v>
      </c>
      <c r="AE18" s="74">
        <f t="shared" si="10"/>
        <v>33193.52</v>
      </c>
      <c r="AF18" s="74">
        <f t="shared" si="10"/>
        <v>27314.93</v>
      </c>
      <c r="AG18" s="74">
        <f t="shared" si="10"/>
        <v>5878.59</v>
      </c>
      <c r="AH18" s="74">
        <f t="shared" si="10"/>
        <v>108369.63</v>
      </c>
      <c r="AI18" s="74">
        <f t="shared" si="10"/>
        <v>0</v>
      </c>
      <c r="AJ18" s="74">
        <f t="shared" si="10"/>
        <v>108369.63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108369.63</v>
      </c>
      <c r="C23" s="48">
        <f>AG18</f>
        <v>5878.59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4"/>
  <sheetViews>
    <sheetView workbookViewId="0">
      <pane xSplit="6" ySplit="3" topLeftCell="G10" activePane="bottomRight" state="frozen"/>
      <selection/>
      <selection pane="topRight"/>
      <selection pane="bottomLeft"/>
      <selection pane="bottomRight" activeCell="G22" sqref="G22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1" si="0">ROUND(SUM(M4:P4),2)</f>
        <v>621.03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6099.45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-99.45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645.65</v>
      </c>
      <c r="AG4" s="97">
        <f t="shared" ref="AG4:AG11" si="3">IF((AE4-AF4)&lt;0,0,AE4-AF4)</f>
        <v>0</v>
      </c>
      <c r="AH4" s="107">
        <f t="shared" ref="AH4:AH11" si="4">ROUND(IF((L4-Q4-AG4)&lt;0,0,(L4-Q4-AG4)),2)</f>
        <v>7378.97</v>
      </c>
      <c r="AI4" s="108"/>
      <c r="AJ4" s="107">
        <f t="shared" ref="AJ4:AJ11" si="5">AH4+AI4</f>
        <v>7378.97</v>
      </c>
      <c r="AK4" s="109"/>
      <c r="AL4" s="107">
        <f t="shared" ref="AL4:AL11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L5+IFERROR(VLOOKUP($E:$E,'（居民）工资表-9月'!$E:$S,15,0),0)</f>
        <v>59000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6622.4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2377.6</v>
      </c>
      <c r="AE5" s="96">
        <f>ROUND(MAX((AD5)*{0.03;0.1;0.2;0.25;0.3;0.35;0.45}-{0;2520;16920;31920;52920;85920;181920},0),2)</f>
        <v>71.33</v>
      </c>
      <c r="AF5" s="97">
        <f>IFERROR(VLOOKUP(E:E,'（居民）工资表-9月'!E:AF,28,0)+VLOOKUP(E:E,'（居民）工资表-9月'!E:AG,29,0),0)</f>
        <v>58.2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L6+IFERROR(VLOOKUP($E:$E,'（居民）工资表-9月'!$E:$S,15,0),0)</f>
        <v>300600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9544.58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241055.42</v>
      </c>
      <c r="AE6" s="96">
        <f>ROUND(MAX((AD6)*{0.03;0.1;0.2;0.25;0.3;0.35;0.45}-{0;2520;16920;31920;52920;85920;181920},0),2)</f>
        <v>31291.08</v>
      </c>
      <c r="AF6" s="97">
        <f>IFERROR(VLOOKUP(E:E,'（居民）工资表-9月'!E:AF,28,0)+VLOOKUP(E:E,'（居民）工资表-9月'!E:AG,29,0),0)</f>
        <v>26471.75</v>
      </c>
      <c r="AG6" s="97">
        <f t="shared" si="3"/>
        <v>4819.33</v>
      </c>
      <c r="AH6" s="107">
        <f t="shared" si="4"/>
        <v>24277.35</v>
      </c>
      <c r="AI6" s="108"/>
      <c r="AJ6" s="107">
        <f t="shared" si="5"/>
        <v>24277.35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504.56</v>
      </c>
      <c r="N7" s="71">
        <v>139.8</v>
      </c>
      <c r="O7" s="71">
        <v>31.54</v>
      </c>
      <c r="P7" s="71">
        <v>97</v>
      </c>
      <c r="Q7" s="89">
        <f t="shared" si="0"/>
        <v>772.9</v>
      </c>
      <c r="R7" s="70">
        <v>0</v>
      </c>
      <c r="S7" s="90">
        <f>L7+IFERROR(VLOOKUP($E:$E,'（居民）工资表-9月'!$E:$S,15,0),0)</f>
        <v>89000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5522.29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33477.71</v>
      </c>
      <c r="AE7" s="96">
        <f>ROUND(MAX((AD7)*{0.03;0.1;0.2;0.25;0.3;0.35;0.45}-{0;2520;16920;31920;52920;85920;181920},0),2)</f>
        <v>1004.33</v>
      </c>
      <c r="AF7" s="97">
        <f>IFERROR(VLOOKUP(E:E,'（居民）工资表-9月'!E:AF,28,0)+VLOOKUP(E:E,'（居民）工资表-9月'!E:AG,29,0),0)</f>
        <v>907.52</v>
      </c>
      <c r="AG7" s="97">
        <f t="shared" si="3"/>
        <v>96.8100000000001</v>
      </c>
      <c r="AH7" s="107">
        <f t="shared" si="4"/>
        <v>8130.29</v>
      </c>
      <c r="AI7" s="108"/>
      <c r="AJ7" s="107">
        <f t="shared" si="5"/>
        <v>8130.29</v>
      </c>
      <c r="AK7" s="109"/>
      <c r="AL7" s="107">
        <f t="shared" si="6"/>
        <v>8227.1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504.56</v>
      </c>
      <c r="N8" s="71">
        <v>132.14</v>
      </c>
      <c r="O8" s="71">
        <v>31.54</v>
      </c>
      <c r="P8" s="71">
        <v>344</v>
      </c>
      <c r="Q8" s="89">
        <f t="shared" si="0"/>
        <v>1012.24</v>
      </c>
      <c r="R8" s="70">
        <v>0</v>
      </c>
      <c r="S8" s="90">
        <f>L8+IFERROR(VLOOKUP($E:$E,'（居民）工资表-9月'!$E:$S,15,0),0)</f>
        <v>108000</v>
      </c>
      <c r="T8" s="91">
        <f>5000+IFERROR(VLOOKUP($E:$E,'（居民）工资表-9月'!$E:$T,16,0),0)</f>
        <v>50000</v>
      </c>
      <c r="U8" s="91">
        <f>Q8+IFERROR(VLOOKUP($E:$E,'（居民）工资表-9月'!$E:$U,17,0),0)</f>
        <v>7960.24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50039.76</v>
      </c>
      <c r="AE8" s="96">
        <f>ROUND(MAX((AD8)*{0.03;0.1;0.2;0.25;0.3;0.35;0.45}-{0;2520;16920;31920;52920;85920;181920},0),2)</f>
        <v>2483.98</v>
      </c>
      <c r="AF8" s="97">
        <f>IFERROR(VLOOKUP(E:E,'（居民）工资表-9月'!E:AF,28,0)+VLOOKUP(E:E,'（居民）工资表-9月'!E:AG,29,0),0)</f>
        <v>2035.2</v>
      </c>
      <c r="AG8" s="97">
        <f t="shared" si="3"/>
        <v>448.78</v>
      </c>
      <c r="AH8" s="107">
        <f t="shared" si="4"/>
        <v>9038.98</v>
      </c>
      <c r="AI8" s="108"/>
      <c r="AJ8" s="107">
        <f t="shared" si="5"/>
        <v>9038.98</v>
      </c>
      <c r="AK8" s="109"/>
      <c r="AL8" s="107">
        <f t="shared" si="6"/>
        <v>9487.76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105.82</v>
      </c>
      <c r="O9" s="71">
        <v>12.16</v>
      </c>
      <c r="P9" s="71">
        <v>100</v>
      </c>
      <c r="Q9" s="89">
        <f t="shared" si="0"/>
        <v>542.22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5306.91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9693.09</v>
      </c>
      <c r="AE9" s="96">
        <f>ROUND(MAX((AD9)*{0.03;0.1;0.2;0.25;0.3;0.35;0.45}-{0;2520;16920;31920;52920;85920;181920},0),2)</f>
        <v>290.79</v>
      </c>
      <c r="AF9" s="97">
        <f>IFERROR(VLOOKUP(E:E,'（居民）工资表-9月'!E:AF,28,0)+VLOOKUP(E:E,'（居民）工资表-9月'!E:AG,29,0),0)</f>
        <v>262.06</v>
      </c>
      <c r="AG9" s="97">
        <f t="shared" si="3"/>
        <v>28.73</v>
      </c>
      <c r="AH9" s="107">
        <f t="shared" si="4"/>
        <v>5929.05</v>
      </c>
      <c r="AI9" s="108"/>
      <c r="AJ9" s="107">
        <f t="shared" si="5"/>
        <v>5929.05</v>
      </c>
      <c r="AK9" s="109"/>
      <c r="AL9" s="107">
        <f t="shared" si="6"/>
        <v>5957.78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L10+IFERROR(VLOOKUP($E:$E,'（居民）工资表-9月'!$E:$S,15,0),0)</f>
        <v>45017.79</v>
      </c>
      <c r="T10" s="91">
        <f>5000+IFERROR(VLOOKUP($E:$E,'（居民）工资表-9月'!$E:$T,16,0),0)</f>
        <v>50000</v>
      </c>
      <c r="U10" s="91">
        <f>Q10+IFERROR(VLOOKUP($E:$E,'（居民）工资表-9月'!$E:$U,17,0),0)</f>
        <v>6409.13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-11391.34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207</v>
      </c>
    </row>
    <row r="11" s="12" customFormat="1" ht="18" customHeight="1" spans="1:49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504.56</v>
      </c>
      <c r="N11" s="71">
        <v>166.14</v>
      </c>
      <c r="O11" s="71">
        <v>31.54</v>
      </c>
      <c r="P11" s="71">
        <v>97</v>
      </c>
      <c r="Q11" s="89">
        <f t="shared" ref="Q11:Q19" si="10">ROUND(SUM(M11:P11),2)</f>
        <v>799.24</v>
      </c>
      <c r="R11" s="70">
        <v>0</v>
      </c>
      <c r="S11" s="90">
        <f>L11+IFERROR(VLOOKUP($E:$E,'（居民）工资表-9月'!$E:$S,15,0),0)</f>
        <v>87500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5830.24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31669.76</v>
      </c>
      <c r="AE11" s="96">
        <f>ROUND(MAX((AD11)*{0.03;0.1;0.2;0.25;0.3;0.35;0.45}-{0;2520;16920;31920;52920;85920;181920},0),2)</f>
        <v>950.09</v>
      </c>
      <c r="AF11" s="97">
        <f>IFERROR(VLOOKUP(E:E,'（居民）工资表-9月'!E:AF,28,0)+VLOOKUP(E:E,'（居民）工资表-9月'!E:AG,29,0),0)</f>
        <v>854.07</v>
      </c>
      <c r="AG11" s="97">
        <f t="shared" ref="AG11:AG19" si="13">IF((AE11-AF11)&lt;0,0,AE11-AF11)</f>
        <v>96.02</v>
      </c>
      <c r="AH11" s="107">
        <f t="shared" ref="AH11:AH19" si="14">ROUND(IF((L11-Q11-AG11)&lt;0,0,(L11-Q11-AG11)),2)</f>
        <v>8104.74</v>
      </c>
      <c r="AI11" s="108"/>
      <c r="AJ11" s="107">
        <f t="shared" ref="AJ11:AJ19" si="15">AH11+AI11</f>
        <v>8104.74</v>
      </c>
      <c r="AK11" s="109"/>
      <c r="AL11" s="107">
        <f t="shared" ref="AL11:AL19" si="16">AJ11+AG11+AK11</f>
        <v>8200.76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170</v>
      </c>
      <c r="AW11" s="12" t="s">
        <v>171</v>
      </c>
    </row>
    <row r="12" s="12" customFormat="1" ht="18" customHeight="1" spans="1:49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504.56</v>
      </c>
      <c r="N12" s="71">
        <v>132.14</v>
      </c>
      <c r="O12" s="71">
        <v>31.54</v>
      </c>
      <c r="P12" s="71">
        <v>344</v>
      </c>
      <c r="Q12" s="89">
        <f t="shared" si="10"/>
        <v>1012.24</v>
      </c>
      <c r="R12" s="70">
        <v>0</v>
      </c>
      <c r="S12" s="90">
        <f>L12+IFERROR(VLOOKUP($E:$E,'（居民）工资表-9月'!$E:$S,15,0),0)</f>
        <v>72500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7960.24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14539.76</v>
      </c>
      <c r="AE12" s="96">
        <f>ROUND(MAX((AD12)*{0.03;0.1;0.2;0.25;0.3;0.35;0.45}-{0;2520;16920;31920;52920;85920;181920},0),2)</f>
        <v>436.19</v>
      </c>
      <c r="AF12" s="97">
        <f>IFERROR(VLOOKUP(E:E,'（居民）工资表-9月'!E:AF,28,0)+VLOOKUP(E:E,'（居民）工资表-9月'!E:AG,29,0),0)</f>
        <v>391.56</v>
      </c>
      <c r="AG12" s="97">
        <f t="shared" si="13"/>
        <v>44.6299999999999</v>
      </c>
      <c r="AH12" s="107">
        <f t="shared" si="14"/>
        <v>6443.13</v>
      </c>
      <c r="AI12" s="108"/>
      <c r="AJ12" s="107">
        <f t="shared" si="15"/>
        <v>6443.13</v>
      </c>
      <c r="AK12" s="109"/>
      <c r="AL12" s="107">
        <f t="shared" si="16"/>
        <v>6487.76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504.56</v>
      </c>
      <c r="N13" s="71">
        <v>132.14</v>
      </c>
      <c r="O13" s="71">
        <v>41.24</v>
      </c>
      <c r="P13" s="71">
        <v>344</v>
      </c>
      <c r="Q13" s="89">
        <f t="shared" si="10"/>
        <v>1021.94</v>
      </c>
      <c r="R13" s="70">
        <v>0</v>
      </c>
      <c r="S13" s="90">
        <f>L13+IFERROR(VLOOKUP($E:$E,'（居民）工资表-9月'!$E:$S,15,0),0)</f>
        <v>75608.7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7969.94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17638.76</v>
      </c>
      <c r="AE13" s="96">
        <f>ROUND(MAX((AD13)*{0.03;0.1;0.2;0.25;0.3;0.35;0.45}-{0;2520;16920;31920;52920;85920;181920},0),2)</f>
        <v>529.16</v>
      </c>
      <c r="AF13" s="97">
        <f>IFERROR(VLOOKUP(E:E,'（居民）工资表-9月'!E:AF,28,0)+VLOOKUP(E:E,'（居民）工资表-9月'!E:AG,29,0),0)</f>
        <v>469.82</v>
      </c>
      <c r="AG13" s="97">
        <f t="shared" si="13"/>
        <v>59.3399999999999</v>
      </c>
      <c r="AH13" s="107">
        <f t="shared" si="14"/>
        <v>6918.72</v>
      </c>
      <c r="AI13" s="108"/>
      <c r="AJ13" s="107">
        <f t="shared" si="15"/>
        <v>6918.72</v>
      </c>
      <c r="AK13" s="109"/>
      <c r="AL13" s="107">
        <f t="shared" si="16"/>
        <v>6978.06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504.56</v>
      </c>
      <c r="N14" s="71">
        <v>126.14</v>
      </c>
      <c r="O14" s="71">
        <v>31.54</v>
      </c>
      <c r="P14" s="71">
        <v>103</v>
      </c>
      <c r="Q14" s="89">
        <f t="shared" si="10"/>
        <v>765.24</v>
      </c>
      <c r="R14" s="70">
        <v>0</v>
      </c>
      <c r="S14" s="90">
        <f>L14+IFERROR(VLOOKUP($E:$E,'（居民）工资表-9月'!$E:$S,15,0),0)</f>
        <v>60000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5490.24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4509.76</v>
      </c>
      <c r="AE14" s="96">
        <f>ROUND(MAX((AD14)*{0.03;0.1;0.2;0.25;0.3;0.35;0.45}-{0;2520;16920;31920;52920;85920;181920},0),2)</f>
        <v>135.29</v>
      </c>
      <c r="AF14" s="97">
        <f>IFERROR(VLOOKUP(E:E,'（居民）工资表-9月'!E:AF,28,0)+VLOOKUP(E:E,'（居民）工资表-9月'!E:AG,29,0),0)</f>
        <v>128.25</v>
      </c>
      <c r="AG14" s="97">
        <f t="shared" si="13"/>
        <v>7.03999999999999</v>
      </c>
      <c r="AH14" s="107">
        <f t="shared" si="14"/>
        <v>5227.72</v>
      </c>
      <c r="AI14" s="108"/>
      <c r="AJ14" s="107">
        <f t="shared" si="15"/>
        <v>5227.72</v>
      </c>
      <c r="AK14" s="109"/>
      <c r="AL14" s="107">
        <f t="shared" si="16"/>
        <v>5234.76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504.56</v>
      </c>
      <c r="N15" s="71">
        <v>139.8</v>
      </c>
      <c r="O15" s="71">
        <v>31.54</v>
      </c>
      <c r="P15" s="71">
        <v>97</v>
      </c>
      <c r="Q15" s="89">
        <f t="shared" si="10"/>
        <v>772.9</v>
      </c>
      <c r="R15" s="70">
        <v>0</v>
      </c>
      <c r="S15" s="90">
        <f>L15+IFERROR(VLOOKUP($E:$E,'（居民）工资表-9月'!$E:$S,15,0),0)</f>
        <v>87556.93</v>
      </c>
      <c r="T15" s="91">
        <f>5000+IFERROR(VLOOKUP($E:$E,'（居民）工资表-9月'!$E:$T,16,0),0)</f>
        <v>45000</v>
      </c>
      <c r="U15" s="91">
        <f>Q15+IFERROR(VLOOKUP($E:$E,'（居民）工资表-9月'!$E:$U,17,0),0)</f>
        <v>6050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36506.93</v>
      </c>
      <c r="AE15" s="96">
        <f>ROUND(MAX((AD15)*{0.03;0.1;0.2;0.25;0.3;0.35;0.45}-{0;2520;16920;31920;52920;85920;181920},0),2)</f>
        <v>1130.69</v>
      </c>
      <c r="AF15" s="97">
        <f>IFERROR(VLOOKUP(E:E,'（居民）工资表-9月'!E:AF,28,0)+VLOOKUP(E:E,'（居民）工资表-9月'!E:AG,29,0),0)</f>
        <v>968.39</v>
      </c>
      <c r="AG15" s="97">
        <f t="shared" si="13"/>
        <v>162.3</v>
      </c>
      <c r="AH15" s="107">
        <f t="shared" si="14"/>
        <v>9064.8</v>
      </c>
      <c r="AI15" s="108"/>
      <c r="AJ15" s="107">
        <f t="shared" si="15"/>
        <v>9064.8</v>
      </c>
      <c r="AK15" s="109"/>
      <c r="AL15" s="107">
        <f t="shared" si="16"/>
        <v>9227.1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7560.35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10"/>
        <v>552.57</v>
      </c>
      <c r="R16" s="70">
        <v>0</v>
      </c>
      <c r="S16" s="90">
        <f>L16+IFERROR(VLOOKUP($E:$E,'（居民）工资表-9月'!$E:$S,15,0),0)</f>
        <v>35910.65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3867.99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2042.66</v>
      </c>
      <c r="AE16" s="96">
        <f>ROUND(MAX((AD16)*{0.03;0.1;0.2;0.25;0.3;0.35;0.45}-{0;2520;16920;31920;52920;85920;181920},0),2)</f>
        <v>61.28</v>
      </c>
      <c r="AF16" s="97">
        <f>IFERROR(VLOOKUP(E:E,'（居民）工资表-9月'!E:AF,28,0)+VLOOKUP(E:E,'（居民）工资表-9月'!E:AG,29,0),0)</f>
        <v>1.05</v>
      </c>
      <c r="AG16" s="97">
        <f t="shared" si="13"/>
        <v>60.23</v>
      </c>
      <c r="AH16" s="107">
        <f t="shared" si="14"/>
        <v>6947.55</v>
      </c>
      <c r="AI16" s="108"/>
      <c r="AJ16" s="107">
        <f t="shared" si="15"/>
        <v>6947.55</v>
      </c>
      <c r="AK16" s="109"/>
      <c r="AL16" s="107">
        <f t="shared" si="16"/>
        <v>7007.78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6">
      <c r="A17" s="36"/>
      <c r="B17" s="37"/>
      <c r="C17" s="128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122668.32</v>
      </c>
      <c r="M18" s="74">
        <f>SUM(M4:M17)</f>
        <v>5953.13</v>
      </c>
      <c r="N18" s="74">
        <f>SUM(N4:N17)</f>
        <v>1641.6</v>
      </c>
      <c r="O18" s="74">
        <f>SUM(O4:O17)</f>
        <v>334.82</v>
      </c>
      <c r="P18" s="74">
        <f>SUM(P4:P17)</f>
        <v>2232.9</v>
      </c>
      <c r="Q18" s="74">
        <f t="shared" ref="Q18:AL18" si="20">SUM(Q4:Q17)</f>
        <v>10162.45</v>
      </c>
      <c r="R18" s="74">
        <f t="shared" si="20"/>
        <v>0</v>
      </c>
      <c r="S18" s="74">
        <f t="shared" si="20"/>
        <v>1165694.07</v>
      </c>
      <c r="T18" s="74">
        <f t="shared" si="20"/>
        <v>625000</v>
      </c>
      <c r="U18" s="74">
        <f t="shared" si="20"/>
        <v>84633.65</v>
      </c>
      <c r="V18" s="74">
        <f t="shared" si="20"/>
        <v>10000</v>
      </c>
      <c r="W18" s="74">
        <f t="shared" si="20"/>
        <v>0</v>
      </c>
      <c r="X18" s="74">
        <f t="shared" si="20"/>
        <v>10000</v>
      </c>
      <c r="Y18" s="74">
        <f t="shared" si="20"/>
        <v>0</v>
      </c>
      <c r="Z18" s="74">
        <f t="shared" si="20"/>
        <v>4000</v>
      </c>
      <c r="AA18" s="74">
        <f t="shared" si="20"/>
        <v>0</v>
      </c>
      <c r="AB18" s="74">
        <f t="shared" si="20"/>
        <v>24000</v>
      </c>
      <c r="AC18" s="74">
        <f t="shared" si="20"/>
        <v>0</v>
      </c>
      <c r="AD18" s="74">
        <f t="shared" si="20"/>
        <v>432060.42</v>
      </c>
      <c r="AE18" s="74">
        <f t="shared" si="20"/>
        <v>38384.21</v>
      </c>
      <c r="AF18" s="74">
        <f t="shared" si="20"/>
        <v>33193.52</v>
      </c>
      <c r="AG18" s="74">
        <f t="shared" si="20"/>
        <v>5836.34</v>
      </c>
      <c r="AH18" s="74">
        <f t="shared" si="20"/>
        <v>106669.53</v>
      </c>
      <c r="AI18" s="74">
        <f t="shared" si="20"/>
        <v>0</v>
      </c>
      <c r="AJ18" s="74">
        <f t="shared" si="20"/>
        <v>106669.53</v>
      </c>
      <c r="AK18" s="74">
        <f t="shared" si="20"/>
        <v>0</v>
      </c>
      <c r="AL18" s="74">
        <f t="shared" si="20"/>
        <v>112505.87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106669.53</v>
      </c>
      <c r="C23" s="48">
        <f>AG18</f>
        <v>5836.34</v>
      </c>
      <c r="D23" s="48">
        <f>AK18</f>
        <v>0</v>
      </c>
      <c r="E23" s="48">
        <f>B23+C23+D23</f>
        <v>112505.87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7">
    <cfRule type="duplicateValues" dxfId="4" priority="1"/>
  </conditionalFormatting>
  <conditionalFormatting sqref="B30">
    <cfRule type="duplicateValues" dxfId="4" priority="3" stopIfTrue="1"/>
  </conditionalFormatting>
  <conditionalFormatting sqref="B25:B29">
    <cfRule type="duplicateValues" dxfId="4" priority="4" stopIfTrue="1"/>
  </conditionalFormatting>
  <conditionalFormatting sqref="B33:B34">
    <cfRule type="duplicateValues" dxfId="4" priority="2" stopIfTrue="1"/>
  </conditionalFormatting>
  <conditionalFormatting sqref="C22:C24">
    <cfRule type="duplicateValues" dxfId="4" priority="5" stopIfTrue="1"/>
    <cfRule type="expression" dxfId="5" priority="6" stopIfTrue="1">
      <formula>AND(COUNTIF($B$18:$B$65454,C22)+COUNTIF($B$1:$B$3,C22)&gt;1,NOT(ISBLANK(C22)))</formula>
    </cfRule>
    <cfRule type="expression" dxfId="5" priority="7" stopIfTrue="1">
      <formula>AND(COUNTIF($B$29:$B$65405,C22)+COUNTIF($B$1:$B$28,C22)&gt;1,NOT(ISBLANK(C22)))</formula>
    </cfRule>
    <cfRule type="expression" dxfId="5" priority="8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2" si="0">ROUND(SUM(M4:P4),2)</f>
        <v>588.3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6687.75</v>
      </c>
      <c r="V4" s="70"/>
      <c r="W4" s="70"/>
      <c r="X4" s="70"/>
      <c r="Y4" s="70"/>
      <c r="Z4" s="70"/>
      <c r="AA4" s="70"/>
      <c r="AB4" s="90">
        <f t="shared" ref="AB4:AB12" si="1">ROUND(SUM(V4:AA4),2)</f>
        <v>0</v>
      </c>
      <c r="AC4" s="90">
        <f>R4+IFERROR(VLOOKUP($E:$E,'（居民）工资表-10月'!$E:$AC,25,0),0)</f>
        <v>0</v>
      </c>
      <c r="AD4" s="95">
        <f t="shared" ref="AD4:AD12" si="2">ROUND(S4-T4-U4-AB4-AC4,2)</f>
        <v>26312.25</v>
      </c>
      <c r="AE4" s="96">
        <f>ROUND(MAX((AD4)*{0.03;0.1;0.2;0.25;0.3;0.35;0.45}-{0;2520;16920;31920;52920;85920;181920},0),2)</f>
        <v>789.37</v>
      </c>
      <c r="AF4" s="97">
        <f>IFERROR(VLOOKUP(E:E,'（居民）工资表-10月'!E:AF,28,0)+VLOOKUP(E:E,'（居民）工资表-10月'!E:AG,29,0),0)</f>
        <v>645.65</v>
      </c>
      <c r="AG4" s="97">
        <f>IF((AE4-AF4)&lt;0,0,AE4-AF4)</f>
        <v>143.72</v>
      </c>
      <c r="AH4" s="107">
        <f t="shared" ref="AH4:AH12" si="3">ROUND(IF((L4-Q4-AG4)&lt;0,0,(L4-Q4-AG4)),2)</f>
        <v>7267.98</v>
      </c>
      <c r="AI4" s="108"/>
      <c r="AJ4" s="107">
        <f t="shared" ref="AJ4:AJ12" si="4">AH4+AI4</f>
        <v>7267.98</v>
      </c>
      <c r="AK4" s="109"/>
      <c r="AL4" s="107">
        <f t="shared" ref="AL4:AL12" si="5">AJ4+AG4+AK4</f>
        <v>7411.7</v>
      </c>
      <c r="AM4" s="109"/>
      <c r="AN4" s="109"/>
      <c r="AO4" s="109"/>
      <c r="AP4" s="109"/>
      <c r="AQ4" s="109"/>
      <c r="AR4" s="116" t="str">
        <f t="shared" ref="AR4:AR12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L5+IFERROR(VLOOKUP($E:$E,'（居民）工资表-10月'!$E:$S,15,0),0)</f>
        <v>64700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7278.2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2421.8</v>
      </c>
      <c r="AE5" s="96">
        <f>ROUND(MAX((AD5)*{0.03;0.1;0.2;0.25;0.3;0.35;0.45}-{0;2520;16920;31920;52920;85920;181920},0),2)</f>
        <v>72.65</v>
      </c>
      <c r="AF5" s="97">
        <f>IFERROR(VLOOKUP(E:E,'（居民）工资表-10月'!E:AF,28,0)+VLOOKUP(E:E,'（居民）工资表-10月'!E:AG,29,0),0)</f>
        <v>71.33</v>
      </c>
      <c r="AG5" s="97">
        <f t="shared" ref="AG5:AG12" si="9">IF((AE5-AF5)&lt;0,0,AE5-AF5)</f>
        <v>1.32000000000001</v>
      </c>
      <c r="AH5" s="107">
        <f t="shared" si="3"/>
        <v>5042.88</v>
      </c>
      <c r="AI5" s="108"/>
      <c r="AJ5" s="107">
        <f t="shared" si="4"/>
        <v>5042.88</v>
      </c>
      <c r="AK5" s="109"/>
      <c r="AL5" s="107">
        <f t="shared" si="5"/>
        <v>5044.2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30560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L6+IFERROR(VLOOKUP($E:$E,'（居民）工资表-10月'!$E:$S,15,0),0)</f>
        <v>331160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10493.13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265666.87</v>
      </c>
      <c r="AE6" s="96">
        <f>ROUND(MAX((AD6)*{0.03;0.1;0.2;0.25;0.3;0.35;0.45}-{0;2520;16920;31920;52920;85920;181920},0),2)</f>
        <v>36213.37</v>
      </c>
      <c r="AF6" s="97">
        <f>IFERROR(VLOOKUP(E:E,'（居民）工资表-10月'!E:AF,28,0)+VLOOKUP(E:E,'（居民）工资表-10月'!E:AG,29,0),0)</f>
        <v>31291.08</v>
      </c>
      <c r="AG6" s="97">
        <f t="shared" si="9"/>
        <v>4922.29</v>
      </c>
      <c r="AH6" s="107">
        <f t="shared" si="3"/>
        <v>24689.16</v>
      </c>
      <c r="AI6" s="108"/>
      <c r="AJ6" s="107">
        <f t="shared" si="4"/>
        <v>24689.16</v>
      </c>
      <c r="AK6" s="109"/>
      <c r="AL6" s="107">
        <f t="shared" si="5"/>
        <v>29611.45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90.51</v>
      </c>
      <c r="O7" s="71">
        <v>20.1</v>
      </c>
      <c r="P7" s="71">
        <v>97</v>
      </c>
      <c r="Q7" s="89">
        <f t="shared" si="0"/>
        <v>529.13</v>
      </c>
      <c r="R7" s="70">
        <v>0</v>
      </c>
      <c r="S7" s="90">
        <f>L7+IFERROR(VLOOKUP($E:$E,'（居民）工资表-10月'!$E:$S,15,0),0)</f>
        <v>97000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6051.42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35948.58</v>
      </c>
      <c r="AE7" s="96">
        <f>ROUND(MAX((AD7)*{0.03;0.1;0.2;0.25;0.3;0.35;0.45}-{0;2520;16920;31920;52920;85920;181920},0),2)</f>
        <v>1078.46</v>
      </c>
      <c r="AF7" s="97">
        <f>IFERROR(VLOOKUP(E:E,'（居民）工资表-10月'!E:AF,28,0)+VLOOKUP(E:E,'（居民）工资表-10月'!E:AG,29,0),0)</f>
        <v>1004.33</v>
      </c>
      <c r="AG7" s="97">
        <f t="shared" si="9"/>
        <v>74.13</v>
      </c>
      <c r="AH7" s="107">
        <f t="shared" si="3"/>
        <v>7396.74</v>
      </c>
      <c r="AI7" s="108"/>
      <c r="AJ7" s="107">
        <f t="shared" si="4"/>
        <v>7396.74</v>
      </c>
      <c r="AK7" s="109"/>
      <c r="AL7" s="107">
        <f t="shared" si="5"/>
        <v>7470.87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688</v>
      </c>
      <c r="Q8" s="89">
        <f t="shared" si="0"/>
        <v>1116</v>
      </c>
      <c r="R8" s="70">
        <v>0</v>
      </c>
      <c r="S8" s="90">
        <f>L8+IFERROR(VLOOKUP($E:$E,'（居民）工资表-10月'!$E:$S,15,0),0)</f>
        <v>118500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9076.24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54423.76</v>
      </c>
      <c r="AE8" s="96">
        <f>ROUND(MAX((AD8)*{0.03;0.1;0.2;0.25;0.3;0.35;0.45}-{0;2520;16920;31920;52920;85920;181920},0),2)</f>
        <v>2922.38</v>
      </c>
      <c r="AF8" s="97">
        <f>IFERROR(VLOOKUP(E:E,'（居民）工资表-10月'!E:AF,28,0)+VLOOKUP(E:E,'（居民）工资表-10月'!E:AG,29,0),0)</f>
        <v>2483.98</v>
      </c>
      <c r="AG8" s="97">
        <f t="shared" si="9"/>
        <v>438.4</v>
      </c>
      <c r="AH8" s="107">
        <f t="shared" si="3"/>
        <v>8945.6</v>
      </c>
      <c r="AI8" s="108"/>
      <c r="AJ8" s="107">
        <f t="shared" si="4"/>
        <v>8945.6</v>
      </c>
      <c r="AK8" s="109"/>
      <c r="AL8" s="107">
        <f t="shared" si="5"/>
        <v>9384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147.6</v>
      </c>
      <c r="N9" s="71">
        <v>90.4</v>
      </c>
      <c r="O9" s="71">
        <v>5.53</v>
      </c>
      <c r="P9" s="71">
        <v>100</v>
      </c>
      <c r="Q9" s="89">
        <f t="shared" si="0"/>
        <v>343.53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5650.44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10849.56</v>
      </c>
      <c r="AE9" s="96">
        <f>ROUND(MAX((AD9)*{0.03;0.1;0.2;0.25;0.3;0.35;0.45}-{0;2520;16920;31920;52920;85920;181920},0),2)</f>
        <v>325.49</v>
      </c>
      <c r="AF9" s="97">
        <f>IFERROR(VLOOKUP(E:E,'（居民）工资表-10月'!E:AF,28,0)+VLOOKUP(E:E,'（居民）工资表-10月'!E:AG,29,0),0)</f>
        <v>290.79</v>
      </c>
      <c r="AG9" s="97">
        <f t="shared" si="9"/>
        <v>34.7</v>
      </c>
      <c r="AH9" s="107">
        <f t="shared" si="3"/>
        <v>6121.77</v>
      </c>
      <c r="AI9" s="108"/>
      <c r="AJ9" s="107">
        <f t="shared" si="4"/>
        <v>6121.77</v>
      </c>
      <c r="AK9" s="109"/>
      <c r="AL9" s="107">
        <f t="shared" si="5"/>
        <v>6156.47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208</v>
      </c>
      <c r="D10" s="37" t="s">
        <v>143</v>
      </c>
      <c r="E10" s="326" t="s">
        <v>209</v>
      </c>
      <c r="F10" s="38" t="s">
        <v>144</v>
      </c>
      <c r="G10" s="39" t="s">
        <v>210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L10+IFERROR(VLOOKUP($E:$E,'（居民）工资表-10月'!$E:$S,15,0),0)</f>
        <v>5500</v>
      </c>
      <c r="T10" s="91">
        <f>5000+IFERROR(VLOOKUP($E:$E,'（居民）工资表-10月'!$E:$T,16,0),0)</f>
        <v>5000</v>
      </c>
      <c r="U10" s="91">
        <f>Q10+IFERROR(VLOOKUP($E:$E,'（居民）工资表-10月'!$E:$U,17,0),0)</f>
        <v>542.39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-42.39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4957.61</v>
      </c>
      <c r="AI10" s="108"/>
      <c r="AJ10" s="107">
        <f t="shared" si="4"/>
        <v>4957.61</v>
      </c>
      <c r="AK10" s="109"/>
      <c r="AL10" s="107">
        <f t="shared" si="5"/>
        <v>4957.61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4598.8</v>
      </c>
      <c r="M11" s="71">
        <v>352</v>
      </c>
      <c r="N11" s="71">
        <v>110</v>
      </c>
      <c r="O11" s="71">
        <v>22</v>
      </c>
      <c r="P11" s="71">
        <v>109</v>
      </c>
      <c r="Q11" s="89">
        <f t="shared" si="0"/>
        <v>593</v>
      </c>
      <c r="R11" s="70">
        <v>0</v>
      </c>
      <c r="S11" s="90">
        <f>L11+IFERROR(VLOOKUP($E:$E,'（居民）工资表-10月'!$E:$S,15,0),0)</f>
        <v>49616.59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7002.13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-12385.54</v>
      </c>
      <c r="AE11" s="96">
        <f>ROUND(MAX((AD11)*{0.03;0.1;0.2;0.25;0.3;0.35;0.45}-{0;2520;16920;31920;52920;85920;181920},0),2)</f>
        <v>0</v>
      </c>
      <c r="AF11" s="97">
        <f>IFERROR(VLOOKUP(E:E,'（居民）工资表-10月'!E:AF,28,0)+VLOOKUP(E:E,'（居民）工资表-10月'!E:AG,29,0),0)</f>
        <v>0</v>
      </c>
      <c r="AG11" s="97">
        <f t="shared" si="9"/>
        <v>0</v>
      </c>
      <c r="AH11" s="107">
        <f t="shared" si="3"/>
        <v>4005.8</v>
      </c>
      <c r="AI11" s="108"/>
      <c r="AJ11" s="107">
        <f t="shared" si="4"/>
        <v>4005.8</v>
      </c>
      <c r="AK11" s="109"/>
      <c r="AL11" s="107">
        <f t="shared" si="5"/>
        <v>4005.8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128.68</v>
      </c>
      <c r="O12" s="71">
        <v>20.1</v>
      </c>
      <c r="P12" s="71">
        <v>97</v>
      </c>
      <c r="Q12" s="89">
        <f t="shared" ref="Q12:Q20" si="10">ROUND(SUM(M12:P12),2)</f>
        <v>567.3</v>
      </c>
      <c r="R12" s="70">
        <v>0</v>
      </c>
      <c r="S12" s="90">
        <f>L12+IFERROR(VLOOKUP($E:$E,'（居民）工资表-10月'!$E:$S,15,0),0)</f>
        <v>96000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6397.54</v>
      </c>
      <c r="V12" s="70"/>
      <c r="W12" s="70"/>
      <c r="X12" s="70"/>
      <c r="Y12" s="70"/>
      <c r="Z12" s="70"/>
      <c r="AA12" s="70"/>
      <c r="AB12" s="90">
        <f t="shared" ref="AB12:AB20" si="11">ROUND(SUM(V12:AA12),2)</f>
        <v>0</v>
      </c>
      <c r="AC12" s="90">
        <f>R12+IFERROR(VLOOKUP($E:$E,'（居民）工资表-10月'!$E:$AC,25,0),0)</f>
        <v>0</v>
      </c>
      <c r="AD12" s="95">
        <f t="shared" ref="AD12:AD20" si="12">ROUND(S12-T12-U12-AB12-AC12,2)</f>
        <v>34602.46</v>
      </c>
      <c r="AE12" s="96">
        <f>ROUND(MAX((AD12)*{0.03;0.1;0.2;0.25;0.3;0.35;0.45}-{0;2520;16920;31920;52920;85920;181920},0),2)</f>
        <v>1038.07</v>
      </c>
      <c r="AF12" s="97">
        <f>IFERROR(VLOOKUP(E:E,'（居民）工资表-10月'!E:AF,28,0)+VLOOKUP(E:E,'（居民）工资表-10月'!E:AG,29,0),0)</f>
        <v>950.09</v>
      </c>
      <c r="AG12" s="97">
        <f t="shared" ref="AG12:AG20" si="13">IF((AE12-AF12)&lt;0,0,AE12-AF12)</f>
        <v>87.9799999999999</v>
      </c>
      <c r="AH12" s="107">
        <f t="shared" ref="AH12:AH20" si="14">ROUND(IF((L12-Q12-AG12)&lt;0,0,(L12-Q12-AG12)),2)</f>
        <v>7844.72</v>
      </c>
      <c r="AI12" s="108"/>
      <c r="AJ12" s="107">
        <f t="shared" ref="AJ12:AJ20" si="15">AH12+AI12</f>
        <v>7844.72</v>
      </c>
      <c r="AK12" s="109"/>
      <c r="AL12" s="107">
        <f t="shared" ref="AL12:AL20" si="16">AJ12+AG12+AK12</f>
        <v>7932.7</v>
      </c>
      <c r="AM12" s="109"/>
      <c r="AN12" s="109"/>
      <c r="AO12" s="109"/>
      <c r="AP12" s="109"/>
      <c r="AQ12" s="109"/>
      <c r="AR12" s="116" t="str">
        <f t="shared" ref="AR12:AR20" si="17">IF(LEN(E12)=18,IF(RIGHT(E12,1)="X"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,"正确","错误"),IF(CHOOSE(MOD(SUM(LEFT(RIGHT(E12,18))*7+LEFT(RIGHT(E12,17))*9+LEFT(RIGHT(E12,16))*10+LEFT(RIGHT(E12,15))*5+LEFT(RIGHT(E12,14))*8+LEFT(RIGHT(E12,13))*4+LEFT(RIGHT(E12,12))*2+LEFT(RIGHT(E12,11))*1+LEFT(RIGHT(E12,10))*6+LEFT(RIGHT(E12,9))*3+LEFT(RIGHT(E12,8))*7+LEFT(RIGHT(E12,7))*9+LEFT(RIGHT(E12,6))*10+LEFT(RIGHT(E12,5))*5+LEFT(RIGHT(E12,4))*8+LEFT(RIGHT(E12,3))*4+LEFT(RIGHT(E12,2))*2),11)+1,1,0,"X",9,8,7,6,5,4,3,2)=LEFT(RIGHT(E12,1))*1,"正确","错误")),IF(LEN(E12)=15,"老号，请注意！",IF(LEN(E12)=0,"未填写身份证号码","位数不对！")))</f>
        <v>正确</v>
      </c>
      <c r="AS12" s="116" t="str">
        <f t="shared" ref="AS12:AS20" si="18">IF(SUMPRODUCT(N(E$1:E$6=E12))&gt;1,"重复","不")</f>
        <v>不</v>
      </c>
      <c r="AT12" s="116" t="str">
        <f t="shared" ref="AT12:AT20" si="19"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688</v>
      </c>
      <c r="Q13" s="89">
        <f t="shared" si="10"/>
        <v>1116</v>
      </c>
      <c r="R13" s="70">
        <v>0</v>
      </c>
      <c r="S13" s="90">
        <f>L13+IFERROR(VLOOKUP($E:$E,'（居民）工资表-10月'!$E:$S,15,0),0)</f>
        <v>79500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9076.24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R13+IFERROR(VLOOKUP($E:$E,'（居民）工资表-10月'!$E:$AC,25,0),0)</f>
        <v>0</v>
      </c>
      <c r="AD13" s="95">
        <f t="shared" si="12"/>
        <v>15423.76</v>
      </c>
      <c r="AE13" s="96">
        <f>ROUND(MAX((AD13)*{0.03;0.1;0.2;0.25;0.3;0.35;0.45}-{0;2520;16920;31920;52920;85920;181920},0),2)</f>
        <v>462.71</v>
      </c>
      <c r="AF13" s="97">
        <f>IFERROR(VLOOKUP(E:E,'（居民）工资表-10月'!E:AF,28,0)+VLOOKUP(E:E,'（居民）工资表-10月'!E:AG,29,0),0)</f>
        <v>436.19</v>
      </c>
      <c r="AG13" s="97">
        <f t="shared" si="13"/>
        <v>26.52</v>
      </c>
      <c r="AH13" s="107">
        <f t="shared" si="14"/>
        <v>5857.48</v>
      </c>
      <c r="AI13" s="108"/>
      <c r="AJ13" s="107">
        <f t="shared" si="15"/>
        <v>5857.48</v>
      </c>
      <c r="AK13" s="109"/>
      <c r="AL13" s="107">
        <f t="shared" si="16"/>
        <v>5884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688</v>
      </c>
      <c r="Q14" s="89">
        <f t="shared" si="10"/>
        <v>1116</v>
      </c>
      <c r="R14" s="70">
        <v>0</v>
      </c>
      <c r="S14" s="90">
        <f>L14+IFERROR(VLOOKUP($E:$E,'（居民）工资表-10月'!$E:$S,15,0),0)</f>
        <v>82608.7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9085.94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R14+IFERROR(VLOOKUP($E:$E,'（居民）工资表-10月'!$E:$AC,25,0),0)</f>
        <v>0</v>
      </c>
      <c r="AD14" s="95">
        <f t="shared" si="12"/>
        <v>18522.76</v>
      </c>
      <c r="AE14" s="96">
        <f>ROUND(MAX((AD14)*{0.03;0.1;0.2;0.25;0.3;0.35;0.45}-{0;2520;16920;31920;52920;85920;181920},0),2)</f>
        <v>555.68</v>
      </c>
      <c r="AF14" s="97">
        <f>IFERROR(VLOOKUP(E:E,'（居民）工资表-10月'!E:AF,28,0)+VLOOKUP(E:E,'（居民）工资表-10月'!E:AG,29,0),0)</f>
        <v>529.16</v>
      </c>
      <c r="AG14" s="97">
        <f t="shared" si="13"/>
        <v>26.52</v>
      </c>
      <c r="AH14" s="107">
        <f t="shared" si="14"/>
        <v>5857.48</v>
      </c>
      <c r="AI14" s="108"/>
      <c r="AJ14" s="107">
        <f t="shared" si="15"/>
        <v>5857.48</v>
      </c>
      <c r="AK14" s="109"/>
      <c r="AL14" s="107">
        <f t="shared" si="16"/>
        <v>5884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128.68</v>
      </c>
      <c r="O15" s="71">
        <v>20.1</v>
      </c>
      <c r="P15" s="71">
        <v>97</v>
      </c>
      <c r="Q15" s="89">
        <f t="shared" si="10"/>
        <v>567.3</v>
      </c>
      <c r="R15" s="70">
        <v>0</v>
      </c>
      <c r="S15" s="90">
        <f>L15+IFERROR(VLOOKUP($E:$E,'（居民）工资表-10月'!$E:$S,15,0),0)</f>
        <v>7000</v>
      </c>
      <c r="T15" s="91">
        <f>5000+IFERROR(VLOOKUP($E:$E,'（居民）工资表-10月'!$E:$T,16,0),0)</f>
        <v>5000</v>
      </c>
      <c r="U15" s="91">
        <f>Q15+IFERROR(VLOOKUP($E:$E,'（居民）工资表-10月'!$E:$U,17,0),0)</f>
        <v>567.3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R15+IFERROR(VLOOKUP($E:$E,'（居民）工资表-10月'!$E:$AC,25,0),0)</f>
        <v>0</v>
      </c>
      <c r="AD15" s="95">
        <f t="shared" si="12"/>
        <v>1432.7</v>
      </c>
      <c r="AE15" s="96">
        <f>ROUND(MAX((AD15)*{0.03;0.1;0.2;0.25;0.3;0.35;0.45}-{0;2520;16920;31920;52920;85920;181920},0),2)</f>
        <v>42.98</v>
      </c>
      <c r="AF15" s="97">
        <f>IFERROR(VLOOKUP(E:E,'（居民）工资表-10月'!E:AF,28,0)+VLOOKUP(E:E,'（居民）工资表-10月'!E:AG,29,0),0)</f>
        <v>0</v>
      </c>
      <c r="AG15" s="97">
        <f t="shared" si="13"/>
        <v>42.98</v>
      </c>
      <c r="AH15" s="107">
        <f t="shared" si="14"/>
        <v>6389.72</v>
      </c>
      <c r="AI15" s="108"/>
      <c r="AJ15" s="107">
        <f t="shared" si="15"/>
        <v>6389.72</v>
      </c>
      <c r="AK15" s="109"/>
      <c r="AL15" s="107">
        <f t="shared" si="16"/>
        <v>6432.7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90.51</v>
      </c>
      <c r="O16" s="71">
        <v>20.1</v>
      </c>
      <c r="P16" s="71">
        <v>97</v>
      </c>
      <c r="Q16" s="89">
        <f t="shared" si="10"/>
        <v>529.13</v>
      </c>
      <c r="R16" s="70">
        <v>0</v>
      </c>
      <c r="S16" s="90">
        <f>L16+IFERROR(VLOOKUP($E:$E,'（居民）工资表-10月'!$E:$S,15,0),0)</f>
        <v>6060</v>
      </c>
      <c r="T16" s="91">
        <f>5000+IFERROR(VLOOKUP($E:$E,'（居民）工资表-10月'!$E:$T,16,0),0)</f>
        <v>5000</v>
      </c>
      <c r="U16" s="91">
        <f>Q16+IFERROR(VLOOKUP($E:$E,'（居民）工资表-10月'!$E:$U,17,0),0)</f>
        <v>529.13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R16+IFERROR(VLOOKUP($E:$E,'（居民）工资表-10月'!$E:$AC,25,0),0)</f>
        <v>0</v>
      </c>
      <c r="AD16" s="95">
        <f t="shared" si="12"/>
        <v>530.87</v>
      </c>
      <c r="AE16" s="96">
        <f>ROUND(MAX((AD16)*{0.03;0.1;0.2;0.25;0.3;0.35;0.45}-{0;2520;16920;31920;52920;85920;181920},0),2)</f>
        <v>15.93</v>
      </c>
      <c r="AF16" s="97">
        <f>IFERROR(VLOOKUP(E:E,'（居民）工资表-10月'!E:AF,28,0)+VLOOKUP(E:E,'（居民）工资表-10月'!E:AG,29,0),0)</f>
        <v>0</v>
      </c>
      <c r="AG16" s="97">
        <f t="shared" si="13"/>
        <v>15.93</v>
      </c>
      <c r="AH16" s="107">
        <f t="shared" si="14"/>
        <v>5514.94</v>
      </c>
      <c r="AI16" s="108"/>
      <c r="AJ16" s="107">
        <f t="shared" si="15"/>
        <v>5514.94</v>
      </c>
      <c r="AK16" s="109"/>
      <c r="AL16" s="107">
        <f t="shared" si="16"/>
        <v>5530.87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U16" s="11"/>
      <c r="AV16" s="11"/>
    </row>
    <row r="17" s="12" customFormat="1" ht="18" customHeight="1" spans="1:48">
      <c r="A17" s="36">
        <v>14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147.6</v>
      </c>
      <c r="N17" s="71">
        <v>90.4</v>
      </c>
      <c r="O17" s="71">
        <v>5.53</v>
      </c>
      <c r="P17" s="71">
        <v>175</v>
      </c>
      <c r="Q17" s="89">
        <f t="shared" si="10"/>
        <v>418.53</v>
      </c>
      <c r="R17" s="70">
        <v>0</v>
      </c>
      <c r="S17" s="90">
        <f>L17+IFERROR(VLOOKUP($E:$E,'（居民）工资表-10月'!$E:$S,15,0),0)</f>
        <v>6560</v>
      </c>
      <c r="T17" s="91">
        <f>5000+IFERROR(VLOOKUP($E:$E,'（居民）工资表-10月'!$E:$T,16,0),0)</f>
        <v>5000</v>
      </c>
      <c r="U17" s="91">
        <f>Q17+IFERROR(VLOOKUP($E:$E,'（居民）工资表-10月'!$E:$U,17,0),0)</f>
        <v>418.53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R17+IFERROR(VLOOKUP($E:$E,'（居民）工资表-10月'!$E:$AC,25,0),0)</f>
        <v>0</v>
      </c>
      <c r="AD17" s="95">
        <f t="shared" si="12"/>
        <v>1141.47</v>
      </c>
      <c r="AE17" s="96">
        <f>ROUND(MAX((AD17)*{0.03;0.1;0.2;0.25;0.3;0.35;0.45}-{0;2520;16920;31920;52920;85920;181920},0),2)</f>
        <v>34.24</v>
      </c>
      <c r="AF17" s="97">
        <f>IFERROR(VLOOKUP(E:E,'（居民）工资表-10月'!E:AF,28,0)+VLOOKUP(E:E,'（居民）工资表-10月'!E:AG,29,0),0)</f>
        <v>0</v>
      </c>
      <c r="AG17" s="97">
        <f t="shared" si="13"/>
        <v>34.24</v>
      </c>
      <c r="AH17" s="107">
        <f t="shared" si="14"/>
        <v>6107.23</v>
      </c>
      <c r="AI17" s="108"/>
      <c r="AJ17" s="107">
        <f t="shared" si="15"/>
        <v>6107.23</v>
      </c>
      <c r="AK17" s="109"/>
      <c r="AL17" s="107">
        <f t="shared" si="16"/>
        <v>6141.47</v>
      </c>
      <c r="AM17" s="109"/>
      <c r="AN17" s="109"/>
      <c r="AO17" s="109"/>
      <c r="AP17" s="109"/>
      <c r="AQ17" s="109"/>
      <c r="AR17" s="116" t="str">
        <f t="shared" si="17"/>
        <v>正确</v>
      </c>
      <c r="AS17" s="116" t="str">
        <f t="shared" si="18"/>
        <v>不</v>
      </c>
      <c r="AT17" s="116" t="str">
        <f t="shared" si="19"/>
        <v>重复</v>
      </c>
      <c r="AU17" s="11"/>
      <c r="AV17" s="11"/>
    </row>
    <row r="18" s="12" customFormat="1" ht="18" customHeight="1" spans="1:48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10"/>
        <v>525</v>
      </c>
      <c r="R18" s="70">
        <v>0</v>
      </c>
      <c r="S18" s="90">
        <f>L18+IFERROR(VLOOKUP($E:$E,'（居民）工资表-10月'!$E:$S,15,0),0)</f>
        <v>66000</v>
      </c>
      <c r="T18" s="91">
        <f>5000+IFERROR(VLOOKUP($E:$E,'（居民）工资表-10月'!$E:$T,16,0),0)</f>
        <v>55000</v>
      </c>
      <c r="U18" s="91">
        <f>Q18+IFERROR(VLOOKUP($E:$E,'（居民）工资表-10月'!$E:$U,17,0),0)</f>
        <v>6015.24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R18+IFERROR(VLOOKUP($E:$E,'（居民）工资表-10月'!$E:$AC,25,0),0)</f>
        <v>0</v>
      </c>
      <c r="AD18" s="95">
        <f t="shared" si="12"/>
        <v>4984.76</v>
      </c>
      <c r="AE18" s="96">
        <f>ROUND(MAX((AD18)*{0.03;0.1;0.2;0.25;0.3;0.35;0.45}-{0;2520;16920;31920;52920;85920;181920},0),2)</f>
        <v>149.54</v>
      </c>
      <c r="AF18" s="97">
        <f>IFERROR(VLOOKUP(E:E,'（居民）工资表-10月'!E:AF,28,0)+VLOOKUP(E:E,'（居民）工资表-10月'!E:AG,29,0),0)</f>
        <v>135.29</v>
      </c>
      <c r="AG18" s="97">
        <f t="shared" si="13"/>
        <v>14.25</v>
      </c>
      <c r="AH18" s="107">
        <f t="shared" si="14"/>
        <v>5460.75</v>
      </c>
      <c r="AI18" s="108"/>
      <c r="AJ18" s="107">
        <f t="shared" si="15"/>
        <v>5460.75</v>
      </c>
      <c r="AK18" s="109"/>
      <c r="AL18" s="107">
        <f t="shared" si="16"/>
        <v>5475</v>
      </c>
      <c r="AM18" s="109"/>
      <c r="AN18" s="109"/>
      <c r="AO18" s="109"/>
      <c r="AP18" s="109"/>
      <c r="AQ18" s="109"/>
      <c r="AR18" s="116" t="str">
        <f t="shared" si="17"/>
        <v>正确</v>
      </c>
      <c r="AS18" s="116" t="str">
        <f t="shared" si="18"/>
        <v>不</v>
      </c>
      <c r="AT18" s="116" t="str">
        <f t="shared" si="19"/>
        <v>重复</v>
      </c>
      <c r="AU18" s="11"/>
      <c r="AV18" s="11"/>
    </row>
    <row r="19" s="12" customFormat="1" ht="18" customHeight="1" spans="1:48">
      <c r="A19" s="36">
        <v>16</v>
      </c>
      <c r="B19" s="37" t="s">
        <v>142</v>
      </c>
      <c r="C19" s="37" t="s">
        <v>213</v>
      </c>
      <c r="D19" s="37" t="s">
        <v>143</v>
      </c>
      <c r="E19" s="326" t="s">
        <v>214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5425</v>
      </c>
      <c r="M19" s="71">
        <v>337.92</v>
      </c>
      <c r="N19" s="71">
        <v>91.48</v>
      </c>
      <c r="O19" s="71">
        <v>12.67</v>
      </c>
      <c r="P19" s="71">
        <v>100.5</v>
      </c>
      <c r="Q19" s="89">
        <f t="shared" si="10"/>
        <v>542.57</v>
      </c>
      <c r="R19" s="70">
        <v>0</v>
      </c>
      <c r="S19" s="90">
        <f>L19+IFERROR(VLOOKUP($E:$E,'（居民）工资表-10月'!$E:$S,15,0),0)</f>
        <v>5425</v>
      </c>
      <c r="T19" s="91">
        <f>5000+IFERROR(VLOOKUP($E:$E,'（居民）工资表-10月'!$E:$T,16,0),0)</f>
        <v>5000</v>
      </c>
      <c r="U19" s="91">
        <f>Q19+IFERROR(VLOOKUP($E:$E,'（居民）工资表-10月'!$E:$U,17,0),0)</f>
        <v>542.57</v>
      </c>
      <c r="V19" s="70"/>
      <c r="W19" s="70"/>
      <c r="X19" s="70"/>
      <c r="Y19" s="70"/>
      <c r="Z19" s="70"/>
      <c r="AA19" s="70"/>
      <c r="AB19" s="90">
        <f t="shared" si="11"/>
        <v>0</v>
      </c>
      <c r="AC19" s="90">
        <f>R19+IFERROR(VLOOKUP($E:$E,'（居民）工资表-10月'!$E:$AC,25,0),0)</f>
        <v>0</v>
      </c>
      <c r="AD19" s="95">
        <f t="shared" si="12"/>
        <v>-117.57</v>
      </c>
      <c r="AE19" s="96">
        <f>ROUND(MAX((AD19)*{0.03;0.1;0.2;0.25;0.3;0.35;0.45}-{0;2520;16920;31920;52920;85920;181920},0),2)</f>
        <v>0</v>
      </c>
      <c r="AF19" s="97">
        <f>IFERROR(VLOOKUP(E:E,'（居民）工资表-10月'!E:AF,28,0)+VLOOKUP(E:E,'（居民）工资表-10月'!E:AG,29,0),0)</f>
        <v>0</v>
      </c>
      <c r="AG19" s="97">
        <f t="shared" si="13"/>
        <v>0</v>
      </c>
      <c r="AH19" s="107">
        <f t="shared" si="14"/>
        <v>4882.43</v>
      </c>
      <c r="AI19" s="108"/>
      <c r="AJ19" s="107">
        <f t="shared" si="15"/>
        <v>4882.43</v>
      </c>
      <c r="AK19" s="109"/>
      <c r="AL19" s="107">
        <f t="shared" si="16"/>
        <v>4882.43</v>
      </c>
      <c r="AM19" s="109"/>
      <c r="AN19" s="109"/>
      <c r="AO19" s="109"/>
      <c r="AP19" s="109"/>
      <c r="AQ19" s="109"/>
      <c r="AR19" s="116" t="str">
        <f t="shared" si="17"/>
        <v>正确</v>
      </c>
      <c r="AS19" s="116" t="str">
        <f t="shared" si="18"/>
        <v>不</v>
      </c>
      <c r="AT19" s="116" t="str">
        <f t="shared" si="19"/>
        <v>重复</v>
      </c>
      <c r="AU19" s="11"/>
      <c r="AV19" s="11"/>
    </row>
    <row r="20" s="12" customFormat="1" ht="18" customHeight="1" spans="1:48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  <c r="AU20" s="11"/>
      <c r="AV20" s="11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>SUM(L4:L19)</f>
        <v>132903.8</v>
      </c>
      <c r="M21" s="74">
        <f>SUM(M4:M19)</f>
        <v>5213.7</v>
      </c>
      <c r="N21" s="74">
        <f>SUM(N4:N19)</f>
        <v>1587.08</v>
      </c>
      <c r="O21" s="74">
        <f t="shared" ref="O21:AL21" si="20">SUM(O4:O19)</f>
        <v>280.25</v>
      </c>
      <c r="P21" s="74">
        <f t="shared" si="20"/>
        <v>3617.5</v>
      </c>
      <c r="Q21" s="74">
        <f t="shared" si="20"/>
        <v>10698.53</v>
      </c>
      <c r="R21" s="74">
        <f t="shared" si="20"/>
        <v>0</v>
      </c>
      <c r="S21" s="74">
        <f t="shared" si="20"/>
        <v>1175130.29</v>
      </c>
      <c r="T21" s="74">
        <f t="shared" si="20"/>
        <v>630000</v>
      </c>
      <c r="U21" s="74">
        <f t="shared" si="20"/>
        <v>85414.19</v>
      </c>
      <c r="V21" s="74">
        <f t="shared" si="20"/>
        <v>0</v>
      </c>
      <c r="W21" s="74">
        <f t="shared" si="20"/>
        <v>0</v>
      </c>
      <c r="X21" s="74">
        <f t="shared" si="20"/>
        <v>0</v>
      </c>
      <c r="Y21" s="74">
        <f t="shared" si="20"/>
        <v>0</v>
      </c>
      <c r="Z21" s="74">
        <f t="shared" si="20"/>
        <v>0</v>
      </c>
      <c r="AA21" s="74">
        <f t="shared" si="20"/>
        <v>0</v>
      </c>
      <c r="AB21" s="74">
        <f t="shared" si="20"/>
        <v>0</v>
      </c>
      <c r="AC21" s="74">
        <f t="shared" si="20"/>
        <v>0</v>
      </c>
      <c r="AD21" s="74">
        <f t="shared" si="20"/>
        <v>459716.1</v>
      </c>
      <c r="AE21" s="74">
        <f t="shared" si="20"/>
        <v>43700.87</v>
      </c>
      <c r="AF21" s="74">
        <f t="shared" si="20"/>
        <v>37837.89</v>
      </c>
      <c r="AG21" s="74">
        <f t="shared" si="20"/>
        <v>5862.98</v>
      </c>
      <c r="AH21" s="74">
        <f t="shared" si="20"/>
        <v>116342.29</v>
      </c>
      <c r="AI21" s="74">
        <f t="shared" si="20"/>
        <v>0</v>
      </c>
      <c r="AJ21" s="74">
        <f t="shared" si="20"/>
        <v>116342.29</v>
      </c>
      <c r="AK21" s="74">
        <f t="shared" si="20"/>
        <v>0</v>
      </c>
      <c r="AL21" s="74">
        <f t="shared" si="20"/>
        <v>122205.27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116342.29</v>
      </c>
      <c r="C26" s="48">
        <f>AG21</f>
        <v>5862.98</v>
      </c>
      <c r="D26" s="48">
        <f>AK21</f>
        <v>0</v>
      </c>
      <c r="E26" s="48">
        <f>B26+C26+D26</f>
        <v>122205.27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xmlns:etc="http://www.wps.cn/officeDocument/2017/etCustomData" ref="A3:AT21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175.86</v>
      </c>
      <c r="O4" s="71">
        <v>11.98</v>
      </c>
      <c r="P4" s="71">
        <v>177.4</v>
      </c>
      <c r="Q4" s="70">
        <f>ROUND(SUM(M4:P4),2)</f>
        <v>684.7</v>
      </c>
      <c r="R4" s="70">
        <v>0</v>
      </c>
      <c r="S4" s="92">
        <f>L4</f>
        <v>8000</v>
      </c>
      <c r="T4" s="93">
        <v>5000</v>
      </c>
      <c r="U4" s="93">
        <f>Q4</f>
        <v>684.7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2315.3</v>
      </c>
      <c r="AE4" s="99">
        <f>ROUND(MAX((AD4)*{0.03;0.1;0.2;0.25;0.3;0.35;0.45}-{0;2520;16920;31920;52920;85920;181920},0),2)</f>
        <v>69.46</v>
      </c>
      <c r="AF4" s="100">
        <v>0</v>
      </c>
      <c r="AG4" s="100">
        <f>IF((AE4-AF4)&lt;0,0,AE4-AF4)</f>
        <v>69.46</v>
      </c>
      <c r="AH4" s="109">
        <f>ROUND(IF((L4-Q4-AG4)&lt;0,0,(L4-Q4-AG4)),2)</f>
        <v>7245.84</v>
      </c>
      <c r="AI4" s="108"/>
      <c r="AJ4" s="109">
        <f>AH4+AI4</f>
        <v>7245.84</v>
      </c>
      <c r="AK4" s="109"/>
      <c r="AL4" s="109">
        <f>AJ4+AG4+AK4</f>
        <v>7315.3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127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70">
        <f t="shared" ref="Q5:Q19" si="0">ROUND(SUM(M5:P5),2)</f>
        <v>655.8</v>
      </c>
      <c r="R5" s="70">
        <v>0</v>
      </c>
      <c r="S5" s="92">
        <f t="shared" ref="S5:S21" si="1">L5</f>
        <v>5700</v>
      </c>
      <c r="T5" s="93">
        <v>5000</v>
      </c>
      <c r="U5" s="93">
        <f t="shared" ref="U5:U21" si="2">Q5</f>
        <v>655.8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44.2</v>
      </c>
      <c r="AE5" s="99">
        <f>ROUND(MAX((AD5)*{0.03;0.1;0.2;0.25;0.3;0.35;0.45}-{0;2520;16920;31920;52920;85920;181920},0),2)</f>
        <v>1.33</v>
      </c>
      <c r="AF5" s="100">
        <v>0</v>
      </c>
      <c r="AG5" s="100">
        <f t="shared" ref="AG5:AG21" si="6">IF((AE5-AF5)&lt;0,0,AE5-AF5)</f>
        <v>1.33</v>
      </c>
      <c r="AH5" s="109">
        <f t="shared" ref="AH5:AH21" si="7">ROUND(IF((L5-Q5-AG5)&lt;0,0,(L5-Q5-AG5)),2)</f>
        <v>5042.87</v>
      </c>
      <c r="AI5" s="108"/>
      <c r="AJ5" s="109">
        <f t="shared" ref="AJ5:AJ21" si="8">AH5+AI5</f>
        <v>5042.87</v>
      </c>
      <c r="AK5" s="109"/>
      <c r="AL5" s="109">
        <f t="shared" ref="AL5:AL21" si="9">AJ5+AG5+AK5</f>
        <v>5044.2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127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70">
        <f t="shared" si="0"/>
        <v>948.55</v>
      </c>
      <c r="R6" s="70">
        <v>0</v>
      </c>
      <c r="S6" s="92">
        <f t="shared" si="1"/>
        <v>30060</v>
      </c>
      <c r="T6" s="93">
        <v>5000</v>
      </c>
      <c r="U6" s="93">
        <f t="shared" si="2"/>
        <v>948.55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24111.45</v>
      </c>
      <c r="AE6" s="99">
        <f>ROUND(MAX((AD6)*{0.03;0.1;0.2;0.25;0.3;0.35;0.45}-{0;2520;16920;31920;52920;85920;181920},0),2)</f>
        <v>723.34</v>
      </c>
      <c r="AF6" s="100">
        <v>0</v>
      </c>
      <c r="AG6" s="100">
        <f t="shared" si="6"/>
        <v>723.34</v>
      </c>
      <c r="AH6" s="109">
        <f t="shared" si="7"/>
        <v>28388.11</v>
      </c>
      <c r="AI6" s="108"/>
      <c r="AJ6" s="109">
        <f t="shared" si="8"/>
        <v>28388.11</v>
      </c>
      <c r="AK6" s="109"/>
      <c r="AL6" s="109">
        <f t="shared" si="9"/>
        <v>29111.45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127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70">
        <f t="shared" si="0"/>
        <v>527.71</v>
      </c>
      <c r="R7" s="70">
        <v>0</v>
      </c>
      <c r="S7" s="92">
        <f t="shared" si="1"/>
        <v>8000</v>
      </c>
      <c r="T7" s="93">
        <v>5000</v>
      </c>
      <c r="U7" s="93">
        <f t="shared" si="2"/>
        <v>527.71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2472.29</v>
      </c>
      <c r="AE7" s="99">
        <f>ROUND(MAX((AD7)*{0.03;0.1;0.2;0.25;0.3;0.35;0.45}-{0;2520;16920;31920;52920;85920;181920},0),2)</f>
        <v>74.17</v>
      </c>
      <c r="AF7" s="100">
        <v>0</v>
      </c>
      <c r="AG7" s="100">
        <f t="shared" si="6"/>
        <v>74.17</v>
      </c>
      <c r="AH7" s="109">
        <f t="shared" si="7"/>
        <v>7398.12</v>
      </c>
      <c r="AI7" s="108"/>
      <c r="AJ7" s="109">
        <f t="shared" si="8"/>
        <v>7398.12</v>
      </c>
      <c r="AK7" s="109"/>
      <c r="AL7" s="109">
        <f t="shared" si="9"/>
        <v>7472.29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127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 t="shared" si="1"/>
        <v>10500</v>
      </c>
      <c r="T8" s="93">
        <v>5000</v>
      </c>
      <c r="U8" s="93">
        <f t="shared" si="2"/>
        <v>772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4728</v>
      </c>
      <c r="AE8" s="99">
        <f>ROUND(MAX((AD8)*{0.03;0.1;0.2;0.25;0.3;0.35;0.45}-{0;2520;16920;31920;52920;85920;181920},0),2)</f>
        <v>141.84</v>
      </c>
      <c r="AF8" s="100">
        <v>0</v>
      </c>
      <c r="AG8" s="100">
        <f t="shared" si="6"/>
        <v>141.84</v>
      </c>
      <c r="AH8" s="109">
        <f t="shared" si="7"/>
        <v>9586.16</v>
      </c>
      <c r="AI8" s="108"/>
      <c r="AJ8" s="109">
        <f t="shared" si="8"/>
        <v>9586.16</v>
      </c>
      <c r="AK8" s="109"/>
      <c r="AL8" s="109">
        <f t="shared" si="9"/>
        <v>9728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127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70">
        <f t="shared" si="0"/>
        <v>503.31</v>
      </c>
      <c r="R9" s="70">
        <v>0</v>
      </c>
      <c r="S9" s="92">
        <f t="shared" si="1"/>
        <v>6500</v>
      </c>
      <c r="T9" s="93">
        <v>5000</v>
      </c>
      <c r="U9" s="93">
        <f t="shared" si="2"/>
        <v>503.31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996.69</v>
      </c>
      <c r="AE9" s="99">
        <f>ROUND(MAX((AD9)*{0.03;0.1;0.2;0.25;0.3;0.35;0.45}-{0;2520;16920;31920;52920;85920;181920},0),2)</f>
        <v>29.9</v>
      </c>
      <c r="AF9" s="100">
        <v>0</v>
      </c>
      <c r="AG9" s="100">
        <f t="shared" si="6"/>
        <v>29.9</v>
      </c>
      <c r="AH9" s="109">
        <f t="shared" si="7"/>
        <v>5966.79</v>
      </c>
      <c r="AI9" s="108"/>
      <c r="AJ9" s="109">
        <f t="shared" si="8"/>
        <v>5966.79</v>
      </c>
      <c r="AK9" s="109"/>
      <c r="AL9" s="109">
        <f t="shared" si="9"/>
        <v>5996.69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208</v>
      </c>
      <c r="D10" s="37" t="s">
        <v>143</v>
      </c>
      <c r="E10" s="326" t="s">
        <v>209</v>
      </c>
      <c r="F10" s="127" t="s">
        <v>144</v>
      </c>
      <c r="G10" s="39" t="s">
        <v>210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70">
        <f t="shared" si="0"/>
        <v>542.39</v>
      </c>
      <c r="R10" s="70">
        <v>0</v>
      </c>
      <c r="S10" s="92">
        <f t="shared" si="1"/>
        <v>5500</v>
      </c>
      <c r="T10" s="93">
        <v>5000</v>
      </c>
      <c r="U10" s="93">
        <f t="shared" si="2"/>
        <v>542.39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-42.39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4957.61</v>
      </c>
      <c r="AI10" s="108"/>
      <c r="AJ10" s="109">
        <f t="shared" si="8"/>
        <v>4957.61</v>
      </c>
      <c r="AK10" s="109"/>
      <c r="AL10" s="109">
        <f t="shared" si="9"/>
        <v>4957.61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127" t="s">
        <v>148</v>
      </c>
      <c r="G11" s="39" t="s">
        <v>165</v>
      </c>
      <c r="H11" s="40"/>
      <c r="I11" s="40"/>
      <c r="J11" s="69"/>
      <c r="K11" s="40"/>
      <c r="L11" s="70">
        <v>4525.84</v>
      </c>
      <c r="M11" s="71">
        <v>380.08</v>
      </c>
      <c r="N11" s="71">
        <v>117.02</v>
      </c>
      <c r="O11" s="71">
        <v>23.76</v>
      </c>
      <c r="P11" s="71">
        <v>109</v>
      </c>
      <c r="Q11" s="70">
        <f t="shared" si="0"/>
        <v>629.86</v>
      </c>
      <c r="R11" s="70">
        <v>0</v>
      </c>
      <c r="S11" s="92">
        <f t="shared" si="1"/>
        <v>4525.84</v>
      </c>
      <c r="T11" s="93">
        <v>5000</v>
      </c>
      <c r="U11" s="93">
        <f t="shared" si="2"/>
        <v>629.86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-1104.02</v>
      </c>
      <c r="AE11" s="99">
        <f>ROUND(MAX((AD11)*{0.03;0.1;0.2;0.25;0.3;0.35;0.45}-{0;2520;16920;31920;52920;85920;181920},0),2)</f>
        <v>0</v>
      </c>
      <c r="AF11" s="100">
        <v>0</v>
      </c>
      <c r="AG11" s="100">
        <f t="shared" si="6"/>
        <v>0</v>
      </c>
      <c r="AH11" s="109">
        <f t="shared" si="7"/>
        <v>3895.98</v>
      </c>
      <c r="AI11" s="108"/>
      <c r="AJ11" s="109">
        <f t="shared" si="8"/>
        <v>3895.98</v>
      </c>
      <c r="AK11" s="109"/>
      <c r="AL11" s="109">
        <f t="shared" si="9"/>
        <v>3895.98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127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70">
        <f t="shared" si="0"/>
        <v>559</v>
      </c>
      <c r="R12" s="70">
        <v>0</v>
      </c>
      <c r="S12" s="92">
        <f t="shared" si="1"/>
        <v>8500</v>
      </c>
      <c r="T12" s="93">
        <v>5000</v>
      </c>
      <c r="U12" s="93">
        <f t="shared" si="2"/>
        <v>559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2941</v>
      </c>
      <c r="AE12" s="99">
        <f>ROUND(MAX((AD12)*{0.03;0.1;0.2;0.25;0.3;0.35;0.45}-{0;2520;16920;31920;52920;85920;181920},0),2)</f>
        <v>88.23</v>
      </c>
      <c r="AF12" s="100">
        <v>0</v>
      </c>
      <c r="AG12" s="100">
        <f t="shared" si="6"/>
        <v>88.23</v>
      </c>
      <c r="AH12" s="109">
        <f t="shared" si="7"/>
        <v>7852.77</v>
      </c>
      <c r="AI12" s="108"/>
      <c r="AJ12" s="109">
        <f t="shared" si="8"/>
        <v>7852.77</v>
      </c>
      <c r="AK12" s="109"/>
      <c r="AL12" s="109">
        <f t="shared" si="9"/>
        <v>7941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127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70">
        <f t="shared" si="0"/>
        <v>772</v>
      </c>
      <c r="R13" s="70">
        <v>0</v>
      </c>
      <c r="S13" s="92">
        <f t="shared" si="1"/>
        <v>7000</v>
      </c>
      <c r="T13" s="93">
        <v>5000</v>
      </c>
      <c r="U13" s="93">
        <f t="shared" si="2"/>
        <v>772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1228</v>
      </c>
      <c r="AE13" s="99">
        <f>ROUND(MAX((AD13)*{0.03;0.1;0.2;0.25;0.3;0.35;0.45}-{0;2520;16920;31920;52920;85920;181920},0),2)</f>
        <v>36.84</v>
      </c>
      <c r="AF13" s="100">
        <v>0</v>
      </c>
      <c r="AG13" s="100">
        <f t="shared" si="6"/>
        <v>36.84</v>
      </c>
      <c r="AH13" s="109">
        <f t="shared" si="7"/>
        <v>6191.16</v>
      </c>
      <c r="AI13" s="108"/>
      <c r="AJ13" s="109">
        <f t="shared" si="8"/>
        <v>6191.16</v>
      </c>
      <c r="AK13" s="109"/>
      <c r="AL13" s="109">
        <f t="shared" si="9"/>
        <v>6228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127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70">
        <f t="shared" si="0"/>
        <v>772</v>
      </c>
      <c r="R14" s="70">
        <v>0</v>
      </c>
      <c r="S14" s="92">
        <f t="shared" si="1"/>
        <v>7000</v>
      </c>
      <c r="T14" s="93">
        <v>5000</v>
      </c>
      <c r="U14" s="93">
        <f t="shared" si="2"/>
        <v>772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1228</v>
      </c>
      <c r="AE14" s="99">
        <f>ROUND(MAX((AD14)*{0.03;0.1;0.2;0.25;0.3;0.35;0.45}-{0;2520;16920;31920;52920;85920;181920},0),2)</f>
        <v>36.84</v>
      </c>
      <c r="AF14" s="100">
        <v>0</v>
      </c>
      <c r="AG14" s="100">
        <f t="shared" si="6"/>
        <v>36.84</v>
      </c>
      <c r="AH14" s="109">
        <f t="shared" si="7"/>
        <v>6191.16</v>
      </c>
      <c r="AI14" s="108"/>
      <c r="AJ14" s="109">
        <f t="shared" si="8"/>
        <v>6191.16</v>
      </c>
      <c r="AK14" s="109"/>
      <c r="AL14" s="109">
        <f t="shared" si="9"/>
        <v>6228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127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70">
        <f t="shared" si="0"/>
        <v>559</v>
      </c>
      <c r="R15" s="70">
        <v>0</v>
      </c>
      <c r="S15" s="92">
        <f t="shared" si="1"/>
        <v>7000</v>
      </c>
      <c r="T15" s="93">
        <v>5000</v>
      </c>
      <c r="U15" s="93">
        <f t="shared" si="2"/>
        <v>559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1441</v>
      </c>
      <c r="AE15" s="99">
        <f>ROUND(MAX((AD15)*{0.03;0.1;0.2;0.25;0.3;0.35;0.45}-{0;2520;16920;31920;52920;85920;181920},0),2)</f>
        <v>43.23</v>
      </c>
      <c r="AF15" s="100">
        <v>0</v>
      </c>
      <c r="AG15" s="100">
        <f t="shared" si="6"/>
        <v>43.23</v>
      </c>
      <c r="AH15" s="109">
        <f t="shared" si="7"/>
        <v>6397.77</v>
      </c>
      <c r="AI15" s="108"/>
      <c r="AJ15" s="109">
        <f t="shared" si="8"/>
        <v>6397.77</v>
      </c>
      <c r="AK15" s="109"/>
      <c r="AL15" s="109">
        <f t="shared" si="9"/>
        <v>6441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127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89.09</v>
      </c>
      <c r="O16" s="71">
        <v>20.1</v>
      </c>
      <c r="P16" s="71">
        <v>97</v>
      </c>
      <c r="Q16" s="70">
        <f t="shared" si="0"/>
        <v>527.71</v>
      </c>
      <c r="R16" s="70">
        <v>0</v>
      </c>
      <c r="S16" s="92">
        <f t="shared" si="1"/>
        <v>6060</v>
      </c>
      <c r="T16" s="93">
        <v>5000</v>
      </c>
      <c r="U16" s="93">
        <f t="shared" si="2"/>
        <v>527.71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532.29</v>
      </c>
      <c r="AE16" s="99">
        <f>ROUND(MAX((AD16)*{0.03;0.1;0.2;0.25;0.3;0.35;0.45}-{0;2520;16920;31920;52920;85920;181920},0),2)</f>
        <v>15.97</v>
      </c>
      <c r="AF16" s="100">
        <v>0</v>
      </c>
      <c r="AG16" s="100">
        <f t="shared" si="6"/>
        <v>15.97</v>
      </c>
      <c r="AH16" s="109">
        <f t="shared" si="7"/>
        <v>5516.32</v>
      </c>
      <c r="AI16" s="108"/>
      <c r="AJ16" s="109">
        <f t="shared" si="8"/>
        <v>5516.32</v>
      </c>
      <c r="AK16" s="109"/>
      <c r="AL16" s="109">
        <f t="shared" si="9"/>
        <v>5532.29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127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-301.6</v>
      </c>
      <c r="N17" s="71">
        <v>-90.4</v>
      </c>
      <c r="O17" s="71">
        <v>-11.31</v>
      </c>
      <c r="P17" s="71">
        <v>-175</v>
      </c>
      <c r="Q17" s="70">
        <f t="shared" si="0"/>
        <v>-578.31</v>
      </c>
      <c r="R17" s="70">
        <v>0</v>
      </c>
      <c r="S17" s="92">
        <f t="shared" si="1"/>
        <v>6560</v>
      </c>
      <c r="T17" s="93">
        <v>5000</v>
      </c>
      <c r="U17" s="93">
        <f t="shared" si="2"/>
        <v>-578.31</v>
      </c>
      <c r="V17" s="70"/>
      <c r="W17" s="70"/>
      <c r="X17" s="70"/>
      <c r="Y17" s="70"/>
      <c r="Z17" s="70"/>
      <c r="AA17" s="70"/>
      <c r="AB17" s="92">
        <f t="shared" si="3"/>
        <v>0</v>
      </c>
      <c r="AC17" s="92">
        <f t="shared" si="4"/>
        <v>0</v>
      </c>
      <c r="AD17" s="98">
        <f t="shared" si="5"/>
        <v>2138.31</v>
      </c>
      <c r="AE17" s="99">
        <f>ROUND(MAX((AD17)*{0.03;0.1;0.2;0.25;0.3;0.35;0.45}-{0;2520;16920;31920;52920;85920;181920},0),2)</f>
        <v>64.15</v>
      </c>
      <c r="AF17" s="100">
        <v>0</v>
      </c>
      <c r="AG17" s="100">
        <f t="shared" si="6"/>
        <v>64.15</v>
      </c>
      <c r="AH17" s="109">
        <f t="shared" si="7"/>
        <v>7074.16</v>
      </c>
      <c r="AI17" s="108"/>
      <c r="AJ17" s="109">
        <f t="shared" si="8"/>
        <v>7074.16</v>
      </c>
      <c r="AK17" s="109"/>
      <c r="AL17" s="109">
        <f t="shared" si="9"/>
        <v>7138.31</v>
      </c>
      <c r="AM17" s="109"/>
      <c r="AN17" s="109"/>
      <c r="AO17" s="109"/>
      <c r="AP17" s="109"/>
      <c r="AQ17" s="109"/>
      <c r="AR17" s="117" t="str">
        <f t="shared" si="10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127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70">
        <f t="shared" si="0"/>
        <v>525</v>
      </c>
      <c r="R18" s="70">
        <v>0</v>
      </c>
      <c r="S18" s="92">
        <f t="shared" si="1"/>
        <v>6000</v>
      </c>
      <c r="T18" s="93">
        <v>5000</v>
      </c>
      <c r="U18" s="93">
        <f t="shared" si="2"/>
        <v>525</v>
      </c>
      <c r="V18" s="70"/>
      <c r="W18" s="70"/>
      <c r="X18" s="70"/>
      <c r="Y18" s="70"/>
      <c r="Z18" s="70"/>
      <c r="AA18" s="70"/>
      <c r="AB18" s="92">
        <f t="shared" si="3"/>
        <v>0</v>
      </c>
      <c r="AC18" s="92">
        <f t="shared" si="4"/>
        <v>0</v>
      </c>
      <c r="AD18" s="98">
        <f t="shared" si="5"/>
        <v>475</v>
      </c>
      <c r="AE18" s="99">
        <f>ROUND(MAX((AD18)*{0.03;0.1;0.2;0.25;0.3;0.35;0.45}-{0;2520;16920;31920;52920;85920;181920},0),2)</f>
        <v>14.25</v>
      </c>
      <c r="AF18" s="100">
        <v>0</v>
      </c>
      <c r="AG18" s="100">
        <f t="shared" si="6"/>
        <v>14.25</v>
      </c>
      <c r="AH18" s="109">
        <f t="shared" si="7"/>
        <v>5460.75</v>
      </c>
      <c r="AI18" s="108"/>
      <c r="AJ18" s="109">
        <f t="shared" si="8"/>
        <v>5460.75</v>
      </c>
      <c r="AK18" s="109"/>
      <c r="AL18" s="109">
        <f t="shared" si="9"/>
        <v>5475</v>
      </c>
      <c r="AM18" s="109"/>
      <c r="AN18" s="109"/>
      <c r="AO18" s="109"/>
      <c r="AP18" s="109"/>
      <c r="AQ18" s="109"/>
      <c r="AR18" s="117" t="str">
        <f t="shared" si="10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126905.84</v>
      </c>
      <c r="M19" s="74">
        <f t="shared" si="13"/>
        <v>4608.66</v>
      </c>
      <c r="N19" s="74">
        <f t="shared" si="13"/>
        <v>1398.38</v>
      </c>
      <c r="O19" s="74">
        <f t="shared" si="13"/>
        <v>258.28</v>
      </c>
      <c r="P19" s="74">
        <f t="shared" si="13"/>
        <v>2135.4</v>
      </c>
      <c r="Q19" s="74">
        <f t="shared" si="13"/>
        <v>8400.72</v>
      </c>
      <c r="R19" s="74">
        <f t="shared" si="13"/>
        <v>0</v>
      </c>
      <c r="S19" s="74">
        <f t="shared" si="13"/>
        <v>126905.84</v>
      </c>
      <c r="T19" s="74">
        <f t="shared" si="13"/>
        <v>75000</v>
      </c>
      <c r="U19" s="74">
        <f t="shared" si="13"/>
        <v>8400.72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43505.12</v>
      </c>
      <c r="AE19" s="74">
        <f t="shared" si="13"/>
        <v>1339.55</v>
      </c>
      <c r="AF19" s="74">
        <f t="shared" si="13"/>
        <v>0</v>
      </c>
      <c r="AG19" s="74">
        <f t="shared" si="13"/>
        <v>1339.55</v>
      </c>
      <c r="AH19" s="74">
        <f t="shared" si="13"/>
        <v>117165.57</v>
      </c>
      <c r="AI19" s="126">
        <f t="shared" si="13"/>
        <v>0</v>
      </c>
      <c r="AJ19" s="74">
        <f t="shared" si="13"/>
        <v>117165.57</v>
      </c>
      <c r="AK19" s="74">
        <f t="shared" si="13"/>
        <v>0</v>
      </c>
      <c r="AL19" s="74">
        <f t="shared" si="13"/>
        <v>118505.12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117165.57</v>
      </c>
      <c r="C24" s="48">
        <f>AG19</f>
        <v>1339.55</v>
      </c>
      <c r="D24" s="48">
        <f>AK19</f>
        <v>0</v>
      </c>
      <c r="E24" s="48">
        <f>B24+C24+D24</f>
        <v>118505.12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V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</v>
      </c>
      <c r="Q4" s="89">
        <f t="shared" ref="Q4:Q19" si="0">ROUND(SUM(M4:P4),2)</f>
        <v>588.3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7276.05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-76.05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789.37</v>
      </c>
      <c r="AG4" s="97">
        <f t="shared" ref="AG4:AG19" si="3">IF((AE4-AF4)&lt;0,0,AE4-AF4)</f>
        <v>0</v>
      </c>
      <c r="AH4" s="107">
        <f t="shared" ref="AH4:AH19" si="4">ROUND(IF((L4-Q4-AG4)&lt;0,0,(L4-Q4-AG4)),2)</f>
        <v>7411.7</v>
      </c>
      <c r="AI4" s="108"/>
      <c r="AJ4" s="107">
        <f t="shared" ref="AJ4:AJ19" si="5">AH4+AI4</f>
        <v>7411.7</v>
      </c>
      <c r="AK4" s="109"/>
      <c r="AL4" s="107">
        <f t="shared" ref="AL4:AL19" si="6">AJ4+AG4+AK4</f>
        <v>7411.7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IF(SUMPRODUCT(N(E$1:E$20=E4))&gt;1,"重复","不")</f>
        <v>不</v>
      </c>
      <c r="AT4" s="116" t="str">
        <f>IF(SUMPRODUCT(N(AO$1:AO$20=AO4))&gt;1,"重复","不")</f>
        <v>重复</v>
      </c>
      <c r="AU4" s="12" t="s">
        <v>40</v>
      </c>
      <c r="AV4" s="12" t="s">
        <v>42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89">
        <f t="shared" si="0"/>
        <v>655.8</v>
      </c>
      <c r="R5" s="70">
        <v>0</v>
      </c>
      <c r="S5" s="90">
        <f>L5+IFERROR(VLOOKUP($E:$E,'（居民）工资表-11月'!$E:$S,15,0),0)</f>
        <v>70400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7934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2466</v>
      </c>
      <c r="AE5" s="96">
        <f>ROUND(MAX((AD5)*{0.03;0.1;0.2;0.25;0.3;0.35;0.45}-{0;2520;16920;31920;52920;85920;181920},0),2)</f>
        <v>73.98</v>
      </c>
      <c r="AF5" s="97">
        <f>IFERROR(VLOOKUP(E:E,'（居民）工资表-11月'!E:AF,28,0)+VLOOKUP(E:E,'（居民）工资表-11月'!E:AG,29,0),0)</f>
        <v>72.65</v>
      </c>
      <c r="AG5" s="97">
        <f t="shared" si="3"/>
        <v>1.33</v>
      </c>
      <c r="AH5" s="107">
        <f t="shared" si="4"/>
        <v>5042.87</v>
      </c>
      <c r="AI5" s="108"/>
      <c r="AJ5" s="107">
        <f t="shared" si="5"/>
        <v>5042.87</v>
      </c>
      <c r="AK5" s="109"/>
      <c r="AL5" s="107">
        <f t="shared" si="6"/>
        <v>5044.2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IF(SUMPRODUCT(N(E$1:E$20=E5))&gt;1,"重复","不")</f>
        <v>不</v>
      </c>
      <c r="AT5" s="116" t="str">
        <f>IF(SUMPRODUCT(N(AO$1:AO$20=AO5))&gt;1,"重复","不")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L6+IFERROR(VLOOKUP($E:$E,'（居民）工资表-11月'!$E:$S,15,0),0)</f>
        <v>361220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11441.68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289778.32</v>
      </c>
      <c r="AE6" s="96">
        <f>ROUND(MAX((AD6)*{0.03;0.1;0.2;0.25;0.3;0.35;0.45}-{0;2520;16920;31920;52920;85920;181920},0),2)</f>
        <v>41035.66</v>
      </c>
      <c r="AF6" s="97">
        <f>IFERROR(VLOOKUP(E:E,'（居民）工资表-11月'!E:AF,28,0)+VLOOKUP(E:E,'（居民）工资表-11月'!E:AG,29,0),0)</f>
        <v>36213.37</v>
      </c>
      <c r="AG6" s="97">
        <f t="shared" si="3"/>
        <v>4822.29</v>
      </c>
      <c r="AH6" s="107">
        <f t="shared" si="4"/>
        <v>24289.16</v>
      </c>
      <c r="AI6" s="108"/>
      <c r="AJ6" s="107">
        <f t="shared" si="5"/>
        <v>24289.16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IF(SUMPRODUCT(N(E$1:E$20=E6))&gt;1,"重复","不")</f>
        <v>不</v>
      </c>
      <c r="AT6" s="116" t="str">
        <f>IF(SUMPRODUCT(N(AO$1:AO$20=AO6))&gt;1,"重复","不")</f>
        <v>重复</v>
      </c>
      <c r="AU6" s="12" t="s">
        <v>50</v>
      </c>
      <c r="AV6" s="12" t="s">
        <v>51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9520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L7+IFERROR(VLOOKUP($E:$E,'（居民）工资表-11月'!$E:$S,15,0),0)</f>
        <v>106520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6579.13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39940.87</v>
      </c>
      <c r="AE7" s="96">
        <f>ROUND(MAX((AD7)*{0.03;0.1;0.2;0.25;0.3;0.35;0.45}-{0;2520;16920;31920;52920;85920;181920},0),2)</f>
        <v>1474.09</v>
      </c>
      <c r="AF7" s="97">
        <f>IFERROR(VLOOKUP(E:E,'（居民）工资表-11月'!E:AF,28,0)+VLOOKUP(E:E,'（居民）工资表-11月'!E:AG,29,0),0)</f>
        <v>1078.46</v>
      </c>
      <c r="AG7" s="97">
        <f t="shared" si="3"/>
        <v>395.63</v>
      </c>
      <c r="AH7" s="107">
        <f t="shared" si="4"/>
        <v>8596.66</v>
      </c>
      <c r="AI7" s="108"/>
      <c r="AJ7" s="107">
        <f t="shared" si="5"/>
        <v>8596.66</v>
      </c>
      <c r="AK7" s="109"/>
      <c r="AL7" s="107">
        <f t="shared" si="6"/>
        <v>8992.29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IF(SUMPRODUCT(N(E$1:E$20=E7))&gt;1,"重复","不")</f>
        <v>不</v>
      </c>
      <c r="AT7" s="116" t="str">
        <f>IF(SUMPRODUCT(N(AO$1:AO$20=AO7))&gt;1,"重复","不")</f>
        <v>重复</v>
      </c>
      <c r="AU7" s="12" t="s">
        <v>152</v>
      </c>
      <c r="AV7" s="12" t="s">
        <v>153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L8+IFERROR(VLOOKUP($E:$E,'（居民）工资表-11月'!$E:$S,15,0),0)</f>
        <v>129000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9848.24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59151.76</v>
      </c>
      <c r="AE8" s="96">
        <f>ROUND(MAX((AD8)*{0.03;0.1;0.2;0.25;0.3;0.35;0.45}-{0;2520;16920;31920;52920;85920;181920},0),2)</f>
        <v>3395.18</v>
      </c>
      <c r="AF8" s="97">
        <f>IFERROR(VLOOKUP(E:E,'（居民）工资表-11月'!E:AF,28,0)+VLOOKUP(E:E,'（居民）工资表-11月'!E:AG,29,0),0)</f>
        <v>2922.38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IF(SUMPRODUCT(N(E$1:E$20=E8))&gt;1,"重复","不")</f>
        <v>不</v>
      </c>
      <c r="AT8" s="116" t="str">
        <f>IF(SUMPRODUCT(N(AO$1:AO$20=AO8))&gt;1,"重复","不")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89">
        <f t="shared" si="0"/>
        <v>503.31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6153.75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11846.25</v>
      </c>
      <c r="AE9" s="96">
        <f>ROUND(MAX((AD9)*{0.03;0.1;0.2;0.25;0.3;0.35;0.45}-{0;2520;16920;31920;52920;85920;181920},0),2)</f>
        <v>355.39</v>
      </c>
      <c r="AF9" s="97">
        <f>IFERROR(VLOOKUP(E:E,'（居民）工资表-11月'!E:AF,28,0)+VLOOKUP(E:E,'（居民）工资表-11月'!E:AG,29,0),0)</f>
        <v>325.49</v>
      </c>
      <c r="AG9" s="97">
        <f t="shared" si="3"/>
        <v>29.9</v>
      </c>
      <c r="AH9" s="107">
        <f t="shared" si="4"/>
        <v>5966.79</v>
      </c>
      <c r="AI9" s="108"/>
      <c r="AJ9" s="107">
        <f t="shared" si="5"/>
        <v>5966.79</v>
      </c>
      <c r="AK9" s="109"/>
      <c r="AL9" s="107">
        <f t="shared" si="6"/>
        <v>5996.69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IF(SUMPRODUCT(N(E$1:E$20=E9))&gt;1,"重复","不")</f>
        <v>不</v>
      </c>
      <c r="AT9" s="116" t="str">
        <f>IF(SUMPRODUCT(N(AO$1:AO$20=AO9))&gt;1,"重复","不")</f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208</v>
      </c>
      <c r="D10" s="37" t="s">
        <v>143</v>
      </c>
      <c r="E10" s="326" t="s">
        <v>209</v>
      </c>
      <c r="F10" s="38" t="s">
        <v>144</v>
      </c>
      <c r="G10" s="39" t="s">
        <v>210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89">
        <f t="shared" si="0"/>
        <v>542.39</v>
      </c>
      <c r="R10" s="70">
        <v>0</v>
      </c>
      <c r="S10" s="90">
        <f>L10+IFERROR(VLOOKUP($E:$E,'（居民）工资表-11月'!$E:$S,15,0),0)</f>
        <v>11000</v>
      </c>
      <c r="T10" s="91">
        <f>5000+IFERROR(VLOOKUP($E:$E,'（居民）工资表-11月'!$E:$T,16,0),0)</f>
        <v>10000</v>
      </c>
      <c r="U10" s="91">
        <f>Q10+IFERROR(VLOOKUP($E:$E,'（居民）工资表-11月'!$E:$U,17,0),0)</f>
        <v>1084.78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-84.78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4957.61</v>
      </c>
      <c r="AI10" s="108"/>
      <c r="AJ10" s="107">
        <f t="shared" si="5"/>
        <v>4957.61</v>
      </c>
      <c r="AK10" s="109"/>
      <c r="AL10" s="107">
        <f t="shared" si="6"/>
        <v>4957.61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IF(SUMPRODUCT(N(E$1:E$20=E10))&gt;1,"重复","不")</f>
        <v>不</v>
      </c>
      <c r="AT10" s="116" t="str">
        <f>IF(SUMPRODUCT(N(AO$1:AO$20=AO10))&gt;1,"重复","不")</f>
        <v>重复</v>
      </c>
      <c r="AU10" s="12" t="s">
        <v>162</v>
      </c>
      <c r="AV10" s="12" t="s">
        <v>51</v>
      </c>
    </row>
    <row r="11" s="12" customFormat="1" ht="18" customHeight="1" spans="1:48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38" t="s">
        <v>148</v>
      </c>
      <c r="G11" s="39" t="s">
        <v>165</v>
      </c>
      <c r="H11" s="40"/>
      <c r="I11" s="40"/>
      <c r="J11" s="69"/>
      <c r="K11" s="40"/>
      <c r="L11" s="70">
        <v>4162.8</v>
      </c>
      <c r="M11" s="71">
        <v>492.4</v>
      </c>
      <c r="N11" s="71">
        <v>144.1</v>
      </c>
      <c r="O11" s="71">
        <v>30.78</v>
      </c>
      <c r="P11" s="71">
        <v>109</v>
      </c>
      <c r="Q11" s="89">
        <f t="shared" si="0"/>
        <v>776.28</v>
      </c>
      <c r="R11" s="70">
        <v>0</v>
      </c>
      <c r="S11" s="90">
        <f>L11+IFERROR(VLOOKUP($E:$E,'（居民）工资表-11月'!$E:$S,15,0),0)</f>
        <v>53779.39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7778.41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-13999.02</v>
      </c>
      <c r="AE11" s="96">
        <f>ROUND(MAX((AD11)*{0.03;0.1;0.2;0.25;0.3;0.35;0.45}-{0;2520;16920;31920;52920;85920;181920},0),2)</f>
        <v>0</v>
      </c>
      <c r="AF11" s="97">
        <f>IFERROR(VLOOKUP(E:E,'（居民）工资表-11月'!E:AF,28,0)+VLOOKUP(E:E,'（居民）工资表-11月'!E:AG,29,0),0)</f>
        <v>0</v>
      </c>
      <c r="AG11" s="97">
        <f t="shared" si="3"/>
        <v>0</v>
      </c>
      <c r="AH11" s="107">
        <f t="shared" si="4"/>
        <v>3386.52</v>
      </c>
      <c r="AI11" s="108"/>
      <c r="AJ11" s="107">
        <f t="shared" si="5"/>
        <v>3386.52</v>
      </c>
      <c r="AK11" s="109"/>
      <c r="AL11" s="107">
        <f t="shared" si="6"/>
        <v>3386.52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IF(SUMPRODUCT(N(E$1:E$20=E11))&gt;1,"重复","不")</f>
        <v>不</v>
      </c>
      <c r="AT11" s="116" t="str">
        <f>IF(SUMPRODUCT(N(AO$1:AO$20=AO11))&gt;1,"重复","不")</f>
        <v>重复</v>
      </c>
      <c r="AU11" s="12" t="s">
        <v>166</v>
      </c>
      <c r="AV11" s="12" t="s">
        <v>167</v>
      </c>
    </row>
    <row r="12" s="12" customFormat="1" ht="18" customHeight="1" spans="1:48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38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89">
        <f t="shared" si="0"/>
        <v>559</v>
      </c>
      <c r="R12" s="70">
        <v>0</v>
      </c>
      <c r="S12" s="90">
        <f>L12+IFERROR(VLOOKUP($E:$E,'（居民）工资表-11月'!$E:$S,15,0),0)</f>
        <v>104500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6956.54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37543.46</v>
      </c>
      <c r="AE12" s="96">
        <f>ROUND(MAX((AD12)*{0.03;0.1;0.2;0.25;0.3;0.35;0.45}-{0;2520;16920;31920;52920;85920;181920},0),2)</f>
        <v>1234.35</v>
      </c>
      <c r="AF12" s="97">
        <f>IFERROR(VLOOKUP(E:E,'（居民）工资表-11月'!E:AF,28,0)+VLOOKUP(E:E,'（居民）工资表-11月'!E:AG,29,0),0)</f>
        <v>1038.07</v>
      </c>
      <c r="AG12" s="97">
        <f t="shared" si="3"/>
        <v>196.28</v>
      </c>
      <c r="AH12" s="107">
        <f t="shared" si="4"/>
        <v>7744.72</v>
      </c>
      <c r="AI12" s="108"/>
      <c r="AJ12" s="107">
        <f t="shared" si="5"/>
        <v>7744.72</v>
      </c>
      <c r="AK12" s="109"/>
      <c r="AL12" s="107">
        <f t="shared" si="6"/>
        <v>7941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IF(SUMPRODUCT(N(E$1:E$20=E12))&gt;1,"重复","不")</f>
        <v>不</v>
      </c>
      <c r="AT12" s="116" t="str">
        <f>IF(SUMPRODUCT(N(AO$1:AO$20=AO12))&gt;1,"重复","不")</f>
        <v>重复</v>
      </c>
      <c r="AU12" s="12" t="s">
        <v>170</v>
      </c>
      <c r="AV12" s="12" t="s">
        <v>171</v>
      </c>
    </row>
    <row r="13" s="12" customFormat="1" ht="18" customHeight="1" spans="1:48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38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L13+IFERROR(VLOOKUP($E:$E,'（居民）工资表-11月'!$E:$S,15,0),0)</f>
        <v>86500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9848.24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16651.76</v>
      </c>
      <c r="AE13" s="96">
        <f>ROUND(MAX((AD13)*{0.03;0.1;0.2;0.25;0.3;0.35;0.45}-{0;2520;16920;31920;52920;85920;181920},0),2)</f>
        <v>499.55</v>
      </c>
      <c r="AF13" s="97">
        <f>IFERROR(VLOOKUP(E:E,'（居民）工资表-11月'!E:AF,28,0)+VLOOKUP(E:E,'（居民）工资表-11月'!E:AG,29,0),0)</f>
        <v>462.71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IF(SUMPRODUCT(N(E$1:E$20=E13))&gt;1,"重复","不")</f>
        <v>不</v>
      </c>
      <c r="AT13" s="116" t="str">
        <f>IF(SUMPRODUCT(N(AO$1:AO$20=AO13))&gt;1,"重复","不")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38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89">
        <f t="shared" si="0"/>
        <v>772</v>
      </c>
      <c r="R14" s="70">
        <v>0</v>
      </c>
      <c r="S14" s="90">
        <f>L14+IFERROR(VLOOKUP($E:$E,'（居民）工资表-11月'!$E:$S,15,0),0)</f>
        <v>89608.7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9857.94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19750.76</v>
      </c>
      <c r="AE14" s="96">
        <f>ROUND(MAX((AD14)*{0.03;0.1;0.2;0.25;0.3;0.35;0.45}-{0;2520;16920;31920;52920;85920;181920},0),2)</f>
        <v>592.52</v>
      </c>
      <c r="AF14" s="97">
        <f>IFERROR(VLOOKUP(E:E,'（居民）工资表-11月'!E:AF,28,0)+VLOOKUP(E:E,'（居民）工资表-11月'!E:AG,29,0),0)</f>
        <v>555.68</v>
      </c>
      <c r="AG14" s="97">
        <f t="shared" si="3"/>
        <v>36.84</v>
      </c>
      <c r="AH14" s="107">
        <f t="shared" si="4"/>
        <v>6191.16</v>
      </c>
      <c r="AI14" s="108"/>
      <c r="AJ14" s="107">
        <f t="shared" si="5"/>
        <v>6191.16</v>
      </c>
      <c r="AK14" s="109"/>
      <c r="AL14" s="107">
        <f t="shared" si="6"/>
        <v>6228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IF(SUMPRODUCT(N(E$1:E$20=E14))&gt;1,"重复","不")</f>
        <v>不</v>
      </c>
      <c r="AT14" s="116" t="str">
        <f>IF(SUMPRODUCT(N(AO$1:AO$20=AO14))&gt;1,"重复","不")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38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89">
        <f t="shared" si="0"/>
        <v>559</v>
      </c>
      <c r="R15" s="70">
        <v>0</v>
      </c>
      <c r="S15" s="90">
        <f>L15+IFERROR(VLOOKUP($E:$E,'（居民）工资表-11月'!$E:$S,15,0),0)</f>
        <v>14000</v>
      </c>
      <c r="T15" s="91">
        <f>5000+IFERROR(VLOOKUP($E:$E,'（居民）工资表-11月'!$E:$T,16,0),0)</f>
        <v>10000</v>
      </c>
      <c r="U15" s="91">
        <f>Q15+IFERROR(VLOOKUP($E:$E,'（居民）工资表-11月'!$E:$U,17,0),0)</f>
        <v>1126.3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2873.7</v>
      </c>
      <c r="AE15" s="96">
        <f>ROUND(MAX((AD15)*{0.03;0.1;0.2;0.25;0.3;0.35;0.45}-{0;2520;16920;31920;52920;85920;181920},0),2)</f>
        <v>86.21</v>
      </c>
      <c r="AF15" s="97">
        <f>IFERROR(VLOOKUP(E:E,'（居民）工资表-11月'!E:AF,28,0)+VLOOKUP(E:E,'（居民）工资表-11月'!E:AG,29,0),0)</f>
        <v>42.98</v>
      </c>
      <c r="AG15" s="97">
        <f t="shared" si="3"/>
        <v>43.23</v>
      </c>
      <c r="AH15" s="107">
        <f t="shared" si="4"/>
        <v>6397.77</v>
      </c>
      <c r="AI15" s="108"/>
      <c r="AJ15" s="107">
        <f t="shared" si="5"/>
        <v>6397.77</v>
      </c>
      <c r="AK15" s="109"/>
      <c r="AL15" s="107">
        <f t="shared" si="6"/>
        <v>6441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IF(SUMPRODUCT(N(E$1:E$20=E15))&gt;1,"重复","不")</f>
        <v>不</v>
      </c>
      <c r="AT15" s="116" t="str">
        <f>IF(SUMPRODUCT(N(AO$1:AO$20=AO15))&gt;1,"重复","不")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12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38" t="s">
        <v>148</v>
      </c>
      <c r="G16" s="39">
        <v>15855788591</v>
      </c>
      <c r="H16" s="40"/>
      <c r="I16" s="40"/>
      <c r="J16" s="69"/>
      <c r="K16" s="40"/>
      <c r="L16" s="70">
        <v>6380</v>
      </c>
      <c r="M16" s="71">
        <v>321.52</v>
      </c>
      <c r="N16" s="71">
        <v>89.09</v>
      </c>
      <c r="O16" s="71">
        <v>20.1</v>
      </c>
      <c r="P16" s="71">
        <v>97</v>
      </c>
      <c r="Q16" s="89">
        <f t="shared" si="0"/>
        <v>527.71</v>
      </c>
      <c r="R16" s="70">
        <v>0</v>
      </c>
      <c r="S16" s="90">
        <f>L16+IFERROR(VLOOKUP($E:$E,'（居民）工资表-11月'!$E:$S,15,0),0)</f>
        <v>12440</v>
      </c>
      <c r="T16" s="91">
        <f>5000+IFERROR(VLOOKUP($E:$E,'（居民）工资表-11月'!$E:$T,16,0),0)</f>
        <v>10000</v>
      </c>
      <c r="U16" s="91">
        <f>Q16+IFERROR(VLOOKUP($E:$E,'（居民）工资表-11月'!$E:$U,17,0),0)</f>
        <v>1056.84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1383.16</v>
      </c>
      <c r="AE16" s="96">
        <f>ROUND(MAX((AD16)*{0.03;0.1;0.2;0.25;0.3;0.35;0.45}-{0;2520;16920;31920;52920;85920;181920},0),2)</f>
        <v>41.49</v>
      </c>
      <c r="AF16" s="97">
        <f>IFERROR(VLOOKUP(E:E,'（居民）工资表-11月'!E:AF,28,0)+VLOOKUP(E:E,'（居民）工资表-11月'!E:AG,29,0),0)</f>
        <v>15.93</v>
      </c>
      <c r="AG16" s="97">
        <f t="shared" si="3"/>
        <v>25.56</v>
      </c>
      <c r="AH16" s="107">
        <f t="shared" si="4"/>
        <v>5826.73</v>
      </c>
      <c r="AI16" s="108"/>
      <c r="AJ16" s="107">
        <f t="shared" si="5"/>
        <v>5826.73</v>
      </c>
      <c r="AK16" s="109"/>
      <c r="AL16" s="107">
        <f t="shared" si="6"/>
        <v>5852.29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IF(SUMPRODUCT(N(E$1:E$20=E16))&gt;1,"重复","不")</f>
        <v>不</v>
      </c>
      <c r="AT16" s="116" t="str">
        <f>IF(SUMPRODUCT(N(AO$1:AO$20=AO16))&gt;1,"重复","不")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12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38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301.6</v>
      </c>
      <c r="N17" s="71">
        <v>90.4</v>
      </c>
      <c r="O17" s="71">
        <v>11.31</v>
      </c>
      <c r="P17" s="71">
        <v>175</v>
      </c>
      <c r="Q17" s="89">
        <f t="shared" si="0"/>
        <v>578.31</v>
      </c>
      <c r="R17" s="70">
        <v>0</v>
      </c>
      <c r="S17" s="90">
        <f>L17+IFERROR(VLOOKUP($E:$E,'（居民）工资表-11月'!$E:$S,15,0),0)</f>
        <v>13120</v>
      </c>
      <c r="T17" s="91">
        <f>5000+IFERROR(VLOOKUP($E:$E,'（居民）工资表-11月'!$E:$T,16,0),0)</f>
        <v>10000</v>
      </c>
      <c r="U17" s="91">
        <f>Q17+IFERROR(VLOOKUP($E:$E,'（居民）工资表-11月'!$E:$U,17,0),0)</f>
        <v>996.84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R17+IFERROR(VLOOKUP($E:$E,'（居民）工资表-11月'!$E:$AC,25,0),0)</f>
        <v>0</v>
      </c>
      <c r="AD17" s="95">
        <f t="shared" si="2"/>
        <v>2123.16</v>
      </c>
      <c r="AE17" s="96">
        <f>ROUND(MAX((AD17)*{0.03;0.1;0.2;0.25;0.3;0.35;0.45}-{0;2520;16920;31920;52920;85920;181920},0),2)</f>
        <v>63.69</v>
      </c>
      <c r="AF17" s="97">
        <f>IFERROR(VLOOKUP(E:E,'（居民）工资表-11月'!E:AF,28,0)+VLOOKUP(E:E,'（居民）工资表-11月'!E:AG,29,0),0)</f>
        <v>34.24</v>
      </c>
      <c r="AG17" s="97">
        <f t="shared" si="3"/>
        <v>29.45</v>
      </c>
      <c r="AH17" s="107">
        <f t="shared" si="4"/>
        <v>5952.24</v>
      </c>
      <c r="AI17" s="108"/>
      <c r="AJ17" s="107">
        <f t="shared" si="5"/>
        <v>5952.24</v>
      </c>
      <c r="AK17" s="109"/>
      <c r="AL17" s="107">
        <f t="shared" si="6"/>
        <v>5981.69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IF(SUMPRODUCT(N(E$1:E$20=E17))&gt;1,"重复","不")</f>
        <v>不</v>
      </c>
      <c r="AT17" s="116" t="str">
        <f>IF(SUMPRODUCT(N(AO$1:AO$20=AO17))&gt;1,"重复","不")</f>
        <v>重复</v>
      </c>
      <c r="AU17" s="12" t="s">
        <v>157</v>
      </c>
      <c r="AV17" s="12" t="s">
        <v>51</v>
      </c>
    </row>
    <row r="18" s="12" customFormat="1" ht="18" customHeight="1" spans="1:48">
      <c r="A18" s="36">
        <v>12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38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89">
        <f t="shared" si="0"/>
        <v>525</v>
      </c>
      <c r="R18" s="70">
        <v>0</v>
      </c>
      <c r="S18" s="90">
        <f>L18+IFERROR(VLOOKUP($E:$E,'（居民）工资表-11月'!$E:$S,15,0),0)</f>
        <v>72000</v>
      </c>
      <c r="T18" s="91">
        <f>5000+IFERROR(VLOOKUP($E:$E,'（居民）工资表-11月'!$E:$T,16,0),0)</f>
        <v>60000</v>
      </c>
      <c r="U18" s="91">
        <f>Q18+IFERROR(VLOOKUP($E:$E,'（居民）工资表-11月'!$E:$U,17,0),0)</f>
        <v>6540.24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R18+IFERROR(VLOOKUP($E:$E,'（居民）工资表-11月'!$E:$AC,25,0),0)</f>
        <v>0</v>
      </c>
      <c r="AD18" s="95">
        <f t="shared" si="2"/>
        <v>5459.76</v>
      </c>
      <c r="AE18" s="96">
        <f>ROUND(MAX((AD18)*{0.03;0.1;0.2;0.25;0.3;0.35;0.45}-{0;2520;16920;31920;52920;85920;181920},0),2)</f>
        <v>163.79</v>
      </c>
      <c r="AF18" s="97">
        <f>IFERROR(VLOOKUP(E:E,'（居民）工资表-11月'!E:AF,28,0)+VLOOKUP(E:E,'（居民）工资表-11月'!E:AG,29,0),0)</f>
        <v>149.54</v>
      </c>
      <c r="AG18" s="97">
        <f t="shared" si="3"/>
        <v>14.25</v>
      </c>
      <c r="AH18" s="107">
        <f t="shared" si="4"/>
        <v>5460.75</v>
      </c>
      <c r="AI18" s="108"/>
      <c r="AJ18" s="107">
        <f t="shared" si="5"/>
        <v>5460.75</v>
      </c>
      <c r="AK18" s="109"/>
      <c r="AL18" s="107">
        <f t="shared" si="6"/>
        <v>5475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IF(SUMPRODUCT(N(E$1:E$20=E18))&gt;1,"重复","不")</f>
        <v>不</v>
      </c>
      <c r="AT18" s="116" t="str">
        <f>IF(SUMPRODUCT(N(AO$1:AO$20=AO18))&gt;1,"重复","不")</f>
        <v>重复</v>
      </c>
      <c r="AU18" s="12" t="s">
        <v>157</v>
      </c>
      <c r="AV18" s="12" t="s">
        <v>51</v>
      </c>
    </row>
    <row r="19" s="12" customFormat="1" ht="18" customHeight="1" spans="1:48">
      <c r="A19" s="36">
        <v>12</v>
      </c>
      <c r="B19" s="37" t="s">
        <v>142</v>
      </c>
      <c r="C19" s="37" t="s">
        <v>213</v>
      </c>
      <c r="D19" s="37" t="s">
        <v>143</v>
      </c>
      <c r="E19" s="326" t="s">
        <v>214</v>
      </c>
      <c r="F19" s="38" t="s">
        <v>148</v>
      </c>
      <c r="G19" s="39">
        <v>15571147351</v>
      </c>
      <c r="H19" s="40"/>
      <c r="I19" s="40"/>
      <c r="J19" s="69"/>
      <c r="K19" s="40"/>
      <c r="L19" s="70">
        <v>7250</v>
      </c>
      <c r="M19" s="71">
        <v>0</v>
      </c>
      <c r="N19" s="71">
        <v>0</v>
      </c>
      <c r="O19" s="71">
        <v>0</v>
      </c>
      <c r="P19" s="71">
        <v>0</v>
      </c>
      <c r="Q19" s="89">
        <f t="shared" si="0"/>
        <v>0</v>
      </c>
      <c r="R19" s="70">
        <v>0</v>
      </c>
      <c r="S19" s="90">
        <f>L19+IFERROR(VLOOKUP($E:$E,'（居民）工资表-11月'!$E:$S,15,0),0)</f>
        <v>12675</v>
      </c>
      <c r="T19" s="91">
        <f>5000+IFERROR(VLOOKUP($E:$E,'（居民）工资表-11月'!$E:$T,16,0),0)</f>
        <v>10000</v>
      </c>
      <c r="U19" s="91">
        <f>Q19+IFERROR(VLOOKUP($E:$E,'（居民）工资表-11月'!$E:$U,17,0),0)</f>
        <v>542.57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R19+IFERROR(VLOOKUP($E:$E,'（居民）工资表-11月'!$E:$AC,25,0),0)</f>
        <v>0</v>
      </c>
      <c r="AD19" s="95">
        <f t="shared" si="2"/>
        <v>2132.43</v>
      </c>
      <c r="AE19" s="96">
        <f>ROUND(MAX((AD19)*{0.03;0.1;0.2;0.25;0.3;0.35;0.45}-{0;2520;16920;31920;52920;85920;181920},0),2)</f>
        <v>63.97</v>
      </c>
      <c r="AF19" s="97">
        <f>IFERROR(VLOOKUP(E:E,'（居民）工资表-11月'!E:AF,28,0)+VLOOKUP(E:E,'（居民）工资表-11月'!E:AG,29,0),0)</f>
        <v>0</v>
      </c>
      <c r="AG19" s="97">
        <f t="shared" si="3"/>
        <v>63.97</v>
      </c>
      <c r="AH19" s="107">
        <f t="shared" si="4"/>
        <v>7186.03</v>
      </c>
      <c r="AI19" s="108"/>
      <c r="AJ19" s="107">
        <f t="shared" si="5"/>
        <v>7186.03</v>
      </c>
      <c r="AK19" s="109"/>
      <c r="AL19" s="107">
        <f t="shared" si="6"/>
        <v>7250</v>
      </c>
      <c r="AM19" s="109"/>
      <c r="AN19" s="109"/>
      <c r="AO19" s="109"/>
      <c r="AP19" s="109"/>
      <c r="AQ19" s="109"/>
      <c r="AR19" s="116" t="str">
        <f t="shared" si="7"/>
        <v>正确</v>
      </c>
      <c r="AS19" s="116" t="str">
        <f>IF(SUMPRODUCT(N(E$1:E$20=E19))&gt;1,"重复","不")</f>
        <v>不</v>
      </c>
      <c r="AT19" s="116" t="str">
        <f>IF(SUMPRODUCT(N(AO$1:AO$20=AO19))&gt;1,"重复","不")</f>
        <v>重复</v>
      </c>
      <c r="AU19" s="12" t="s">
        <v>157</v>
      </c>
      <c r="AV19" s="12" t="s">
        <v>51</v>
      </c>
    </row>
    <row r="20" s="12" customFormat="1" ht="18" customHeight="1" spans="1:46">
      <c r="A20" s="36"/>
      <c r="B20" s="37"/>
      <c r="C20" s="37"/>
      <c r="D20" s="37"/>
      <c r="E20" s="37"/>
      <c r="F20" s="38"/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/>
      <c r="R20" s="70"/>
      <c r="S20" s="90"/>
      <c r="T20" s="91"/>
      <c r="U20" s="91"/>
      <c r="V20" s="70"/>
      <c r="W20" s="70"/>
      <c r="X20" s="70"/>
      <c r="Y20" s="70"/>
      <c r="Z20" s="70"/>
      <c r="AA20" s="70"/>
      <c r="AB20" s="90"/>
      <c r="AC20" s="90"/>
      <c r="AD20" s="95"/>
      <c r="AE20" s="96"/>
      <c r="AF20" s="97"/>
      <c r="AG20" s="97"/>
      <c r="AH20" s="107"/>
      <c r="AI20" s="108"/>
      <c r="AJ20" s="107"/>
      <c r="AK20" s="109"/>
      <c r="AL20" s="107"/>
      <c r="AM20" s="109"/>
      <c r="AN20" s="109"/>
      <c r="AO20" s="109"/>
      <c r="AP20" s="109"/>
      <c r="AQ20" s="109"/>
      <c r="AR20" s="116"/>
      <c r="AS20" s="116"/>
      <c r="AT20" s="116"/>
    </row>
    <row r="21" s="13" customFormat="1" ht="18" customHeight="1" spans="1:46">
      <c r="A21" s="41"/>
      <c r="B21" s="42" t="s">
        <v>187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8">SUM(L4:L20)</f>
        <v>135632.8</v>
      </c>
      <c r="M21" s="74">
        <f t="shared" si="8"/>
        <v>5324.18</v>
      </c>
      <c r="N21" s="74">
        <f t="shared" si="8"/>
        <v>1510.26</v>
      </c>
      <c r="O21" s="74">
        <f t="shared" si="8"/>
        <v>287.92</v>
      </c>
      <c r="P21" s="74">
        <f t="shared" si="8"/>
        <v>2485</v>
      </c>
      <c r="Q21" s="74">
        <f t="shared" si="8"/>
        <v>9607.36</v>
      </c>
      <c r="R21" s="74">
        <f t="shared" si="8"/>
        <v>0</v>
      </c>
      <c r="S21" s="74">
        <f t="shared" si="8"/>
        <v>1310763.09</v>
      </c>
      <c r="T21" s="74">
        <f t="shared" si="8"/>
        <v>710000</v>
      </c>
      <c r="U21" s="74">
        <f t="shared" si="8"/>
        <v>95021.55</v>
      </c>
      <c r="V21" s="74">
        <f t="shared" si="8"/>
        <v>12000</v>
      </c>
      <c r="W21" s="74">
        <f t="shared" si="8"/>
        <v>0</v>
      </c>
      <c r="X21" s="74">
        <f t="shared" si="8"/>
        <v>12000</v>
      </c>
      <c r="Y21" s="74">
        <f t="shared" si="8"/>
        <v>0</v>
      </c>
      <c r="Z21" s="74">
        <f t="shared" si="8"/>
        <v>4800</v>
      </c>
      <c r="AA21" s="74">
        <f t="shared" si="8"/>
        <v>0</v>
      </c>
      <c r="AB21" s="74">
        <f t="shared" si="8"/>
        <v>28800</v>
      </c>
      <c r="AC21" s="74">
        <f t="shared" si="8"/>
        <v>0</v>
      </c>
      <c r="AD21" s="74">
        <f t="shared" si="8"/>
        <v>476941.54</v>
      </c>
      <c r="AE21" s="74">
        <f t="shared" si="8"/>
        <v>49079.87</v>
      </c>
      <c r="AF21" s="74">
        <f t="shared" si="8"/>
        <v>43700.87</v>
      </c>
      <c r="AG21" s="74">
        <f t="shared" si="8"/>
        <v>6168.37</v>
      </c>
      <c r="AH21" s="74">
        <f t="shared" si="8"/>
        <v>119857.07</v>
      </c>
      <c r="AI21" s="126">
        <f t="shared" si="8"/>
        <v>0</v>
      </c>
      <c r="AJ21" s="74">
        <f t="shared" si="8"/>
        <v>119857.07</v>
      </c>
      <c r="AK21" s="74">
        <f t="shared" si="8"/>
        <v>0</v>
      </c>
      <c r="AL21" s="74">
        <f t="shared" si="8"/>
        <v>126025.44</v>
      </c>
      <c r="AM21" s="110"/>
      <c r="AN21" s="110"/>
      <c r="AO21" s="110"/>
      <c r="AP21" s="110"/>
      <c r="AQ21" s="110"/>
      <c r="AR21" s="45"/>
      <c r="AS21" s="45"/>
      <c r="AT21" s="118"/>
    </row>
    <row r="24" spans="30:30">
      <c r="AD24" s="101"/>
    </row>
    <row r="25" ht="18.75" customHeight="1" spans="2:30">
      <c r="B25" s="47" t="s">
        <v>131</v>
      </c>
      <c r="C25" s="47" t="s">
        <v>188</v>
      </c>
      <c r="D25" s="47" t="s">
        <v>22</v>
      </c>
      <c r="E25" s="47" t="s">
        <v>23</v>
      </c>
      <c r="AD25" s="10"/>
    </row>
    <row r="26" ht="18.75" customHeight="1" spans="2:5">
      <c r="B26" s="48">
        <f>AJ21</f>
        <v>119857.07</v>
      </c>
      <c r="C26" s="48">
        <f>AG21</f>
        <v>6168.37</v>
      </c>
      <c r="D26" s="48">
        <f>AK21</f>
        <v>0</v>
      </c>
      <c r="E26" s="48">
        <f>B26+C26+D26</f>
        <v>126025.44</v>
      </c>
    </row>
    <row r="27" spans="2:5">
      <c r="B27" s="49"/>
      <c r="C27" s="49"/>
      <c r="D27" s="49"/>
      <c r="E27" s="49"/>
    </row>
    <row r="28" s="14" customFormat="1" spans="1:35">
      <c r="A28" s="51" t="s">
        <v>189</v>
      </c>
      <c r="B28" s="52" t="s">
        <v>190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4"/>
      <c r="B29" s="55" t="s">
        <v>191</v>
      </c>
      <c r="C29" s="50"/>
      <c r="D29" s="50"/>
      <c r="E29" s="50"/>
      <c r="G29" s="53"/>
      <c r="J29" s="75"/>
      <c r="M29" s="76"/>
      <c r="AI29" s="112"/>
    </row>
    <row r="30" s="14" customFormat="1" spans="1:35">
      <c r="A30" s="52"/>
      <c r="B30" s="55" t="s">
        <v>192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12"/>
    </row>
    <row r="31" s="14" customFormat="1" customHeight="1" spans="1:35">
      <c r="A31" s="55"/>
      <c r="B31" s="55" t="s">
        <v>193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194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12"/>
    </row>
    <row r="33" s="14" customFormat="1" customHeight="1" spans="1:35">
      <c r="A33" s="55"/>
      <c r="B33" s="55" t="s">
        <v>195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12"/>
    </row>
    <row r="35" ht="11.25" customHeight="1" spans="2:2">
      <c r="B35" s="58" t="s">
        <v>196</v>
      </c>
    </row>
    <row r="36" spans="2:2">
      <c r="B36" s="59" t="s">
        <v>197</v>
      </c>
    </row>
    <row r="37" spans="2:2">
      <c r="B37" s="59" t="s">
        <v>198</v>
      </c>
    </row>
  </sheetData>
  <autoFilter xmlns:etc="http://www.wps.cn/officeDocument/2017/etCustomData" ref="A3:AT21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4" priority="2" stopIfTrue="1"/>
  </conditionalFormatting>
  <conditionalFormatting sqref="B28:B32">
    <cfRule type="duplicateValues" dxfId="4" priority="3" stopIfTrue="1"/>
  </conditionalFormatting>
  <conditionalFormatting sqref="B36:B37">
    <cfRule type="duplicateValues" dxfId="4" priority="1" stopIfTrue="1"/>
  </conditionalFormatting>
  <conditionalFormatting sqref="C25:C27">
    <cfRule type="duplicateValues" dxfId="4" priority="4" stopIfTrue="1"/>
    <cfRule type="expression" dxfId="5" priority="5" stopIfTrue="1">
      <formula>AND(COUNTIF($B$21:$B$65457,C25)+COUNTIF($B$1:$B$3,C25)&gt;1,NOT(ISBLANK(C25)))</formula>
    </cfRule>
    <cfRule type="expression" dxfId="5" priority="6" stopIfTrue="1">
      <formula>AND(COUNTIF($B$32:$B$65408,C25)+COUNTIF($B$1:$B$31,C25)&gt;1,NOT(ISBLANK(C25)))</formula>
    </cfRule>
    <cfRule type="expression" dxfId="5" priority="7" stopIfTrue="1">
      <formula>AND(COUNTIF($B$21:$B$65446,C25)+COUNTIF($B$1:$B$3,C25)&gt;1,NOT(ISBLANK(C25)))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636.7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215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1273.4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-73.4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69.46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216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11400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75.52</v>
      </c>
      <c r="AE5" s="96">
        <f>ROUND(MAX((AD5)*{0.03;0.1;0.2;0.25;0.3;0.35;0.45}-{0;2520;16920;31920;52920;85920;181920},0),2)</f>
        <v>2.27</v>
      </c>
      <c r="AF5" s="97">
        <f>IFERROR(VLOOKUP(E:E,'（居民）工资表-1月'!E:AF,28,0)+VLOOKUP(E:E,'（居民）工资表-1月'!E:AG,29,0),0)</f>
        <v>1.33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217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48222.9</v>
      </c>
      <c r="AE6" s="96">
        <f>ROUND(MAX((AD6)*{0.03;0.1;0.2;0.25;0.3;0.35;0.45}-{0;2520;16920;31920;52920;85920;181920},0),2)</f>
        <v>2302.29</v>
      </c>
      <c r="AF6" s="97">
        <f>IFERROR(VLOOKUP(E:E,'（居民）工资表-1月'!E:AF,28,0)+VLOOKUP(E:E,'（居民）工资表-1月'!E:AG,29,0),0)</f>
        <v>723.34</v>
      </c>
      <c r="AG6" s="97">
        <f t="shared" si="2"/>
        <v>1578.95</v>
      </c>
      <c r="AH6" s="107">
        <f t="shared" si="3"/>
        <v>27532.5</v>
      </c>
      <c r="AI6" s="108"/>
      <c r="AJ6" s="107">
        <f t="shared" si="4"/>
        <v>27532.5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218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16000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4944.58</v>
      </c>
      <c r="AE7" s="96">
        <f>ROUND(MAX((AD7)*{0.03;0.1;0.2;0.25;0.3;0.35;0.45}-{0;2520;16920;31920;52920;85920;181920},0),2)</f>
        <v>148.34</v>
      </c>
      <c r="AF7" s="97">
        <f>IFERROR(VLOOKUP(E:E,'（居民）工资表-1月'!E:AF,28,0)+VLOOKUP(E:E,'（居民）工资表-1月'!E:AG,29,0),0)</f>
        <v>74.17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219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9456</v>
      </c>
      <c r="AE8" s="96">
        <f>ROUND(MAX((AD8)*{0.03;0.1;0.2;0.25;0.3;0.35;0.45}-{0;2520;16920;31920;52920;85920;181920},0),2)</f>
        <v>283.68</v>
      </c>
      <c r="AF8" s="97">
        <f>IFERROR(VLOOKUP(E:E,'（居民）工资表-1月'!E:AF,28,0)+VLOOKUP(E:E,'（居民）工资表-1月'!E:AG,29,0),0)</f>
        <v>141.84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220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1922.91</v>
      </c>
      <c r="AE9" s="96">
        <f>ROUND(MAX((AD9)*{0.03;0.1;0.2;0.25;0.3;0.35;0.45}-{0;2520;16920;31920;52920;85920;181920},0),2)</f>
        <v>57.69</v>
      </c>
      <c r="AF9" s="97">
        <f>IFERROR(VLOOKUP(E:E,'（居民）工资表-1月'!E:AF,28,0)+VLOOKUP(E:E,'（居民）工资表-1月'!E:AG,29,0),0)</f>
        <v>29.9</v>
      </c>
      <c r="AG9" s="97">
        <f t="shared" si="2"/>
        <v>27.79</v>
      </c>
      <c r="AH9" s="107">
        <f t="shared" si="3"/>
        <v>5898.43</v>
      </c>
      <c r="AI9" s="108"/>
      <c r="AJ9" s="107">
        <f t="shared" si="4"/>
        <v>5898.43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221</v>
      </c>
    </row>
    <row r="10" s="12" customFormat="1" ht="18" customHeight="1" spans="1:47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9051.68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-2208.04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222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17000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5882</v>
      </c>
      <c r="AE11" s="96">
        <f>ROUND(MAX((AD11)*{0.03;0.1;0.2;0.25;0.3;0.35;0.45}-{0;2520;16920;31920;52920;85920;181920},0),2)</f>
        <v>176.46</v>
      </c>
      <c r="AF11" s="97">
        <f>IFERROR(VLOOKUP(E:E,'（居民）工资表-1月'!E:AF,28,0)+VLOOKUP(E:E,'（居民）工资表-1月'!E:AG,29,0),0)</f>
        <v>88.23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223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14000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2456</v>
      </c>
      <c r="AE12" s="96">
        <f>ROUND(MAX((AD12)*{0.03;0.1;0.2;0.25;0.3;0.35;0.45}-{0;2520;16920;31920;52920;85920;181920},0),2)</f>
        <v>73.68</v>
      </c>
      <c r="AF12" s="97">
        <f>IFERROR(VLOOKUP(E:E,'（居民）工资表-1月'!E:AF,28,0)+VLOOKUP(E:E,'（居民）工资表-1月'!E:AG,29,0),0)</f>
        <v>36.84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220</v>
      </c>
    </row>
    <row r="13" s="12" customFormat="1" ht="18" customHeight="1" spans="1:47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14608.7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3064.7</v>
      </c>
      <c r="AE13" s="96">
        <f>ROUND(MAX((AD13)*{0.03;0.1;0.2;0.25;0.3;0.35;0.45}-{0;2520;16920;31920;52920;85920;181920},0),2)</f>
        <v>91.94</v>
      </c>
      <c r="AF13" s="97">
        <f>IFERROR(VLOOKUP(E:E,'（居民）工资表-1月'!E:AF,28,0)+VLOOKUP(E:E,'（居民）工资表-1月'!E:AG,29,0),0)</f>
        <v>36.84</v>
      </c>
      <c r="AG13" s="97">
        <f t="shared" si="2"/>
        <v>55.1</v>
      </c>
      <c r="AH13" s="107">
        <f t="shared" si="3"/>
        <v>6781.6</v>
      </c>
      <c r="AI13" s="108"/>
      <c r="AJ13" s="107">
        <f t="shared" si="4"/>
        <v>6781.6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220</v>
      </c>
    </row>
    <row r="14" s="12" customFormat="1" ht="18" customHeight="1" spans="1:47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14000</v>
      </c>
      <c r="T14" s="91">
        <f>5000+IFERROR(VLOOKUP($E:$E,'（居民）工资表-1月'!$E:$T,16,0),0)</f>
        <v>10000</v>
      </c>
      <c r="U14" s="91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IFERROR(VLOOKUP(E:E,'（居民）工资表-1月'!E:AF,28,0)+VLOOKUP(E:E,'（居民）工资表-1月'!E:AG,29,0),0)</f>
        <v>43.23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223</v>
      </c>
    </row>
    <row r="15" s="12" customFormat="1" ht="18" customHeight="1" spans="1:47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12641.74</v>
      </c>
      <c r="T15" s="91">
        <f>5000+IFERROR(VLOOKUP($E:$E,'（居民）工资表-1月'!$E:$T,16,0),0)</f>
        <v>10000</v>
      </c>
      <c r="U15" s="91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IFERROR(VLOOKUP(E:E,'（居民）工资表-1月'!E:AF,28,0)+VLOOKUP(E:E,'（居民）工资表-1月'!E:AG,29,0),0)</f>
        <v>15.97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219</v>
      </c>
    </row>
    <row r="16" s="12" customFormat="1" ht="18" customHeight="1" spans="1:47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950</v>
      </c>
      <c r="AE16" s="96">
        <f>ROUND(MAX((AD16)*{0.03;0.1;0.2;0.25;0.3;0.35;0.45}-{0;2520;16920;31920;52920;85920;181920},0),2)</f>
        <v>28.5</v>
      </c>
      <c r="AF16" s="97">
        <f>IFERROR(VLOOKUP(E:E,'（居民）工资表-1月'!E:AF,28,0)+VLOOKUP(E:E,'（居民）工资表-1月'!E:AG,29,0),0)</f>
        <v>14.25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224</v>
      </c>
    </row>
    <row r="17" s="12" customFormat="1" ht="18" customHeight="1" spans="1:47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7652.17</v>
      </c>
      <c r="T17" s="91">
        <f>5000+IFERROR(VLOOKUP($E:$E,'（居民）工资表-1月'!$E:$T,16,0),0)</f>
        <v>5000</v>
      </c>
      <c r="U17" s="91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1069.04</v>
      </c>
      <c r="AE17" s="96">
        <f>ROUND(MAX((AD17)*{0.03;0.1;0.2;0.25;0.3;0.35;0.45}-{0;2520;16920;31920;52920;85920;181920},0),2)</f>
        <v>32.07</v>
      </c>
      <c r="AF17" s="97">
        <f>IFERROR(VLOOKUP(E:E,'（居民）工资表-1月'!E:AF,28,0)+VLOOKUP(E:E,'（居民）工资表-1月'!E:AG,29,0),0)</f>
        <v>0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219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238474.29</v>
      </c>
      <c r="T19" s="74">
        <f t="shared" si="10"/>
        <v>135000</v>
      </c>
      <c r="U19" s="74">
        <f t="shared" si="10"/>
        <v>18443.76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80230.53</v>
      </c>
      <c r="AE19" s="74">
        <f t="shared" si="10"/>
        <v>3330.97</v>
      </c>
      <c r="AF19" s="74">
        <f t="shared" si="10"/>
        <v>1275.4</v>
      </c>
      <c r="AG19" s="74">
        <f t="shared" si="10"/>
        <v>2125.03</v>
      </c>
      <c r="AH19" s="74">
        <f t="shared" si="10"/>
        <v>111496.3</v>
      </c>
      <c r="AI19" s="74">
        <f t="shared" si="10"/>
        <v>0</v>
      </c>
      <c r="AJ19" s="74">
        <f t="shared" si="10"/>
        <v>111496.3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215</v>
      </c>
      <c r="E23" s="47" t="s">
        <v>23</v>
      </c>
      <c r="AD23" s="10"/>
    </row>
    <row r="24" ht="18.75" customHeight="1" spans="2:5">
      <c r="B24" s="48">
        <f>AJ19</f>
        <v>111496.3</v>
      </c>
      <c r="C24" s="48">
        <f>AG19</f>
        <v>2125.03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1862.1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-62.1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69.46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17100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1986.72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113.28</v>
      </c>
      <c r="AE5" s="96">
        <f>ROUND(MAX((AD5)*{0.03;0.1;0.2;0.25;0.3;0.35;0.45}-{0;2520;16920;31920;52920;85920;181920},0),2)</f>
        <v>3.4</v>
      </c>
      <c r="AF5" s="97">
        <f>IFERROR(VLOOKUP(E:E,'（居民）工资表-2月'!E:AF,28,0)+VLOOKUP(E:E,'（居民）工资表-2月'!E:AG,29,0),0)</f>
        <v>2.27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2845.65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72334.35</v>
      </c>
      <c r="AE6" s="96">
        <f>ROUND(MAX((AD6)*{0.03;0.1;0.2;0.25;0.3;0.35;0.45}-{0;2520;16920;31920;52920;85920;181920},0),2)</f>
        <v>4713.44</v>
      </c>
      <c r="AF6" s="97">
        <f>IFERROR(VLOOKUP(E:E,'（居民）工资表-2月'!E:AF,28,0)+VLOOKUP(E:E,'（居民）工资表-2月'!E:AG,29,0),0)</f>
        <v>2302.29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24000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1583.13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7416.87</v>
      </c>
      <c r="AE7" s="96">
        <f>ROUND(MAX((AD7)*{0.03;0.1;0.2;0.25;0.3;0.35;0.45}-{0;2520;16920;31920;52920;85920;181920},0),2)</f>
        <v>222.51</v>
      </c>
      <c r="AF7" s="97">
        <f>IFERROR(VLOOKUP(E:E,'（居民）工资表-2月'!E:AF,28,0)+VLOOKUP(E:E,'（居民）工资表-2月'!E:AG,29,0),0)</f>
        <v>148.34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2316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14184</v>
      </c>
      <c r="AE8" s="96">
        <f>ROUND(MAX((AD8)*{0.03;0.1;0.2;0.25;0.3;0.35;0.45}-{0;2520;16920;31920;52920;85920;181920},0),2)</f>
        <v>425.52</v>
      </c>
      <c r="AF8" s="97">
        <f>IFERROR(VLOOKUP(E:E,'（居民）工资表-2月'!E:AF,28,0)+VLOOKUP(E:E,'（居民）工资表-2月'!E:AG,29,0),0)</f>
        <v>283.68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1603.89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2896.11</v>
      </c>
      <c r="AE9" s="96">
        <f>ROUND(MAX((AD9)*{0.03;0.1;0.2;0.25;0.3;0.35;0.45}-{0;2520;16920;31920;52920;85920;181920},0),2)</f>
        <v>86.88</v>
      </c>
      <c r="AF9" s="97">
        <f>IFERROR(VLOOKUP(E:E,'（居民）工资表-2月'!E:AF,28,0)+VLOOKUP(E:E,'（居民）工资表-2月'!E:AG,29,0),0)</f>
        <v>57.69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13577.52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1889.58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-3312.06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25500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1677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8823</v>
      </c>
      <c r="AE11" s="96">
        <f>ROUND(MAX((AD11)*{0.03;0.1;0.2;0.25;0.3;0.35;0.45}-{0;2520;16920;31920;52920;85920;181920},0),2)</f>
        <v>264.69</v>
      </c>
      <c r="AF11" s="97">
        <f>IFERROR(VLOOKUP(E:E,'（居民）工资表-2月'!E:AF,28,0)+VLOOKUP(E:E,'（居民）工资表-2月'!E:AG,29,0),0)</f>
        <v>176.46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21000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2316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3684</v>
      </c>
      <c r="AE12" s="96">
        <f>ROUND(MAX((AD12)*{0.03;0.1;0.2;0.25;0.3;0.35;0.45}-{0;2520;16920;31920;52920;85920;181920},0),2)</f>
        <v>110.52</v>
      </c>
      <c r="AF12" s="97">
        <f>IFERROR(VLOOKUP(E:E,'（居民）工资表-2月'!E:AF,28,0)+VLOOKUP(E:E,'（居民）工资表-2月'!E:AG,29,0),0)</f>
        <v>73.68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21608.7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2316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4292.7</v>
      </c>
      <c r="AE13" s="96">
        <f>ROUND(MAX((AD13)*{0.03;0.1;0.2;0.25;0.3;0.35;0.45}-{0;2520;16920;31920;52920;85920;181920},0),2)</f>
        <v>128.78</v>
      </c>
      <c r="AF13" s="97">
        <f>IFERROR(VLOOKUP(E:E,'（居民）工资表-2月'!E:AF,28,0)+VLOOKUP(E:E,'（居民）工资表-2月'!E:AG,29,0),0)</f>
        <v>91.94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21000</v>
      </c>
      <c r="T14" s="91">
        <f>5000+IFERROR(VLOOKUP($E:$E,'（居民）工资表-2月'!$E:$T,16,0),0)</f>
        <v>15000</v>
      </c>
      <c r="U14" s="91">
        <f>Q14+IFERROR(VLOOKUP($E:$E,'（居民）工资表-2月'!$E:$U,17,0),0)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IFERROR(VLOOKUP(E:E,'（居民）工资表-2月'!E:AF,28,0)+VLOOKUP(E:E,'（居民）工资表-2月'!E:AG,29,0),0)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18701.74</v>
      </c>
      <c r="T15" s="91">
        <f>5000+IFERROR(VLOOKUP($E:$E,'（居民）工资表-2月'!$E:$T,16,0),0)</f>
        <v>15000</v>
      </c>
      <c r="U15" s="91">
        <f>Q15+IFERROR(VLOOKUP($E:$E,'（居民）工资表-2月'!$E:$U,17,0),0)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2118.61</v>
      </c>
      <c r="AE15" s="96">
        <f>ROUND(MAX((AD15)*{0.03;0.1;0.2;0.25;0.3;0.35;0.45}-{0;2520;16920;31920;52920;85920;181920},0),2)</f>
        <v>63.56</v>
      </c>
      <c r="AF15" s="97">
        <f>IFERROR(VLOOKUP(E:E,'（居民）工资表-2月'!E:AF,28,0)+VLOOKUP(E:E,'（居民）工资表-2月'!E:AG,29,0),0)</f>
        <v>47.59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1425</v>
      </c>
      <c r="AE16" s="96">
        <f>ROUND(MAX((AD16)*{0.03;0.1;0.2;0.25;0.3;0.35;0.45}-{0;2520;16920;31920;52920;85920;181920},0),2)</f>
        <v>42.75</v>
      </c>
      <c r="AF16" s="97">
        <f>IFERROR(VLOOKUP(E:E,'（居民）工资表-2月'!E:AF,28,0)+VLOOKUP(E:E,'（居民）工资表-2月'!E:AG,29,0),0)</f>
        <v>28.5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17556.93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2110.84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5446.09</v>
      </c>
      <c r="AE17" s="96">
        <f>ROUND(MAX((AD17)*{0.03;0.1;0.2;0.25;0.3;0.35;0.45}-{0;2520;16920;31920;52920;85920;181920},0),2)</f>
        <v>163.38</v>
      </c>
      <c r="AF17" s="97">
        <f>IFERROR(VLOOKUP(E:E,'（居民）工资表-2月'!E:AF,28,0)+VLOOKUP(E:E,'（居民）工资表-2月'!E:AG,29,0),0)</f>
        <v>32.07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363224.89</v>
      </c>
      <c r="T19" s="74">
        <f t="shared" si="10"/>
        <v>205000</v>
      </c>
      <c r="U19" s="74">
        <f t="shared" si="10"/>
        <v>27342.04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123682.85</v>
      </c>
      <c r="AE19" s="74">
        <f t="shared" si="10"/>
        <v>6355.12</v>
      </c>
      <c r="AF19" s="74">
        <f t="shared" si="10"/>
        <v>3400.43</v>
      </c>
      <c r="AG19" s="74">
        <f t="shared" si="10"/>
        <v>3024.15</v>
      </c>
      <c r="AH19" s="74">
        <f t="shared" si="10"/>
        <v>112828.17</v>
      </c>
      <c r="AI19" s="74">
        <f t="shared" si="10"/>
        <v>0</v>
      </c>
      <c r="AJ19" s="74">
        <f t="shared" si="10"/>
        <v>112828.17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112828.17</v>
      </c>
      <c r="C24" s="48">
        <f>AG19</f>
        <v>3024.15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2450.8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9549.2</v>
      </c>
      <c r="AE4" s="96">
        <f>ROUND(MAX((AD4)*{0.03;0.1;0.2;0.25;0.3;0.35;0.45}-{0;2520;16920;31920;52920;85920;181920},0),2)</f>
        <v>286.48</v>
      </c>
      <c r="AF4" s="97">
        <f>IFERROR(VLOOKUP(E:E,'（居民）工资表-3月'!E:AF,28,0)+VLOOKUP(E:E,'（居民）工资表-3月'!E:AG,29,0),0)</f>
        <v>69.46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22800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2648.96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151.04</v>
      </c>
      <c r="AE5" s="96">
        <f>ROUND(MAX((AD5)*{0.03;0.1;0.2;0.25;0.3;0.35;0.45}-{0;2520;16920;31920;52920;85920;181920},0),2)</f>
        <v>4.53</v>
      </c>
      <c r="AF5" s="97">
        <f>IFERROR(VLOOKUP(E:E,'（居民）工资表-3月'!E:AF,28,0)+VLOOKUP(E:E,'（居民）工资表-3月'!E:AG,29,0),0)</f>
        <v>3.4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3794.2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96445.8</v>
      </c>
      <c r="AE6" s="96">
        <f>ROUND(MAX((AD6)*{0.03;0.1;0.2;0.25;0.3;0.35;0.45}-{0;2520;16920;31920;52920;85920;181920},0),2)</f>
        <v>7124.58</v>
      </c>
      <c r="AF6" s="97">
        <f>IFERROR(VLOOKUP(E:E,'（居民）工资表-3月'!E:AF,28,0)+VLOOKUP(E:E,'（居民）工资表-3月'!E:AG,29,0),0)</f>
        <v>4713.44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32000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2110.84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9889.16</v>
      </c>
      <c r="AE7" s="96">
        <f>ROUND(MAX((AD7)*{0.03;0.1;0.2;0.25;0.3;0.35;0.45}-{0;2520;16920;31920;52920;85920;181920},0),2)</f>
        <v>296.67</v>
      </c>
      <c r="AF7" s="97">
        <f>IFERROR(VLOOKUP(E:E,'（居民）工资表-3月'!E:AF,28,0)+VLOOKUP(E:E,'（居民）工资表-3月'!E:AG,29,0),0)</f>
        <v>222.51</v>
      </c>
      <c r="AG7" s="97">
        <f t="shared" si="3"/>
        <v>74.16</v>
      </c>
      <c r="AH7" s="107">
        <f t="shared" si="4"/>
        <v>7398.13</v>
      </c>
      <c r="AI7" s="108"/>
      <c r="AJ7" s="107">
        <f t="shared" si="5"/>
        <v>7398.13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3088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18912</v>
      </c>
      <c r="AE8" s="99">
        <f>ROUND(MAX((AD8)*{0.03;0.1;0.2;0.25;0.3;0.35;0.45}-{0;2520;16920;31920;52920;85920;181920},0),2)</f>
        <v>567.36</v>
      </c>
      <c r="AF8" s="100">
        <f>IFERROR(VLOOKUP(E:E,'（居民）工资表-3月'!E:AF,28,0)+VLOOKUP(E:E,'（居民）工资表-3月'!E:AG,29,0),0)</f>
        <v>425.52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2130.69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3869.31</v>
      </c>
      <c r="AE9" s="96">
        <f>ROUND(MAX((AD9)*{0.03;0.1;0.2;0.25;0.3;0.35;0.45}-{0;2520;16920;31920;52920;85920;181920},0),2)</f>
        <v>116.08</v>
      </c>
      <c r="AF9" s="97">
        <f>IFERROR(VLOOKUP(E:E,'（居民）工资表-3月'!E:AF,28,0)+VLOOKUP(E:E,'（居民）工资表-3月'!E:AG,29,0),0)</f>
        <v>86.88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18103.36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2519.44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-4416.08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34000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2236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11764</v>
      </c>
      <c r="AE11" s="96">
        <f>ROUND(MAX((AD11)*{0.03;0.1;0.2;0.25;0.3;0.35;0.45}-{0;2520;16920;31920;52920;85920;181920},0),2)</f>
        <v>352.92</v>
      </c>
      <c r="AF11" s="97">
        <f>IFERROR(VLOOKUP(E:E,'（居民）工资表-3月'!E:AF,28,0)+VLOOKUP(E:E,'（居民）工资表-3月'!E:AG,29,0),0)</f>
        <v>264.69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28000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3088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4912</v>
      </c>
      <c r="AE12" s="96">
        <f>ROUND(MAX((AD12)*{0.03;0.1;0.2;0.25;0.3;0.35;0.45}-{0;2520;16920;31920;52920;85920;181920},0),2)</f>
        <v>147.36</v>
      </c>
      <c r="AF12" s="97">
        <f>IFERROR(VLOOKUP(E:E,'（居民）工资表-3月'!E:AF,28,0)+VLOOKUP(E:E,'（居民）工资表-3月'!E:AG,29,0),0)</f>
        <v>110.52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28608.7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3088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5520.7</v>
      </c>
      <c r="AE13" s="96">
        <f>ROUND(MAX((AD13)*{0.03;0.1;0.2;0.25;0.3;0.35;0.45}-{0;2520;16920;31920;52920;85920;181920},0),2)</f>
        <v>165.62</v>
      </c>
      <c r="AF13" s="97">
        <f>IFERROR(VLOOKUP(E:E,'（居民）工资表-3月'!E:AF,28,0)+VLOOKUP(E:E,'（居民）工资表-3月'!E:AG,29,0),0)</f>
        <v>128.78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28000</v>
      </c>
      <c r="T14" s="91">
        <f>5000+IFERROR(VLOOKUP($E:$E,'（居民）工资表-3月'!$E:$T,16,0),0)</f>
        <v>20000</v>
      </c>
      <c r="U14" s="91">
        <f>Q14+IFERROR(VLOOKUP($E:$E,'（居民）工资表-3月'!$E:$U,17,0),0)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IFERROR(VLOOKUP(E:E,'（居民）工资表-3月'!E:AF,28,0)+VLOOKUP(E:E,'（居民）工资表-3月'!E:AG,29,0),0)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25001.74</v>
      </c>
      <c r="T15" s="91">
        <f>5000+IFERROR(VLOOKUP($E:$E,'（居民）工资表-3月'!$E:$T,16,0),0)</f>
        <v>20000</v>
      </c>
      <c r="U15" s="91">
        <f>Q15+IFERROR(VLOOKUP($E:$E,'（居民）工资表-3月'!$E:$U,17,0),0)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IFERROR(VLOOKUP(E:E,'（居民）工资表-3月'!E:AF,28,0)+VLOOKUP(E:E,'（居民）工资表-3月'!E:AG,29,0),0)</f>
        <v>63.56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1900</v>
      </c>
      <c r="AE16" s="96">
        <f>ROUND(MAX((AD16)*{0.03;0.1;0.2;0.25;0.3;0.35;0.45}-{0;2520;16920;31920;52920;85920;181920},0),2)</f>
        <v>57</v>
      </c>
      <c r="AF16" s="97">
        <f>IFERROR(VLOOKUP(E:E,'（居民）工资表-3月'!E:AF,28,0)+VLOOKUP(E:E,'（居民）工资表-3月'!E:AG,29,0),0)</f>
        <v>42.75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27556.93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2638.55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9918.38</v>
      </c>
      <c r="AE17" s="96">
        <f>ROUND(MAX((AD17)*{0.03;0.1;0.2;0.25;0.3;0.35;0.45}-{0;2520;16920;31920;52920;85920;181920},0),2)</f>
        <v>297.55</v>
      </c>
      <c r="AF17" s="97">
        <f>IFERROR(VLOOKUP(E:E,'（居民）工资表-3月'!E:AF,28,0)+VLOOKUP(E:E,'（居民）工资表-3月'!E:AG,29,0),0)</f>
        <v>163.38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490337.4</v>
      </c>
      <c r="T20" s="74">
        <f t="shared" si="10"/>
        <v>280000</v>
      </c>
      <c r="U20" s="74">
        <f t="shared" si="10"/>
        <v>37345.46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172991.94</v>
      </c>
      <c r="AE20" s="74">
        <f t="shared" si="10"/>
        <v>9675.8</v>
      </c>
      <c r="AF20" s="74">
        <f t="shared" si="10"/>
        <v>6424.58</v>
      </c>
      <c r="AG20" s="74">
        <f t="shared" si="10"/>
        <v>3251.22</v>
      </c>
      <c r="AH20" s="74">
        <f t="shared" si="10"/>
        <v>113857.87</v>
      </c>
      <c r="AI20" s="74">
        <f t="shared" si="10"/>
        <v>0</v>
      </c>
      <c r="AJ20" s="74">
        <f t="shared" si="10"/>
        <v>113857.87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113857.87</v>
      </c>
      <c r="C25" s="48">
        <f>AG20</f>
        <v>3251.22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225</v>
      </c>
      <c r="C1" s="1"/>
      <c r="D1" s="1"/>
      <c r="E1" s="1"/>
    </row>
    <row r="2" ht="21" spans="2:2">
      <c r="B2" s="2"/>
    </row>
    <row r="3" ht="27.75" customHeight="1" spans="2:5">
      <c r="B3" s="3" t="s">
        <v>226</v>
      </c>
      <c r="C3" s="4" t="s">
        <v>227</v>
      </c>
      <c r="D3" s="4" t="s">
        <v>228</v>
      </c>
      <c r="E3" s="4" t="s">
        <v>229</v>
      </c>
    </row>
    <row r="4" ht="29.25" customHeight="1" spans="2:5">
      <c r="B4" s="5">
        <v>1</v>
      </c>
      <c r="C4" s="6" t="s">
        <v>230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231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232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233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234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235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236</v>
      </c>
      <c r="D10" s="7">
        <v>0.45</v>
      </c>
      <c r="E10" s="8">
        <v>181920</v>
      </c>
    </row>
    <row r="13" ht="57" customHeight="1" spans="2:5">
      <c r="B13" s="1" t="s">
        <v>237</v>
      </c>
      <c r="C13" s="1"/>
      <c r="D13" s="1"/>
      <c r="E13" s="1"/>
    </row>
    <row r="14" ht="21" spans="2:2">
      <c r="B14" s="2"/>
    </row>
    <row r="15" ht="27.75" customHeight="1" spans="2:5">
      <c r="B15" s="3" t="s">
        <v>226</v>
      </c>
      <c r="C15" s="4" t="s">
        <v>238</v>
      </c>
      <c r="D15" s="4" t="s">
        <v>228</v>
      </c>
      <c r="E15" s="4" t="s">
        <v>229</v>
      </c>
    </row>
    <row r="16" ht="29.25" customHeight="1" spans="2:5">
      <c r="B16" s="5">
        <v>1</v>
      </c>
      <c r="C16" s="6" t="s">
        <v>239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240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241</v>
      </c>
      <c r="D18" s="7">
        <v>0.4</v>
      </c>
      <c r="E18" s="8">
        <v>7000</v>
      </c>
    </row>
    <row r="21" ht="47.25" customHeight="1" spans="2:5">
      <c r="B21" s="1" t="s">
        <v>242</v>
      </c>
      <c r="C21" s="1"/>
      <c r="D21" s="1"/>
      <c r="E21" s="1"/>
    </row>
    <row r="22" ht="21" spans="2:2">
      <c r="B22" s="2"/>
    </row>
    <row r="23" ht="27.75" customHeight="1" spans="2:5">
      <c r="B23" s="3" t="s">
        <v>226</v>
      </c>
      <c r="C23" s="4" t="s">
        <v>243</v>
      </c>
      <c r="D23" s="4" t="s">
        <v>228</v>
      </c>
      <c r="E23" s="4" t="s">
        <v>229</v>
      </c>
    </row>
    <row r="24" ht="29.25" customHeight="1" spans="2:5">
      <c r="B24" s="5">
        <v>1</v>
      </c>
      <c r="C24" s="6" t="s">
        <v>244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245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246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247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248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249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250</v>
      </c>
      <c r="D30" s="7">
        <v>0.45</v>
      </c>
      <c r="E30" s="8">
        <v>15160</v>
      </c>
    </row>
    <row r="35" ht="57" customHeight="1" spans="2:5">
      <c r="B35" s="9" t="s">
        <v>251</v>
      </c>
      <c r="C35" s="9"/>
      <c r="D35" s="9"/>
      <c r="E35" s="9"/>
    </row>
    <row r="36" ht="14.25"/>
    <row r="37" ht="21.75" customHeight="1" spans="2:5">
      <c r="B37" s="3" t="s">
        <v>226</v>
      </c>
      <c r="C37" s="4" t="s">
        <v>252</v>
      </c>
      <c r="D37" s="4" t="s">
        <v>253</v>
      </c>
      <c r="E37" s="4" t="s">
        <v>229</v>
      </c>
    </row>
    <row r="38" ht="21.75" customHeight="1" spans="2:5">
      <c r="B38" s="5">
        <v>1</v>
      </c>
      <c r="C38" s="6" t="s">
        <v>244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245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246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247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248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249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250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2024-09-29T06:53:11Z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2052-12.1.0.18276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