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社保" sheetId="27" state="hidden" r:id="rId2"/>
    <sheet name="（居民）工资表-6月" sheetId="19" r:id="rId3"/>
    <sheet name="（居民）工资表-7月" sheetId="20" state="hidden" r:id="rId4"/>
    <sheet name="（居民）工资表-8月" sheetId="21" state="hidden" r:id="rId5"/>
    <sheet name="（居民）工资表-9月" sheetId="22" state="hidden" r:id="rId6"/>
    <sheet name="（居民）工资表-10月" sheetId="23" state="hidden" r:id="rId7"/>
    <sheet name="增" sheetId="29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5月" sheetId="18" state="hidden" r:id="rId15"/>
    <sheet name="Sheet1" sheetId="14" state="hidden" r:id="rId16"/>
  </sheets>
  <definedNames>
    <definedName name="_xlnm._FilterDatabase" localSheetId="2" hidden="1">'（居民）工资表-6月'!$A$3:$AT$6</definedName>
    <definedName name="_xlnm._FilterDatabase" localSheetId="3" hidden="1">'（居民）工资表-7月'!$A$3:$AT$19</definedName>
    <definedName name="_xlnm._FilterDatabase" localSheetId="4" hidden="1">'（居民）工资表-8月'!$A$3:$AT$20</definedName>
    <definedName name="_xlnm._FilterDatabase" localSheetId="5" hidden="1">'（居民）工资表-9月'!$A$3:$AT$13</definedName>
    <definedName name="_xlnm._FilterDatabase" localSheetId="6" hidden="1">'（居民）工资表-10月'!$A$3:$AT$5</definedName>
    <definedName name="_xlnm._FilterDatabase" localSheetId="8" hidden="1">'（居民）工资表-11月'!$A$3:$AT$5</definedName>
    <definedName name="_xlnm._FilterDatabase" localSheetId="9" hidden="1">'（居民）工资表-1月'!$A$3:$AT$5</definedName>
    <definedName name="_xlnm._FilterDatabase" localSheetId="10" hidden="1">'（居民）工资表-12月'!$A$3:$AT$5</definedName>
    <definedName name="_xlnm._FilterDatabase" localSheetId="11" hidden="1">'（居民）工资表-2月'!$A$3:$AT$5</definedName>
    <definedName name="_xlnm._FilterDatabase" localSheetId="12" hidden="1">'（居民）工资表-3月'!$A$3:$AT$6</definedName>
    <definedName name="_xlnm._FilterDatabase" localSheetId="13" hidden="1">'（居民）工资表-4月'!$A$3:$AT$6</definedName>
    <definedName name="_xlnm._FilterDatabase" localSheetId="14" hidden="1">'（居民）工资表-5月'!$A$3:$AT$7</definedName>
    <definedName name="_xlnm.Print_Area" localSheetId="6">'（居民）工资表-10月'!$A$1:$AT$11</definedName>
    <definedName name="_xlnm.Print_Area" localSheetId="8">'（居民）工资表-11月'!$A$1:$AT$11</definedName>
    <definedName name="_xlnm.Print_Area" localSheetId="10">'（居民）工资表-12月'!$A$1:$AT$11</definedName>
    <definedName name="_xlnm.Print_Area" localSheetId="9">'（居民）工资表-1月'!$A$1:$AT$11</definedName>
    <definedName name="_xlnm.Print_Area" localSheetId="11">'（居民）工资表-2月'!$A$1:$AT$11</definedName>
    <definedName name="_xlnm.Print_Area" localSheetId="12">'（居民）工资表-3月'!$A$1:$AT$12</definedName>
    <definedName name="_xlnm.Print_Area" localSheetId="13">'（居民）工资表-4月'!$A$1:$AT$12</definedName>
    <definedName name="_xlnm.Print_Area" localSheetId="14">'（居民）工资表-5月'!$A$1:$AT$13</definedName>
    <definedName name="_xlnm.Print_Area" localSheetId="2">'（居民）工资表-6月'!$A$1:$AT$12</definedName>
    <definedName name="_xlnm.Print_Area" localSheetId="3">'（居民）工资表-7月'!$A$1:$AT$25</definedName>
    <definedName name="_xlnm.Print_Area" localSheetId="4">'（居民）工资表-8月'!$A$1:$AT$26</definedName>
    <definedName name="_xlnm.Print_Area" localSheetId="5">'（居民）工资表-9月'!$A$1:$AT$19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<sst xmlns="http://schemas.openxmlformats.org/spreadsheetml/2006/main" count="1387" uniqueCount="276">
  <si>
    <t>付款通知书</t>
  </si>
  <si>
    <t>尊敬的客户：北京创联致信科技有限公司</t>
  </si>
  <si>
    <t>根据贵公司与我公司所签订的服务协议，请贵公司在2023年6月8日之前按照下列表格内容支付相关款项.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</si>
  <si>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</si>
  <si>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</si>
  <si>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</si>
  <si>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账户全称：北京易科赛斯信息技术有限公司</t>
  </si>
  <si>
    <t>本期应付款合计（大写）：</t>
  </si>
  <si>
    <t>开户银行：广发银行北京光华路支行</t>
  </si>
  <si>
    <t>本期款项合计：</t>
  </si>
  <si>
    <t>尾数调整：</t>
  </si>
  <si>
    <t>银行账号：9550880215395900189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</si>
  <si>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</si>
  <si>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</si>
  <si>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</si>
  <si>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</si>
  <si>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</si>
  <si>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</si>
  <si>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</si>
  <si>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</si>
  <si>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</si>
  <si>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</si>
  <si>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</si>
  <si>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</si>
  <si>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</si>
  <si>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</si>
  <si>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</si>
  <si>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</si>
  <si>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</si>
  <si>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</si>
  <si>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</si>
  <si>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</si>
  <si>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</si>
  <si>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</si>
  <si>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</si>
  <si>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</si>
  <si>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</si>
  <si>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</si>
  <si>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</si>
  <si>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</si>
  <si>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</si>
  <si>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</si>
  <si>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</si>
  <si>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</si>
  <si>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</si>
  <si>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</si>
  <si>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</si>
  <si>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</si>
  <si>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</si>
  <si>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</si>
  <si>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</si>
  <si>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</si>
  <si>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</si>
  <si>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</si>
  <si>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</si>
  <si>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</si>
  <si>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</si>
  <si>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</si>
  <si>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</si>
  <si>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</si>
  <si>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</si>
  <si>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</si>
  <si>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</si>
  <si>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</si>
  <si>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</si>
  <si>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</si>
  <si>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</si>
  <si>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</si>
  <si>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</si>
  <si>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</si>
  <si>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</si>
  <si>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</si>
  <si>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</si>
  <si>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</si>
  <si>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</si>
  <si>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</si>
  <si>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</si>
  <si>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</si>
  <si>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</si>
  <si>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</si>
  <si>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</si>
  <si>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</si>
  <si>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</si>
  <si>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</si>
  <si>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</si>
  <si>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</si>
  <si>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</si>
  <si>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</si>
  <si>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</si>
  <si>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</si>
  <si>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</si>
  <si>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</si>
  <si>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</si>
  <si>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</si>
  <si>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</si>
  <si>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</si>
  <si>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</si>
  <si>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</si>
  <si>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</si>
  <si>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</si>
  <si>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</si>
  <si>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</si>
  <si>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</si>
  <si>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</si>
  <si>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</si>
  <si>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</si>
  <si>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</si>
  <si>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</si>
  <si>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</si>
  <si>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</si>
  <si>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</si>
  <si>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</si>
  <si>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</si>
  <si>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</si>
  <si>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</si>
  <si>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</si>
  <si>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</si>
  <si>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</si>
  <si>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</si>
  <si>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</si>
  <si>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</si>
  <si>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</si>
  <si>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</si>
  <si>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</si>
  <si>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</si>
  <si>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</si>
  <si>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</si>
  <si>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</si>
  <si>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</si>
  <si>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</si>
  <si>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</si>
  <si>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</si>
  <si>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</si>
  <si>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</si>
  <si>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</si>
  <si>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</si>
  <si>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</si>
  <si>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</si>
  <si>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</si>
  <si>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</si>
  <si>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</si>
  <si>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</si>
  <si>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</si>
  <si>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</si>
  <si>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</si>
  <si>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</si>
  <si>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</si>
  <si>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郭建芳</t>
  </si>
  <si>
    <t>身份证</t>
  </si>
  <si>
    <t>360421197603120026</t>
  </si>
  <si>
    <t>男</t>
  </si>
  <si>
    <t>15801385790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</si>
  <si>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</si>
  <si>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</si>
  <si>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</si>
  <si>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</si>
  <si>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</si>
  <si>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</si>
  <si>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</si>
  <si>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</si>
  <si>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</si>
  <si>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</si>
  <si>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</si>
  <si>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</si>
  <si>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梁敏霞</t>
  </si>
  <si>
    <t>440883199611084547</t>
  </si>
  <si>
    <t>女</t>
  </si>
  <si>
    <t>王明贤</t>
  </si>
  <si>
    <t>411322199302132416</t>
  </si>
  <si>
    <t>何仪华</t>
  </si>
  <si>
    <t>412726198606097916</t>
  </si>
  <si>
    <t>楚华锋</t>
  </si>
  <si>
    <t>410183199311189538</t>
  </si>
  <si>
    <t>芮瑞</t>
  </si>
  <si>
    <t>411221198610113536</t>
  </si>
  <si>
    <t>15537954009</t>
  </si>
  <si>
    <t>桑柳成</t>
  </si>
  <si>
    <t>410521199111257519</t>
  </si>
  <si>
    <t>15713680881</t>
  </si>
  <si>
    <t>姚远</t>
  </si>
  <si>
    <t>410102198812110135</t>
  </si>
  <si>
    <t>15938792012</t>
  </si>
  <si>
    <t>张铭</t>
  </si>
  <si>
    <t>411402199905127632</t>
  </si>
  <si>
    <t>张明亮</t>
  </si>
  <si>
    <t>41042219910810183X</t>
  </si>
  <si>
    <t>周砺兴</t>
  </si>
  <si>
    <t>642222198309050097</t>
  </si>
  <si>
    <t>马欢</t>
  </si>
  <si>
    <t>640223199201051513</t>
  </si>
  <si>
    <t>卢平</t>
  </si>
  <si>
    <t>640321199312071114</t>
  </si>
  <si>
    <t>夏旭</t>
  </si>
  <si>
    <t>340122198708021850</t>
  </si>
  <si>
    <t>18297976577</t>
  </si>
  <si>
    <t>徐明龙</t>
  </si>
  <si>
    <t>340311199902251816</t>
  </si>
  <si>
    <t>15255242118</t>
  </si>
  <si>
    <t>陈佳文</t>
  </si>
  <si>
    <t>34122719960403561X</t>
  </si>
  <si>
    <t>龙治旺</t>
  </si>
  <si>
    <t>43070219881009051X</t>
  </si>
  <si>
    <t>冯玉</t>
  </si>
  <si>
    <t>370724197703022770</t>
  </si>
  <si>
    <t>13564614685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</si>
  <si>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</si>
  <si>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</si>
  <si>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</si>
  <si>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</si>
  <si>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</si>
  <si>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</si>
  <si>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</si>
  <si>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</si>
  <si>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</si>
  <si>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</si>
  <si>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</si>
  <si>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</si>
  <si>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</si>
  <si>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</si>
  <si>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</si>
  <si>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</si>
  <si>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</si>
  <si>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</si>
  <si>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</si>
  <si>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</si>
  <si>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</si>
  <si>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</si>
  <si>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</si>
  <si>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</si>
  <si>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</si>
  <si>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</si>
  <si>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</si>
  <si>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charset val="134"/>
      </rPr>
      <t>福利开始时间
（</t>
    </r>
    <r>
      <rPr>
        <b/>
        <sz val="10"/>
        <color indexed="10"/>
        <rFont val="微软雅黑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</si>
  <si>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</si>
  <si>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</si>
  <si>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</si>
  <si>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</si>
  <si>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</si>
  <si>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</si>
  <si>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</si>
  <si>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</si>
  <si>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</si>
  <si>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</si>
  <si>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阜阳</t>
  </si>
  <si>
    <t>蚌埠</t>
  </si>
  <si>
    <t>本地城镇</t>
  </si>
  <si>
    <t>调入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</si>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</sst>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;[Red]0.00"/>
    <numFmt numFmtId="178" formatCode="0.00_ 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&quot;$&quot;0_ "/>
    <numFmt numFmtId="184" formatCode="&quot;$&quot;#,##0_ ;[Red]\-&quot;$&quot;#,##0_ "/>
    <numFmt numFmtId="185" formatCode="General\ &quot;年&quot;"/>
    <numFmt numFmtId="186" formatCode="0.00_);\(0.00\)"/>
    <numFmt numFmtId="187" formatCode="[$-10432]yyyy/mm/dd;@"/>
  </numFmts>
  <fonts count="1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1"/>
      <color rgb="FF000000"/>
      <name val="宋体"/>
      <charset val="134"/>
    </font>
    <font>
      <b/>
      <sz val="10"/>
      <color rgb="FFFF0000"/>
      <name val="微软雅黑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73" fillId="0" borderId="0">
      <alignment vertical="center"/>
    </xf>
    <xf numFmtId="0" fontId="86" fillId="1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8" fillId="18" borderId="52" applyNumberFormat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/>
    <xf numFmtId="0" fontId="9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22" borderId="54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9" fillId="0" borderId="56" applyNumberFormat="0" applyFill="0" applyAlignment="0" applyProtection="0">
      <alignment vertical="center"/>
    </xf>
    <xf numFmtId="0" fontId="100" fillId="0" borderId="0"/>
    <xf numFmtId="0" fontId="101" fillId="0" borderId="56" applyNumberFormat="0" applyFill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5" fillId="0" borderId="57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02" fillId="29" borderId="58" applyNumberFormat="0" applyAlignment="0" applyProtection="0">
      <alignment vertical="center"/>
    </xf>
    <xf numFmtId="0" fontId="103" fillId="29" borderId="52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4" fillId="30" borderId="59" applyNumberFormat="0" applyAlignment="0" applyProtection="0">
      <alignment vertical="center"/>
    </xf>
    <xf numFmtId="0" fontId="29" fillId="0" borderId="0">
      <alignment vertical="center"/>
    </xf>
    <xf numFmtId="0" fontId="86" fillId="31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05" fillId="0" borderId="60" applyNumberFormat="0" applyFill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6" fillId="0" borderId="61" applyNumberFormat="0" applyFill="0" applyAlignment="0" applyProtection="0">
      <alignment vertical="center"/>
    </xf>
    <xf numFmtId="0" fontId="107" fillId="35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8" fillId="37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29" fillId="0" borderId="0">
      <alignment vertical="center"/>
    </xf>
    <xf numFmtId="0" fontId="86" fillId="38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29" fillId="0" borderId="0"/>
    <xf numFmtId="0" fontId="92" fillId="39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3" fillId="0" borderId="0"/>
    <xf numFmtId="0" fontId="86" fillId="41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92" fillId="44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92" fillId="4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52" borderId="0" applyNumberFormat="0" applyBorder="0" applyAlignment="0" applyProtection="0">
      <alignment vertical="center"/>
    </xf>
    <xf numFmtId="0" fontId="92" fillId="53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73" fillId="0" borderId="0"/>
    <xf numFmtId="0" fontId="112" fillId="3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73" fillId="0" borderId="0"/>
    <xf numFmtId="0" fontId="6" fillId="14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6" fillId="1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  <xf numFmtId="0" fontId="8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29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176" fontId="29" fillId="0" borderId="0"/>
    <xf numFmtId="0" fontId="89" fillId="17" borderId="53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9" fillId="17" borderId="5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4" fillId="23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58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21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8" fontId="6" fillId="0" borderId="0">
      <alignment vertical="center"/>
    </xf>
    <xf numFmtId="0" fontId="113" fillId="54" borderId="0" applyNumberFormat="0" applyBorder="0" applyAlignment="0" applyProtection="0">
      <alignment vertical="center"/>
    </xf>
    <xf numFmtId="9" fontId="6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6" fillId="0" borderId="63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6" fillId="0" borderId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7" fillId="0" borderId="64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8" fillId="0" borderId="0"/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0" fontId="111" fillId="0" borderId="65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84" fillId="6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14" fillId="57" borderId="53" applyNumberFormat="0" applyAlignment="0" applyProtection="0">
      <alignment vertical="center"/>
    </xf>
    <xf numFmtId="0" fontId="14" fillId="0" borderId="0">
      <alignment vertical="center"/>
    </xf>
    <xf numFmtId="0" fontId="118" fillId="0" borderId="0"/>
    <xf numFmtId="0" fontId="114" fillId="57" borderId="53" applyNumberFormat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6" fillId="0" borderId="0"/>
    <xf numFmtId="0" fontId="114" fillId="57" borderId="53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84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84" fillId="33" borderId="0" applyNumberFormat="0" applyBorder="0" applyAlignment="0" applyProtection="0">
      <alignment vertical="center"/>
    </xf>
    <xf numFmtId="0" fontId="6" fillId="0" borderId="0"/>
    <xf numFmtId="0" fontId="84" fillId="33" borderId="0" applyNumberFormat="0" applyBorder="0" applyAlignment="0" applyProtection="0">
      <alignment vertical="center"/>
    </xf>
    <xf numFmtId="0" fontId="29" fillId="0" borderId="0"/>
    <xf numFmtId="0" fontId="84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110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114" fillId="57" borderId="53" applyNumberFormat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84" fillId="61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8" fillId="0" borderId="0"/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112" fillId="36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73" fillId="0" borderId="0"/>
    <xf numFmtId="0" fontId="84" fillId="60" borderId="0" applyNumberFormat="0" applyBorder="0" applyAlignment="0" applyProtection="0">
      <alignment vertical="center"/>
    </xf>
    <xf numFmtId="0" fontId="85" fillId="0" borderId="50" applyNumberFormat="0" applyFill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109" fillId="7" borderId="62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60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55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87" fillId="17" borderId="51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00" fillId="0" borderId="0"/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14" fillId="57" borderId="53" applyNumberFormat="0" applyAlignment="0" applyProtection="0">
      <alignment vertical="center"/>
    </xf>
    <xf numFmtId="0" fontId="121" fillId="0" borderId="0"/>
    <xf numFmtId="0" fontId="73" fillId="0" borderId="0"/>
    <xf numFmtId="0" fontId="100" fillId="0" borderId="0"/>
    <xf numFmtId="0" fontId="100" fillId="0" borderId="0"/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6" fillId="25" borderId="55" applyNumberFormat="0" applyFont="0" applyAlignment="0" applyProtection="0">
      <alignment vertical="center"/>
    </xf>
    <xf numFmtId="0" fontId="29" fillId="0" borderId="0"/>
    <xf numFmtId="0" fontId="12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0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0" applyBorder="1">
      <alignment vertical="center"/>
    </xf>
    <xf numFmtId="0" fontId="7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Fill="1">
      <alignment vertical="center"/>
    </xf>
    <xf numFmtId="0" fontId="6" fillId="0" borderId="0" xfId="31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0">
      <alignment vertical="center"/>
    </xf>
    <xf numFmtId="0" fontId="6" fillId="0" borderId="0" xfId="310" applyNumberFormat="1">
      <alignment vertical="center"/>
    </xf>
    <xf numFmtId="0" fontId="6" fillId="0" borderId="0" xfId="310" applyNumberFormat="1" applyAlignment="1">
      <alignment horizontal="center" vertical="center"/>
    </xf>
    <xf numFmtId="14" fontId="6" fillId="0" borderId="0" xfId="310" applyNumberFormat="1">
      <alignment vertical="center"/>
    </xf>
    <xf numFmtId="179" fontId="6" fillId="0" borderId="0" xfId="310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10" applyNumberFormat="1" applyFont="1" applyFill="1" applyBorder="1" applyAlignment="1" applyProtection="1">
      <alignment horizontal="center" vertical="center"/>
    </xf>
    <xf numFmtId="0" fontId="6" fillId="0" borderId="0" xfId="310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3" applyNumberFormat="1" applyFont="1" applyFill="1" applyBorder="1" applyAlignment="1" applyProtection="1">
      <alignment horizontal="center" vertical="center" wrapText="1"/>
    </xf>
    <xf numFmtId="0" fontId="13" fillId="3" borderId="5" xfId="403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3" applyNumberFormat="1" applyFont="1" applyFill="1" applyBorder="1" applyAlignment="1" applyProtection="1">
      <alignment horizontal="center" vertical="center" wrapText="1"/>
    </xf>
    <xf numFmtId="0" fontId="13" fillId="3" borderId="6" xfId="403" applyNumberFormat="1" applyFont="1" applyFill="1" applyBorder="1" applyAlignment="1" applyProtection="1">
      <alignment horizontal="center" vertical="center" wrapText="1"/>
    </xf>
    <xf numFmtId="180" fontId="14" fillId="0" borderId="6" xfId="310" applyNumberFormat="1" applyFont="1" applyFill="1" applyBorder="1" applyAlignment="1" applyProtection="1">
      <alignment horizontal="center" vertical="center"/>
    </xf>
    <xf numFmtId="0" fontId="15" fillId="0" borderId="7" xfId="310" applyFont="1" applyFill="1" applyBorder="1" applyAlignment="1">
      <alignment horizontal="center" vertical="center" wrapText="1"/>
    </xf>
    <xf numFmtId="49" fontId="16" fillId="4" borderId="8" xfId="310" applyNumberFormat="1" applyFont="1" applyFill="1" applyBorder="1" applyAlignment="1">
      <alignment horizontal="center" vertical="center" wrapText="1"/>
    </xf>
    <xf numFmtId="0" fontId="6" fillId="0" borderId="7" xfId="310" applyNumberFormat="1" applyFill="1" applyBorder="1" applyAlignment="1">
      <alignment horizontal="center" vertical="center"/>
    </xf>
    <xf numFmtId="0" fontId="6" fillId="0" borderId="8" xfId="310" applyFill="1" applyBorder="1">
      <alignment vertical="center"/>
    </xf>
    <xf numFmtId="180" fontId="14" fillId="4" borderId="6" xfId="310" applyNumberFormat="1" applyFont="1" applyFill="1" applyBorder="1" applyAlignment="1" applyProtection="1">
      <alignment horizontal="center" vertical="center" shrinkToFit="1"/>
    </xf>
    <xf numFmtId="180" fontId="17" fillId="4" borderId="7" xfId="310" applyNumberFormat="1" applyFont="1" applyFill="1" applyBorder="1" applyAlignment="1" applyProtection="1">
      <alignment horizontal="center" vertical="center" shrinkToFit="1"/>
    </xf>
    <xf numFmtId="180" fontId="17" fillId="4" borderId="7" xfId="310" applyNumberFormat="1" applyFont="1" applyFill="1" applyBorder="1" applyAlignment="1" applyProtection="1">
      <alignment horizontal="center" vertical="top" shrinkToFit="1"/>
    </xf>
    <xf numFmtId="0" fontId="16" fillId="4" borderId="7" xfId="310" applyNumberFormat="1" applyFont="1" applyFill="1" applyBorder="1" applyAlignment="1">
      <alignment horizontal="center" vertical="center" shrinkToFit="1"/>
    </xf>
    <xf numFmtId="0" fontId="6" fillId="4" borderId="7" xfId="310" applyNumberFormat="1" applyFont="1" applyFill="1" applyBorder="1" applyAlignment="1" applyProtection="1">
      <alignment horizontal="center" vertical="center" shrinkToFit="1"/>
    </xf>
    <xf numFmtId="0" fontId="6" fillId="4" borderId="7" xfId="310" applyNumberFormat="1" applyFill="1" applyBorder="1" applyAlignment="1">
      <alignment horizontal="center" vertical="center" shrinkToFit="1"/>
    </xf>
    <xf numFmtId="0" fontId="6" fillId="3" borderId="7" xfId="310" applyFont="1" applyFill="1" applyBorder="1" applyAlignment="1">
      <alignment horizontal="center" vertical="center"/>
    </xf>
    <xf numFmtId="179" fontId="6" fillId="4" borderId="7" xfId="310" applyNumberFormat="1" applyFont="1" applyFill="1" applyBorder="1" applyAlignment="1">
      <alignment horizontal="center" vertical="center"/>
    </xf>
    <xf numFmtId="181" fontId="6" fillId="0" borderId="0" xfId="31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0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8" fontId="24" fillId="5" borderId="0" xfId="310" applyNumberFormat="1" applyFont="1" applyFill="1" applyBorder="1" applyAlignment="1">
      <alignment horizontal="center" vertical="center"/>
    </xf>
    <xf numFmtId="14" fontId="12" fillId="3" borderId="5" xfId="403" applyNumberFormat="1" applyFont="1" applyFill="1" applyBorder="1" applyAlignment="1" applyProtection="1">
      <alignment horizontal="center" vertical="center" wrapText="1"/>
    </xf>
    <xf numFmtId="0" fontId="12" fillId="3" borderId="8" xfId="403" applyNumberFormat="1" applyFont="1" applyFill="1" applyBorder="1" applyAlignment="1" applyProtection="1">
      <alignment horizontal="center" vertical="center" wrapText="1"/>
    </xf>
    <xf numFmtId="0" fontId="12" fillId="3" borderId="9" xfId="403" applyNumberFormat="1" applyFont="1" applyFill="1" applyBorder="1" applyAlignment="1" applyProtection="1">
      <alignment horizontal="center" vertical="center" wrapText="1"/>
    </xf>
    <xf numFmtId="0" fontId="12" fillId="3" borderId="10" xfId="403" applyNumberFormat="1" applyFont="1" applyFill="1" applyBorder="1" applyAlignment="1" applyProtection="1">
      <alignment horizontal="center" vertical="center" wrapText="1"/>
    </xf>
    <xf numFmtId="14" fontId="12" fillId="3" borderId="6" xfId="403" applyNumberFormat="1" applyFont="1" applyFill="1" applyBorder="1" applyAlignment="1" applyProtection="1">
      <alignment horizontal="center" vertical="center" wrapText="1"/>
    </xf>
    <xf numFmtId="0" fontId="12" fillId="3" borderId="7" xfId="403" applyNumberFormat="1" applyFont="1" applyFill="1" applyBorder="1" applyAlignment="1" applyProtection="1">
      <alignment horizontal="center" vertical="center" wrapText="1"/>
    </xf>
    <xf numFmtId="14" fontId="6" fillId="0" borderId="8" xfId="310" applyNumberFormat="1" applyFill="1" applyBorder="1">
      <alignment vertical="center"/>
    </xf>
    <xf numFmtId="178" fontId="14" fillId="0" borderId="7" xfId="310" applyNumberFormat="1" applyFont="1" applyFill="1" applyBorder="1">
      <alignment vertical="center"/>
    </xf>
    <xf numFmtId="178" fontId="14" fillId="0" borderId="7" xfId="310" applyNumberFormat="1" applyFont="1" applyFill="1" applyBorder="1" applyAlignment="1">
      <alignment horizontal="center" vertical="center"/>
    </xf>
    <xf numFmtId="0" fontId="6" fillId="4" borderId="8" xfId="310" applyNumberFormat="1" applyFont="1" applyFill="1" applyBorder="1" applyAlignment="1" applyProtection="1">
      <alignment horizontal="center" vertical="center" shrinkToFit="1"/>
    </xf>
    <xf numFmtId="14" fontId="6" fillId="4" borderId="8" xfId="310" applyNumberFormat="1" applyFont="1" applyFill="1" applyBorder="1" applyAlignment="1" applyProtection="1">
      <alignment horizontal="center" vertical="center" shrinkToFit="1"/>
    </xf>
    <xf numFmtId="181" fontId="17" fillId="4" borderId="7" xfId="310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10" applyNumberFormat="1" applyFont="1" applyFill="1" applyBorder="1" applyAlignment="1">
      <alignment horizontal="left" vertical="center"/>
    </xf>
    <xf numFmtId="179" fontId="13" fillId="3" borderId="5" xfId="403" applyNumberFormat="1" applyFont="1" applyFill="1" applyBorder="1" applyAlignment="1" applyProtection="1">
      <alignment horizontal="center" vertical="center" wrapText="1"/>
    </xf>
    <xf numFmtId="0" fontId="13" fillId="3" borderId="8" xfId="403" applyNumberFormat="1" applyFont="1" applyFill="1" applyBorder="1" applyAlignment="1" applyProtection="1">
      <alignment horizontal="center" vertical="center" wrapText="1"/>
    </xf>
    <xf numFmtId="0" fontId="13" fillId="3" borderId="9" xfId="403" applyNumberFormat="1" applyFont="1" applyFill="1" applyBorder="1" applyAlignment="1" applyProtection="1">
      <alignment horizontal="center" vertical="center" wrapText="1"/>
    </xf>
    <xf numFmtId="179" fontId="13" fillId="3" borderId="6" xfId="403" applyNumberFormat="1" applyFont="1" applyFill="1" applyBorder="1" applyAlignment="1" applyProtection="1">
      <alignment horizontal="center" vertical="center" wrapText="1"/>
    </xf>
    <xf numFmtId="0" fontId="13" fillId="3" borderId="7" xfId="403" applyNumberFormat="1" applyFont="1" applyFill="1" applyBorder="1" applyAlignment="1" applyProtection="1">
      <alignment horizontal="center" vertical="center" wrapText="1"/>
    </xf>
    <xf numFmtId="178" fontId="14" fillId="4" borderId="7" xfId="310" applyNumberFormat="1" applyFont="1" applyFill="1" applyBorder="1">
      <alignment vertical="center"/>
    </xf>
    <xf numFmtId="178" fontId="14" fillId="4" borderId="10" xfId="310" applyNumberFormat="1" applyFont="1" applyFill="1" applyBorder="1" applyAlignment="1">
      <alignment horizontal="center" vertical="center"/>
    </xf>
    <xf numFmtId="178" fontId="14" fillId="4" borderId="10" xfId="310" applyNumberFormat="1" applyFont="1" applyFill="1" applyBorder="1">
      <alignment vertical="center"/>
    </xf>
    <xf numFmtId="0" fontId="13" fillId="3" borderId="10" xfId="403" applyNumberFormat="1" applyFont="1" applyFill="1" applyBorder="1" applyAlignment="1" applyProtection="1">
      <alignment horizontal="center" vertical="center" wrapText="1"/>
    </xf>
    <xf numFmtId="181" fontId="14" fillId="4" borderId="10" xfId="310" applyNumberFormat="1" applyFont="1" applyFill="1" applyBorder="1" applyAlignment="1" applyProtection="1">
      <alignment horizontal="center" vertical="center"/>
    </xf>
    <xf numFmtId="179" fontId="20" fillId="4" borderId="7" xfId="293" applyNumberFormat="1" applyFont="1" applyFill="1" applyBorder="1" applyAlignment="1" applyProtection="1">
      <alignment horizontal="center" vertical="center"/>
    </xf>
    <xf numFmtId="179" fontId="25" fillId="4" borderId="7" xfId="403" applyNumberFormat="1" applyFont="1" applyFill="1" applyBorder="1" applyAlignment="1" applyProtection="1">
      <alignment horizontal="center" vertical="center"/>
    </xf>
    <xf numFmtId="181" fontId="14" fillId="0" borderId="0" xfId="310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10" applyNumberFormat="1" applyFont="1" applyFill="1" applyBorder="1" applyAlignment="1" applyProtection="1">
      <alignment horizontal="center" vertical="center"/>
    </xf>
    <xf numFmtId="179" fontId="16" fillId="0" borderId="7" xfId="310" applyNumberFormat="1" applyFont="1" applyFill="1" applyBorder="1" applyAlignment="1">
      <alignment horizontal="center" vertical="center" wrapText="1"/>
    </xf>
    <xf numFmtId="181" fontId="14" fillId="0" borderId="7" xfId="310" applyNumberFormat="1" applyFont="1" applyFill="1" applyBorder="1" applyAlignment="1" applyProtection="1">
      <alignment horizontal="center" vertical="center"/>
    </xf>
    <xf numFmtId="181" fontId="14" fillId="4" borderId="7" xfId="31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10" applyNumberFormat="1" applyFont="1" applyFill="1" applyBorder="1" applyAlignment="1" applyProtection="1">
      <alignment horizontal="center" vertical="center"/>
    </xf>
    <xf numFmtId="49" fontId="12" fillId="3" borderId="5" xfId="403" applyNumberFormat="1" applyFont="1" applyFill="1" applyBorder="1" applyAlignment="1" applyProtection="1">
      <alignment horizontal="center" vertical="center" wrapText="1"/>
    </xf>
    <xf numFmtId="49" fontId="12" fillId="3" borderId="6" xfId="403" applyNumberFormat="1" applyFont="1" applyFill="1" applyBorder="1" applyAlignment="1" applyProtection="1">
      <alignment horizontal="center" vertical="center" wrapText="1"/>
    </xf>
    <xf numFmtId="0" fontId="25" fillId="4" borderId="7" xfId="310" applyFont="1" applyFill="1" applyBorder="1" applyAlignment="1">
      <alignment horizontal="center" vertical="center"/>
    </xf>
    <xf numFmtId="0" fontId="25" fillId="4" borderId="7" xfId="310" applyFont="1" applyFill="1" applyBorder="1" applyAlignment="1">
      <alignment horizontal="center" vertical="center" shrinkToFit="1"/>
    </xf>
    <xf numFmtId="181" fontId="6" fillId="0" borderId="0" xfId="310" applyNumberFormat="1">
      <alignment vertical="center"/>
    </xf>
    <xf numFmtId="0" fontId="26" fillId="6" borderId="7" xfId="274" applyFont="1" applyFill="1" applyBorder="1" applyAlignment="1">
      <alignment horizontal="left" vertical="center"/>
    </xf>
    <xf numFmtId="49" fontId="26" fillId="0" borderId="7" xfId="274" applyNumberFormat="1" applyFont="1" applyBorder="1" applyAlignment="1" applyProtection="1">
      <protection locked="0"/>
    </xf>
    <xf numFmtId="0" fontId="6" fillId="0" borderId="7" xfId="310" applyNumberFormat="1" applyFont="1" applyFill="1" applyBorder="1" applyAlignment="1">
      <alignment horizontal="center" vertical="center"/>
    </xf>
    <xf numFmtId="0" fontId="6" fillId="0" borderId="8" xfId="310" applyFont="1" applyFill="1" applyBorder="1" applyAlignment="1">
      <alignment vertical="center"/>
    </xf>
    <xf numFmtId="14" fontId="6" fillId="0" borderId="8" xfId="310" applyNumberFormat="1" applyFont="1" applyFill="1" applyBorder="1" applyAlignment="1">
      <alignment vertical="center"/>
    </xf>
    <xf numFmtId="178" fontId="14" fillId="0" borderId="7" xfId="310" applyNumberFormat="1" applyFont="1" applyFill="1" applyBorder="1" applyAlignment="1">
      <alignment vertical="center"/>
    </xf>
    <xf numFmtId="0" fontId="14" fillId="0" borderId="7" xfId="310" applyNumberFormat="1" applyFont="1" applyFill="1" applyBorder="1">
      <alignment vertical="center"/>
    </xf>
    <xf numFmtId="179" fontId="17" fillId="4" borderId="7" xfId="31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8" fillId="7" borderId="5" xfId="412" applyNumberFormat="1" applyFont="1" applyFill="1" applyBorder="1" applyAlignment="1" applyProtection="1">
      <alignment horizontal="center" vertical="center" wrapText="1"/>
    </xf>
    <xf numFmtId="0" fontId="28" fillId="7" borderId="7" xfId="412" applyNumberFormat="1" applyFont="1" applyFill="1" applyBorder="1" applyAlignment="1" applyProtection="1">
      <alignment horizontal="center" vertical="center" wrapText="1"/>
    </xf>
    <xf numFmtId="0" fontId="28" fillId="8" borderId="5" xfId="412" applyNumberFormat="1" applyFont="1" applyFill="1" applyBorder="1" applyAlignment="1" applyProtection="1">
      <alignment horizontal="center" vertical="center" wrapText="1"/>
    </xf>
    <xf numFmtId="0" fontId="28" fillId="7" borderId="11" xfId="412" applyNumberFormat="1" applyFont="1" applyFill="1" applyBorder="1" applyAlignment="1" applyProtection="1">
      <alignment horizontal="center" vertical="center" wrapText="1"/>
    </xf>
    <xf numFmtId="0" fontId="28" fillId="8" borderId="11" xfId="412" applyNumberFormat="1" applyFont="1" applyFill="1" applyBorder="1" applyAlignment="1" applyProtection="1">
      <alignment horizontal="center" vertical="center" wrapText="1"/>
    </xf>
    <xf numFmtId="0" fontId="28" fillId="7" borderId="6" xfId="412" applyNumberFormat="1" applyFont="1" applyFill="1" applyBorder="1" applyAlignment="1" applyProtection="1">
      <alignment horizontal="center" vertical="center" wrapText="1"/>
    </xf>
    <xf numFmtId="0" fontId="28" fillId="7" borderId="12" xfId="412" applyNumberFormat="1" applyFont="1" applyFill="1" applyBorder="1" applyAlignment="1" applyProtection="1">
      <alignment horizontal="center" vertical="center" wrapText="1"/>
    </xf>
    <xf numFmtId="0" fontId="28" fillId="8" borderId="12" xfId="412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>
      <alignment vertical="center"/>
    </xf>
    <xf numFmtId="49" fontId="25" fillId="0" borderId="13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left" vertical="center"/>
    </xf>
    <xf numFmtId="0" fontId="31" fillId="8" borderId="5" xfId="412" applyNumberFormat="1" applyFont="1" applyFill="1" applyBorder="1" applyAlignment="1" applyProtection="1">
      <alignment horizontal="center" vertical="center" wrapText="1"/>
    </xf>
    <xf numFmtId="0" fontId="32" fillId="8" borderId="7" xfId="365" applyNumberFormat="1" applyFont="1" applyFill="1" applyBorder="1" applyAlignment="1" applyProtection="1">
      <alignment horizontal="center" vertical="center" wrapText="1"/>
    </xf>
    <xf numFmtId="0" fontId="31" fillId="8" borderId="11" xfId="412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32" fillId="8" borderId="7" xfId="412" applyNumberFormat="1" applyFont="1" applyFill="1" applyBorder="1" applyAlignment="1" applyProtection="1">
      <alignment horizontal="center" vertical="center" wrapText="1"/>
    </xf>
    <xf numFmtId="9" fontId="14" fillId="0" borderId="0" xfId="23" applyFont="1" applyBorder="1" applyAlignment="1" applyProtection="1">
      <alignment horizontal="left" vertical="center"/>
      <protection locked="0"/>
    </xf>
    <xf numFmtId="0" fontId="28" fillId="10" borderId="7" xfId="365" applyNumberFormat="1" applyFont="1" applyFill="1" applyBorder="1" applyAlignment="1" applyProtection="1">
      <alignment horizontal="center" vertical="center" wrapText="1"/>
    </xf>
    <xf numFmtId="0" fontId="34" fillId="3" borderId="7" xfId="365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9" fillId="11" borderId="7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/>
    <xf numFmtId="0" fontId="21" fillId="11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49" fontId="41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1" fillId="0" borderId="7" xfId="0" applyNumberFormat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/>
    </xf>
    <xf numFmtId="49" fontId="44" fillId="0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49" fontId="44" fillId="0" borderId="7" xfId="0" applyNumberFormat="1" applyFont="1" applyFill="1" applyBorder="1" applyAlignment="1">
      <alignment horizontal="center"/>
    </xf>
    <xf numFmtId="0" fontId="46" fillId="0" borderId="7" xfId="0" applyFont="1" applyFill="1" applyBorder="1" applyAlignment="1">
      <alignment horizontal="center" vertical="center"/>
    </xf>
    <xf numFmtId="49" fontId="47" fillId="0" borderId="7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/>
    </xf>
    <xf numFmtId="49" fontId="48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8" fillId="0" borderId="6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51" fillId="0" borderId="6" xfId="0" applyNumberFormat="1" applyFont="1" applyFill="1" applyBorder="1" applyAlignment="1">
      <alignment horizontal="center" vertical="center"/>
    </xf>
    <xf numFmtId="49" fontId="49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0" fillId="0" borderId="0" xfId="0" applyFont="1" applyFill="1" applyAlignment="1">
      <alignment vertical="center"/>
    </xf>
    <xf numFmtId="0" fontId="22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8" fillId="3" borderId="15" xfId="0" applyFont="1" applyFill="1" applyBorder="1" applyAlignment="1">
      <alignment horizontal="center"/>
    </xf>
    <xf numFmtId="0" fontId="49" fillId="3" borderId="15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0" fontId="19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center" vertical="center" wrapText="1"/>
    </xf>
    <xf numFmtId="177" fontId="52" fillId="0" borderId="7" xfId="0" applyNumberFormat="1" applyFont="1" applyFill="1" applyBorder="1" applyAlignment="1">
      <alignment horizontal="left" vertical="center"/>
    </xf>
    <xf numFmtId="0" fontId="41" fillId="0" borderId="7" xfId="0" applyNumberFormat="1" applyFont="1" applyFill="1" applyBorder="1" applyAlignment="1">
      <alignment horizontal="center"/>
    </xf>
    <xf numFmtId="177" fontId="53" fillId="0" borderId="7" xfId="0" applyNumberFormat="1" applyFont="1" applyFill="1" applyBorder="1" applyAlignment="1">
      <alignment horizontal="left" vertical="center"/>
    </xf>
    <xf numFmtId="0" fontId="44" fillId="0" borderId="7" xfId="0" applyNumberFormat="1" applyFont="1" applyFill="1" applyBorder="1" applyAlignment="1">
      <alignment horizontal="center"/>
    </xf>
    <xf numFmtId="49" fontId="48" fillId="0" borderId="15" xfId="0" applyNumberFormat="1" applyFont="1" applyFill="1" applyBorder="1" applyAlignment="1">
      <alignment horizontal="center" vertical="center"/>
    </xf>
    <xf numFmtId="177" fontId="54" fillId="0" borderId="15" xfId="0" applyNumberFormat="1" applyFont="1" applyFill="1" applyBorder="1" applyAlignment="1">
      <alignment horizontal="left" vertical="center"/>
    </xf>
    <xf numFmtId="0" fontId="48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1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center"/>
    </xf>
    <xf numFmtId="4" fontId="57" fillId="0" borderId="7" xfId="0" applyNumberFormat="1" applyFont="1" applyFill="1" applyBorder="1" applyAlignment="1">
      <alignment horizontal="center" vertical="center" wrapText="1"/>
    </xf>
    <xf numFmtId="0" fontId="57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/>
    </xf>
    <xf numFmtId="4" fontId="55" fillId="11" borderId="7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center" vertical="center"/>
    </xf>
    <xf numFmtId="4" fontId="55" fillId="11" borderId="4" xfId="0" applyNumberFormat="1" applyFont="1" applyFill="1" applyBorder="1" applyAlignment="1">
      <alignment horizontal="right" vertical="center"/>
    </xf>
    <xf numFmtId="0" fontId="40" fillId="0" borderId="0" xfId="0" applyFont="1" applyFill="1" applyAlignment="1"/>
    <xf numFmtId="178" fontId="6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49" fontId="41" fillId="0" borderId="24" xfId="0" applyNumberFormat="1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2" fillId="12" borderId="0" xfId="491" applyFont="1" applyFill="1" applyBorder="1" applyAlignment="1">
      <alignment horizontal="center" vertical="center"/>
    </xf>
    <xf numFmtId="0" fontId="63" fillId="12" borderId="0" xfId="491" applyNumberFormat="1" applyFont="1" applyFill="1" applyBorder="1" applyAlignment="1" applyProtection="1">
      <alignment horizontal="center" vertical="center"/>
      <protection locked="0"/>
    </xf>
    <xf numFmtId="0" fontId="63" fillId="12" borderId="0" xfId="491" applyNumberFormat="1" applyFont="1" applyFill="1" applyBorder="1" applyAlignment="1" applyProtection="1">
      <alignment horizontal="left" vertical="center"/>
      <protection locked="0"/>
    </xf>
    <xf numFmtId="0" fontId="64" fillId="12" borderId="0" xfId="491" applyNumberFormat="1" applyFont="1" applyFill="1" applyBorder="1" applyAlignment="1" applyProtection="1">
      <alignment horizontal="center" vertical="center"/>
      <protection locked="0"/>
    </xf>
    <xf numFmtId="0" fontId="65" fillId="12" borderId="0" xfId="491" applyNumberFormat="1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right" vertical="center"/>
      <protection locked="0"/>
    </xf>
    <xf numFmtId="49" fontId="66" fillId="12" borderId="0" xfId="490" applyNumberFormat="1" applyFont="1" applyFill="1" applyBorder="1" applyAlignment="1" applyProtection="1">
      <alignment horizontal="left" vertical="center"/>
      <protection locked="0"/>
    </xf>
    <xf numFmtId="0" fontId="60" fillId="12" borderId="0" xfId="0" applyFont="1" applyFill="1" applyBorder="1" applyAlignment="1" applyProtection="1">
      <alignment horizontal="left" vertical="center"/>
      <protection locked="0"/>
    </xf>
    <xf numFmtId="0" fontId="67" fillId="12" borderId="0" xfId="491" applyFont="1" applyFill="1" applyBorder="1" applyAlignment="1">
      <alignment horizontal="right" vertical="center"/>
    </xf>
    <xf numFmtId="14" fontId="68" fillId="12" borderId="0" xfId="0" applyNumberFormat="1" applyFont="1" applyFill="1" applyBorder="1" applyAlignment="1" applyProtection="1">
      <alignment horizontal="left" vertical="center"/>
      <protection locked="0"/>
    </xf>
    <xf numFmtId="0" fontId="68" fillId="12" borderId="0" xfId="0" applyFont="1" applyFill="1" applyBorder="1" applyAlignment="1" applyProtection="1">
      <alignment horizontal="right" vertical="center"/>
      <protection locked="0"/>
    </xf>
    <xf numFmtId="0" fontId="69" fillId="12" borderId="0" xfId="0" applyFont="1" applyFill="1" applyBorder="1" applyAlignment="1">
      <alignment horizontal="left" vertical="center"/>
    </xf>
    <xf numFmtId="0" fontId="69" fillId="12" borderId="0" xfId="0" applyFont="1" applyFill="1" applyAlignment="1">
      <alignment horizontal="left" vertical="center"/>
    </xf>
    <xf numFmtId="0" fontId="65" fillId="12" borderId="0" xfId="491" applyNumberFormat="1" applyFont="1" applyFill="1" applyBorder="1" applyAlignment="1" applyProtection="1">
      <alignment horizontal="center" vertical="center"/>
      <protection locked="0"/>
    </xf>
    <xf numFmtId="0" fontId="69" fillId="12" borderId="0" xfId="0" applyFont="1" applyFill="1" applyBorder="1" applyAlignment="1" applyProtection="1">
      <alignment horizontal="left" vertical="center"/>
      <protection locked="0"/>
    </xf>
    <xf numFmtId="0" fontId="70" fillId="12" borderId="0" xfId="491" applyNumberFormat="1" applyFont="1" applyFill="1" applyBorder="1" applyAlignment="1" applyProtection="1">
      <alignment horizontal="center" vertical="center"/>
      <protection locked="0"/>
    </xf>
    <xf numFmtId="183" fontId="68" fillId="12" borderId="0" xfId="490" applyNumberFormat="1" applyFont="1" applyFill="1" applyBorder="1" applyAlignment="1" applyProtection="1">
      <alignment horizontal="left" vertical="center"/>
      <protection locked="0"/>
    </xf>
    <xf numFmtId="0" fontId="71" fillId="12" borderId="25" xfId="0" applyFont="1" applyFill="1" applyBorder="1" applyAlignment="1" applyProtection="1">
      <alignment horizontal="center" vertical="center"/>
      <protection locked="0"/>
    </xf>
    <xf numFmtId="0" fontId="71" fillId="12" borderId="26" xfId="0" applyFont="1" applyFill="1" applyBorder="1" applyAlignment="1" applyProtection="1">
      <alignment horizontal="center" vertical="center"/>
      <protection locked="0"/>
    </xf>
    <xf numFmtId="0" fontId="13" fillId="12" borderId="27" xfId="489" applyNumberFormat="1" applyFont="1" applyFill="1" applyBorder="1" applyAlignment="1" applyProtection="1">
      <alignment horizontal="left" vertical="center"/>
      <protection locked="0"/>
    </xf>
    <xf numFmtId="0" fontId="13" fillId="12" borderId="6" xfId="489" applyNumberFormat="1" applyFont="1" applyFill="1" applyBorder="1" applyAlignment="1" applyProtection="1">
      <alignment horizontal="left" vertical="center"/>
      <protection locked="0"/>
    </xf>
    <xf numFmtId="43" fontId="72" fillId="12" borderId="8" xfId="0" applyNumberFormat="1" applyFont="1" applyFill="1" applyBorder="1" applyAlignment="1" applyProtection="1">
      <alignment horizontal="left" vertical="center" shrinkToFit="1"/>
    </xf>
    <xf numFmtId="43" fontId="72" fillId="12" borderId="9" xfId="0" applyNumberFormat="1" applyFont="1" applyFill="1" applyBorder="1" applyAlignment="1" applyProtection="1">
      <alignment horizontal="left" vertical="center" shrinkToFit="1"/>
    </xf>
    <xf numFmtId="43" fontId="72" fillId="12" borderId="28" xfId="0" applyNumberFormat="1" applyFont="1" applyFill="1" applyBorder="1" applyAlignment="1" applyProtection="1">
      <alignment horizontal="left" vertical="center" shrinkToFit="1"/>
    </xf>
    <xf numFmtId="0" fontId="13" fillId="12" borderId="29" xfId="489" applyNumberFormat="1" applyFont="1" applyFill="1" applyBorder="1" applyAlignment="1" applyProtection="1">
      <alignment horizontal="left" vertical="center"/>
      <protection locked="0"/>
    </xf>
    <xf numFmtId="0" fontId="13" fillId="12" borderId="30" xfId="489" applyNumberFormat="1" applyFont="1" applyFill="1" applyBorder="1" applyAlignment="1" applyProtection="1">
      <alignment horizontal="left" vertical="center"/>
      <protection locked="0"/>
    </xf>
    <xf numFmtId="176" fontId="72" fillId="12" borderId="31" xfId="0" applyNumberFormat="1" applyFont="1" applyFill="1" applyBorder="1" applyAlignment="1" applyProtection="1">
      <alignment horizontal="right" vertical="center" shrinkToFit="1"/>
    </xf>
    <xf numFmtId="176" fontId="72" fillId="12" borderId="32" xfId="0" applyNumberFormat="1" applyFont="1" applyFill="1" applyBorder="1" applyAlignment="1" applyProtection="1">
      <alignment horizontal="right" vertical="center" shrinkToFit="1"/>
    </xf>
    <xf numFmtId="176" fontId="72" fillId="12" borderId="33" xfId="0" applyNumberFormat="1" applyFont="1" applyFill="1" applyBorder="1" applyAlignment="1" applyProtection="1">
      <alignment horizontal="right" vertical="center" shrinkToFit="1"/>
    </xf>
    <xf numFmtId="0" fontId="25" fillId="12" borderId="27" xfId="490" applyNumberFormat="1" applyFont="1" applyFill="1" applyBorder="1" applyAlignment="1" applyProtection="1">
      <alignment horizontal="left" vertical="center"/>
      <protection locked="0"/>
    </xf>
    <xf numFmtId="0" fontId="25" fillId="12" borderId="6" xfId="490" applyNumberFormat="1" applyFont="1" applyFill="1" applyBorder="1" applyAlignment="1" applyProtection="1">
      <alignment horizontal="left" vertical="center"/>
      <protection locked="0"/>
    </xf>
    <xf numFmtId="43" fontId="73" fillId="12" borderId="6" xfId="0" applyNumberFormat="1" applyFont="1" applyFill="1" applyBorder="1" applyAlignment="1" applyProtection="1">
      <alignment horizontal="left" vertical="center" shrinkToFit="1"/>
    </xf>
    <xf numFmtId="0" fontId="25" fillId="12" borderId="34" xfId="490" applyNumberFormat="1" applyFont="1" applyFill="1" applyBorder="1" applyAlignment="1" applyProtection="1">
      <alignment horizontal="left" vertical="center"/>
      <protection locked="0"/>
    </xf>
    <xf numFmtId="0" fontId="25" fillId="12" borderId="35" xfId="490" applyNumberFormat="1" applyFont="1" applyFill="1" applyBorder="1" applyAlignment="1" applyProtection="1">
      <alignment horizontal="left" vertical="center"/>
      <protection locked="0"/>
    </xf>
    <xf numFmtId="0" fontId="25" fillId="12" borderId="36" xfId="490" applyNumberFormat="1" applyFont="1" applyFill="1" applyBorder="1" applyAlignment="1" applyProtection="1">
      <alignment horizontal="left" vertical="center"/>
      <protection locked="0"/>
    </xf>
    <xf numFmtId="43" fontId="73" fillId="12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38" xfId="163" applyFont="1" applyFill="1" applyBorder="1" applyAlignment="1">
      <alignment vertical="center"/>
    </xf>
    <xf numFmtId="0" fontId="14" fillId="12" borderId="7" xfId="163" applyFont="1" applyFill="1" applyBorder="1" applyAlignment="1">
      <alignment vertical="center"/>
    </xf>
    <xf numFmtId="43" fontId="73" fillId="12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8" xfId="163" applyFont="1" applyFill="1" applyBorder="1" applyAlignment="1">
      <alignment horizontal="left" vertical="center"/>
    </xf>
    <xf numFmtId="0" fontId="14" fillId="12" borderId="9" xfId="163" applyFont="1" applyFill="1" applyBorder="1" applyAlignment="1">
      <alignment horizontal="left" vertical="center"/>
    </xf>
    <xf numFmtId="0" fontId="14" fillId="12" borderId="10" xfId="163" applyFont="1" applyFill="1" applyBorder="1" applyAlignment="1">
      <alignment horizontal="left" vertical="center"/>
    </xf>
    <xf numFmtId="43" fontId="73" fillId="12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2" borderId="40" xfId="163" applyFont="1" applyFill="1" applyBorder="1" applyAlignment="1">
      <alignment vertical="center"/>
    </xf>
    <xf numFmtId="0" fontId="14" fillId="12" borderId="41" xfId="163" applyFont="1" applyFill="1" applyBorder="1" applyAlignment="1">
      <alignment vertical="center"/>
    </xf>
    <xf numFmtId="43" fontId="73" fillId="12" borderId="41" xfId="490" applyNumberFormat="1" applyFont="1" applyFill="1" applyBorder="1" applyAlignment="1" applyProtection="1">
      <alignment horizontal="left" vertical="center" shrinkToFit="1"/>
      <protection locked="0"/>
    </xf>
    <xf numFmtId="184" fontId="25" fillId="12" borderId="42" xfId="490" applyNumberFormat="1" applyFont="1" applyFill="1" applyBorder="1" applyAlignment="1" applyProtection="1">
      <alignment horizontal="left" vertical="center"/>
      <protection locked="0"/>
    </xf>
    <xf numFmtId="184" fontId="25" fillId="12" borderId="43" xfId="490" applyNumberFormat="1" applyFont="1" applyFill="1" applyBorder="1" applyAlignment="1" applyProtection="1">
      <alignment horizontal="left" vertical="center"/>
      <protection locked="0"/>
    </xf>
    <xf numFmtId="184" fontId="25" fillId="12" borderId="44" xfId="490" applyNumberFormat="1" applyFont="1" applyFill="1" applyBorder="1" applyAlignment="1" applyProtection="1">
      <alignment horizontal="left" vertical="center"/>
      <protection locked="0"/>
    </xf>
    <xf numFmtId="43" fontId="73" fillId="12" borderId="45" xfId="490" applyNumberFormat="1" applyFont="1" applyFill="1" applyBorder="1" applyAlignment="1" applyProtection="1">
      <alignment horizontal="left" vertical="center" shrinkToFit="1"/>
      <protection locked="0"/>
    </xf>
    <xf numFmtId="185" fontId="74" fillId="12" borderId="0" xfId="490" applyNumberFormat="1" applyFont="1" applyFill="1" applyBorder="1" applyAlignment="1" applyProtection="1">
      <alignment horizontal="left" vertical="center"/>
      <protection locked="0"/>
    </xf>
    <xf numFmtId="0" fontId="75" fillId="0" borderId="25" xfId="488" applyFont="1" applyFill="1" applyBorder="1" applyAlignment="1">
      <alignment horizontal="center" vertical="center" wrapText="1"/>
    </xf>
    <xf numFmtId="0" fontId="75" fillId="0" borderId="46" xfId="488" applyFont="1" applyFill="1" applyBorder="1" applyAlignment="1">
      <alignment horizontal="center" vertical="center" wrapText="1"/>
    </xf>
    <xf numFmtId="182" fontId="75" fillId="0" borderId="46" xfId="488" applyNumberFormat="1" applyFont="1" applyFill="1" applyBorder="1" applyAlignment="1">
      <alignment horizontal="center" vertical="center" wrapText="1"/>
    </xf>
    <xf numFmtId="186" fontId="75" fillId="0" borderId="46" xfId="488" applyNumberFormat="1" applyFont="1" applyFill="1" applyBorder="1" applyAlignment="1">
      <alignment horizontal="center" vertical="center" wrapText="1"/>
    </xf>
    <xf numFmtId="0" fontId="75" fillId="0" borderId="47" xfId="488" applyFont="1" applyFill="1" applyBorder="1" applyAlignment="1">
      <alignment horizontal="center" vertical="center" wrapText="1"/>
    </xf>
    <xf numFmtId="0" fontId="56" fillId="0" borderId="38" xfId="488" applyFont="1" applyFill="1" applyBorder="1" applyAlignment="1">
      <alignment horizontal="center" vertical="center"/>
    </xf>
    <xf numFmtId="0" fontId="56" fillId="0" borderId="7" xfId="488" applyFont="1" applyFill="1" applyBorder="1" applyAlignment="1">
      <alignment horizontal="center" vertical="center"/>
    </xf>
    <xf numFmtId="43" fontId="56" fillId="0" borderId="7" xfId="488" applyNumberFormat="1" applyFont="1" applyFill="1" applyBorder="1" applyAlignment="1">
      <alignment horizontal="left" vertical="center"/>
    </xf>
    <xf numFmtId="182" fontId="56" fillId="0" borderId="7" xfId="488" applyNumberFormat="1" applyFont="1" applyFill="1" applyBorder="1" applyAlignment="1">
      <alignment horizontal="center" vertical="center"/>
    </xf>
    <xf numFmtId="186" fontId="56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horizontal="left" vertical="center"/>
    </xf>
    <xf numFmtId="43" fontId="56" fillId="0" borderId="7" xfId="488" applyNumberFormat="1" applyFont="1" applyFill="1" applyBorder="1" applyAlignment="1">
      <alignment vertical="center"/>
    </xf>
    <xf numFmtId="43" fontId="56" fillId="0" borderId="7" xfId="488" applyNumberFormat="1" applyFont="1" applyFill="1" applyBorder="1" applyAlignment="1">
      <alignment horizontal="center" vertical="center"/>
    </xf>
    <xf numFmtId="0" fontId="56" fillId="0" borderId="39" xfId="488" applyFont="1" applyFill="1" applyBorder="1" applyAlignment="1">
      <alignment vertical="center" wrapText="1"/>
    </xf>
    <xf numFmtId="43" fontId="32" fillId="0" borderId="7" xfId="488" applyNumberFormat="1" applyFont="1" applyFill="1" applyBorder="1" applyAlignment="1">
      <alignment horizontal="center" vertical="center"/>
    </xf>
    <xf numFmtId="186" fontId="32" fillId="0" borderId="7" xfId="488" applyNumberFormat="1" applyFont="1" applyFill="1" applyBorder="1" applyAlignment="1">
      <alignment horizontal="right" vertical="center"/>
    </xf>
    <xf numFmtId="0" fontId="56" fillId="0" borderId="39" xfId="488" applyFont="1" applyFill="1" applyBorder="1" applyAlignment="1">
      <alignment vertical="center"/>
    </xf>
    <xf numFmtId="0" fontId="56" fillId="0" borderId="7" xfId="488" applyFont="1" applyFill="1" applyBorder="1" applyAlignment="1">
      <alignment horizontal="center" vertical="center" wrapText="1"/>
    </xf>
    <xf numFmtId="10" fontId="32" fillId="0" borderId="7" xfId="488" applyNumberFormat="1" applyFont="1" applyFill="1" applyBorder="1" applyAlignment="1">
      <alignment horizontal="center" vertical="center"/>
    </xf>
    <xf numFmtId="0" fontId="28" fillId="13" borderId="38" xfId="488" applyFont="1" applyFill="1" applyBorder="1" applyAlignment="1">
      <alignment horizontal="center" vertical="center"/>
    </xf>
    <xf numFmtId="0" fontId="28" fillId="13" borderId="7" xfId="488" applyFont="1" applyFill="1" applyBorder="1" applyAlignment="1">
      <alignment horizontal="center" vertical="center"/>
    </xf>
    <xf numFmtId="186" fontId="28" fillId="13" borderId="7" xfId="488" applyNumberFormat="1" applyFont="1" applyFill="1" applyBorder="1" applyAlignment="1">
      <alignment vertical="center"/>
    </xf>
    <xf numFmtId="0" fontId="56" fillId="13" borderId="39" xfId="488" applyFont="1" applyFill="1" applyBorder="1" applyAlignment="1">
      <alignment horizontal="left" vertical="center"/>
    </xf>
    <xf numFmtId="0" fontId="28" fillId="13" borderId="40" xfId="488" applyFont="1" applyFill="1" applyBorder="1" applyAlignment="1">
      <alignment horizontal="center" vertical="center"/>
    </xf>
    <xf numFmtId="0" fontId="28" fillId="13" borderId="41" xfId="488" applyFont="1" applyFill="1" applyBorder="1" applyAlignment="1">
      <alignment horizontal="center" vertical="center"/>
    </xf>
    <xf numFmtId="186" fontId="28" fillId="13" borderId="41" xfId="488" applyNumberFormat="1" applyFont="1" applyFill="1" applyBorder="1" applyAlignment="1">
      <alignment vertical="center"/>
    </xf>
    <xf numFmtId="0" fontId="56" fillId="13" borderId="45" xfId="488" applyFont="1" applyFill="1" applyBorder="1" applyAlignment="1">
      <alignment horizontal="left" vertical="center"/>
    </xf>
    <xf numFmtId="183" fontId="68" fillId="12" borderId="0" xfId="490" applyNumberFormat="1" applyFont="1" applyFill="1" applyBorder="1" applyAlignment="1" applyProtection="1">
      <alignment horizontal="right" vertical="center"/>
      <protection locked="0"/>
    </xf>
    <xf numFmtId="0" fontId="20" fillId="12" borderId="0" xfId="491" applyFont="1" applyFill="1" applyBorder="1" applyAlignment="1">
      <alignment horizontal="right" vertical="center"/>
    </xf>
    <xf numFmtId="14" fontId="66" fillId="12" borderId="0" xfId="0" applyNumberFormat="1" applyFont="1" applyFill="1" applyBorder="1" applyAlignment="1" applyProtection="1">
      <alignment horizontal="left" vertical="center"/>
      <protection locked="0"/>
    </xf>
    <xf numFmtId="0" fontId="76" fillId="12" borderId="0" xfId="491" applyNumberFormat="1" applyFont="1" applyFill="1" applyBorder="1" applyAlignment="1" applyProtection="1">
      <alignment horizontal="right" vertical="center"/>
      <protection locked="0"/>
    </xf>
    <xf numFmtId="0" fontId="77" fillId="12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48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491" applyNumberFormat="1" applyFont="1" applyFill="1" applyBorder="1" applyAlignment="1" applyProtection="1">
      <alignment horizontal="right" vertical="center"/>
      <protection locked="0"/>
    </xf>
    <xf numFmtId="187" fontId="79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491" applyNumberFormat="1" applyFont="1" applyFill="1" applyBorder="1" applyAlignment="1" applyProtection="1">
      <alignment horizontal="left" vertical="center"/>
      <protection locked="0"/>
    </xf>
    <xf numFmtId="187" fontId="78" fillId="6" borderId="0" xfId="144" applyNumberFormat="1" applyFont="1" applyFill="1" applyBorder="1" applyAlignment="1">
      <alignment horizontal="left" vertical="center"/>
    </xf>
    <xf numFmtId="187" fontId="79" fillId="6" borderId="0" xfId="491" applyNumberFormat="1" applyFont="1" applyFill="1" applyBorder="1" applyAlignment="1" applyProtection="1">
      <alignment horizontal="right" vertical="center"/>
      <protection locked="0"/>
    </xf>
    <xf numFmtId="187" fontId="78" fillId="6" borderId="0" xfId="144" applyNumberFormat="1" applyFont="1" applyFill="1" applyBorder="1" applyAlignment="1">
      <alignment horizontal="left" vertical="center" wrapText="1"/>
    </xf>
    <xf numFmtId="49" fontId="80" fillId="12" borderId="0" xfId="491" applyNumberFormat="1" applyFont="1" applyFill="1" applyBorder="1" applyAlignment="1" applyProtection="1">
      <alignment horizontal="left" vertical="center"/>
      <protection locked="0"/>
    </xf>
    <xf numFmtId="0" fontId="81" fillId="12" borderId="0" xfId="0" applyFont="1" applyFill="1" applyBorder="1" applyAlignment="1">
      <alignment horizontal="left" vertical="center"/>
    </xf>
    <xf numFmtId="0" fontId="82" fillId="12" borderId="0" xfId="0" applyFont="1" applyFill="1" applyAlignment="1">
      <alignment vertical="center"/>
    </xf>
    <xf numFmtId="49" fontId="74" fillId="12" borderId="0" xfId="490" applyNumberFormat="1" applyFont="1" applyFill="1" applyBorder="1" applyAlignment="1" applyProtection="1">
      <alignment horizontal="left" vertical="center"/>
      <protection locked="0"/>
    </xf>
    <xf numFmtId="49" fontId="67" fillId="12" borderId="0" xfId="491" applyNumberFormat="1" applyFont="1" applyFill="1" applyBorder="1" applyAlignment="1" applyProtection="1">
      <alignment horizontal="left" vertical="center"/>
      <protection locked="0"/>
    </xf>
    <xf numFmtId="49" fontId="20" fillId="12" borderId="0" xfId="491" applyNumberFormat="1" applyFont="1" applyFill="1" applyBorder="1" applyAlignment="1" applyProtection="1">
      <alignment horizontal="left" vertical="center"/>
      <protection locked="0"/>
    </xf>
    <xf numFmtId="49" fontId="68" fillId="12" borderId="0" xfId="490" applyNumberFormat="1" applyFont="1" applyFill="1" applyBorder="1" applyAlignment="1" applyProtection="1">
      <alignment horizontal="left" vertical="center"/>
      <protection locked="0"/>
    </xf>
    <xf numFmtId="49" fontId="26" fillId="12" borderId="0" xfId="490" applyNumberFormat="1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>
      <alignment horizontal="left" vertical="center" wrapText="1"/>
    </xf>
    <xf numFmtId="49" fontId="43" fillId="0" borderId="7" xfId="0" applyNumberFormat="1" applyFont="1" applyFill="1" applyBorder="1" applyAlignment="1" quotePrefix="1">
      <alignment horizontal="center" vertical="center"/>
    </xf>
    <xf numFmtId="49" fontId="47" fillId="0" borderId="7" xfId="0" applyNumberFormat="1" applyFont="1" applyFill="1" applyBorder="1" applyAlignment="1" quotePrefix="1">
      <alignment horizontal="center" vertical="center"/>
    </xf>
    <xf numFmtId="0" fontId="15" fillId="0" borderId="7" xfId="310" applyFont="1" applyFill="1" applyBorder="1" applyAlignment="1" quotePrefix="1">
      <alignment horizontal="center" vertical="center" wrapText="1"/>
    </xf>
    <xf numFmtId="49" fontId="29" fillId="0" borderId="7" xfId="0" applyNumberFormat="1" applyFont="1" applyFill="1" applyBorder="1" applyAlignment="1" quotePrefix="1">
      <alignment vertical="center"/>
    </xf>
  </cellXfs>
  <cellStyles count="494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计算 2 2" xfId="203"/>
    <cellStyle name="40% - 强调文字颜色 3 2" xfId="204"/>
    <cellStyle name="计算 2 2 2" xfId="205"/>
    <cellStyle name="40% - 强调文字颜色 3 2 2" xfId="206"/>
    <cellStyle name="40% - 强调文字颜色 3 2 3" xfId="207"/>
    <cellStyle name="计算 2 3" xfId="208"/>
    <cellStyle name="40% - 强调文字颜色 3 3" xfId="209"/>
    <cellStyle name="计算 2 3 2" xfId="210"/>
    <cellStyle name="40% - 强调文字颜色 3 3 2" xfId="211"/>
    <cellStyle name="常规 25" xfId="212"/>
    <cellStyle name="计算 2 4" xfId="213"/>
    <cellStyle name="40% - 强调文字颜色 3 4" xfId="214"/>
    <cellStyle name="40% - 强调文字颜色 3 5" xfId="215"/>
    <cellStyle name="检查单元格 2" xfId="216"/>
    <cellStyle name="计算 3 2 2" xfId="217"/>
    <cellStyle name="汇总 2 3" xfId="218"/>
    <cellStyle name="标题 4 4" xfId="219"/>
    <cellStyle name="40% - 强调文字颜色 4 2 2" xfId="220"/>
    <cellStyle name="检查单元格 3" xfId="221"/>
    <cellStyle name="汇总 2 4" xfId="222"/>
    <cellStyle name="标题 4 5" xfId="223"/>
    <cellStyle name="40% - 强调文字颜色 4 2 3" xfId="224"/>
    <cellStyle name="输入 2 2 2" xfId="225"/>
    <cellStyle name="计算 3 3" xfId="226"/>
    <cellStyle name="40% - 强调文字颜色 4 3" xfId="227"/>
    <cellStyle name="计算 4 2" xfId="228"/>
    <cellStyle name="好 2 3" xfId="229"/>
    <cellStyle name="40% - 强调文字颜色 5 2" xfId="230"/>
    <cellStyle name="60% - 强调文字颜色 4 4" xfId="231"/>
    <cellStyle name="40% - 强调文字颜色 5 2 3" xfId="232"/>
    <cellStyle name="输入 2 3 2" xfId="233"/>
    <cellStyle name="40% - 强调文字颜色 5 3" xfId="234"/>
    <cellStyle name="60% - 强调文字颜色 5 3" xfId="235"/>
    <cellStyle name="40% - 强调文字颜色 5 3 2" xfId="236"/>
    <cellStyle name="40% - 强调文字颜色 5 5" xfId="237"/>
    <cellStyle name="适中 2 2" xfId="238"/>
    <cellStyle name="计算 5 2" xfId="239"/>
    <cellStyle name="40% - 强调文字颜色 6 2" xfId="240"/>
    <cellStyle name="40% - 强调文字颜色 6 2 2" xfId="241"/>
    <cellStyle name="40% - 强调文字颜色 6 2 3" xfId="242"/>
    <cellStyle name="适中 2 3" xfId="243"/>
    <cellStyle name="强调文字颜色 3 2 2" xfId="244"/>
    <cellStyle name="40% - 强调文字颜色 6 3" xfId="245"/>
    <cellStyle name="解释性文本 3" xfId="246"/>
    <cellStyle name="40% - 强调文字颜色 6 3 2" xfId="247"/>
    <cellStyle name="强调文字颜色 3 2 3" xfId="248"/>
    <cellStyle name="60% - 强调文字颜色 4 2 2" xfId="249"/>
    <cellStyle name="40% - 强调文字颜色 6 4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注释 5 2 2" xfId="255"/>
    <cellStyle name="警告文本 2 2" xfId="256"/>
    <cellStyle name="60% - 强调文字颜色 1 5" xfId="257"/>
    <cellStyle name="60% - 强调文字颜色 2 2 3" xfId="258"/>
    <cellStyle name="注释 2" xfId="259"/>
    <cellStyle name="常规 6 2" xfId="260"/>
    <cellStyle name="60% - 强调文字颜色 2 3 2" xfId="261"/>
    <cellStyle name="常规 7" xfId="262"/>
    <cellStyle name="60% - 强调文字颜色 2 4" xfId="263"/>
    <cellStyle name="警告文本 3 2" xfId="264"/>
    <cellStyle name="常规 8" xfId="265"/>
    <cellStyle name="60% - 强调文字颜色 2 5" xfId="266"/>
    <cellStyle name="强调文字颜色 2 2 3" xfId="267"/>
    <cellStyle name="60% - 强调文字颜色 3 2 2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常规_创联至信12年工资表sn803808" xfId="274"/>
    <cellStyle name="60% - 强调文字颜色 4 5" xfId="275"/>
    <cellStyle name="60% - 强调文字颜色 5 2" xfId="276"/>
    <cellStyle name="强调文字颜色 4 2 3" xfId="277"/>
    <cellStyle name="60% - 强调文字颜色 5 2 2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强调文字颜色 5 2 3" xfId="284"/>
    <cellStyle name="常规 3 5 3" xfId="285"/>
    <cellStyle name="60% - 强调文字颜色 6 2 2" xfId="286"/>
    <cellStyle name="Normal_08'前程工资8月" xfId="287"/>
    <cellStyle name="60% - 强调文字颜色 6 2 3" xfId="288"/>
    <cellStyle name="60% - 强调文字颜色 6 3" xfId="289"/>
    <cellStyle name="60% - 强调文字颜色 6 4" xfId="290"/>
    <cellStyle name="60% - 强调文字颜色 6 5" xfId="291"/>
    <cellStyle name="警告文本 2 3" xfId="292"/>
    <cellStyle name="Comma_SALARYBJ" xfId="293"/>
    <cellStyle name="差 4" xfId="294"/>
    <cellStyle name="百分比 2" xfId="295"/>
    <cellStyle name="百分比 2 2" xfId="296"/>
    <cellStyle name="标题 1 2" xfId="297"/>
    <cellStyle name="标题 1 2 2" xfId="298"/>
    <cellStyle name="标题 1 2 3" xfId="299"/>
    <cellStyle name="标题 1 3" xfId="300"/>
    <cellStyle name="汇总 3" xfId="301"/>
    <cellStyle name="标题 1 3 2" xfId="302"/>
    <cellStyle name="标题 1 4" xfId="303"/>
    <cellStyle name="标题 1 5" xfId="304"/>
    <cellStyle name="标题 2 2" xfId="305"/>
    <cellStyle name="标题 2 2 2" xfId="306"/>
    <cellStyle name="好 3 2" xfId="307"/>
    <cellStyle name="标题 2 2 3" xfId="308"/>
    <cellStyle name="标题 2 3" xfId="309"/>
    <cellStyle name="常规 11" xfId="310"/>
    <cellStyle name="标题 2 3 2" xfId="311"/>
    <cellStyle name="标题 2 4" xfId="312"/>
    <cellStyle name="标题 2 5" xfId="313"/>
    <cellStyle name="标题 3 2" xfId="314"/>
    <cellStyle name="好 5" xfId="315"/>
    <cellStyle name="标题 3 2 2" xfId="316"/>
    <cellStyle name="标题 3 2 3" xfId="317"/>
    <cellStyle name="标题 3 3" xfId="318"/>
    <cellStyle name="样式 1" xfId="319"/>
    <cellStyle name="标题 3 3 2" xfId="320"/>
    <cellStyle name="标题 3 4" xfId="321"/>
    <cellStyle name="标题 3 5" xfId="322"/>
    <cellStyle name="千位分隔 3" xfId="323"/>
    <cellStyle name="标题 4 2" xfId="324"/>
    <cellStyle name="标题 4 2 3" xfId="325"/>
    <cellStyle name="汇总 2 2" xfId="326"/>
    <cellStyle name="标题 4 3" xfId="327"/>
    <cellStyle name="汇总 2 2 2" xfId="328"/>
    <cellStyle name="标题 4 3 2" xfId="329"/>
    <cellStyle name="解释性文本 2 3" xfId="330"/>
    <cellStyle name="标题 5" xfId="331"/>
    <cellStyle name="强调文字颜色 1 4" xfId="332"/>
    <cellStyle name="标题 5 2" xfId="333"/>
    <cellStyle name="强调文字颜色 1 5" xfId="334"/>
    <cellStyle name="汇总 3 2" xfId="335"/>
    <cellStyle name="标题 5 3" xfId="336"/>
    <cellStyle name="标题 6" xfId="337"/>
    <cellStyle name="强调文字颜色 2 4" xfId="338"/>
    <cellStyle name="标题 6 2" xfId="339"/>
    <cellStyle name="注释 2 4 2" xfId="340"/>
    <cellStyle name="标题 7" xfId="341"/>
    <cellStyle name="标题 8" xfId="342"/>
    <cellStyle name="解释性文本 5" xfId="343"/>
    <cellStyle name="差 2" xfId="344"/>
    <cellStyle name="差 2 2" xfId="345"/>
    <cellStyle name="差 3" xfId="346"/>
    <cellStyle name="差 3 2" xfId="347"/>
    <cellStyle name="常规 11 2" xfId="348"/>
    <cellStyle name="常规 2 3 2 2" xfId="349"/>
    <cellStyle name="常规 11 3" xfId="350"/>
    <cellStyle name="常规 12" xfId="351"/>
    <cellStyle name="常规 12 2" xfId="352"/>
    <cellStyle name="常规 12 3" xfId="353"/>
    <cellStyle name="强调文字颜色 3 3 2" xfId="354"/>
    <cellStyle name="常规 14" xfId="355"/>
    <cellStyle name="常规 14 2" xfId="356"/>
    <cellStyle name="常规 14 3" xfId="357"/>
    <cellStyle name="常规 2" xfId="358"/>
    <cellStyle name="常规 2 2" xfId="359"/>
    <cellStyle name="常规 2 2 2" xfId="360"/>
    <cellStyle name="常规 2 2 2 2" xfId="361"/>
    <cellStyle name="常规 2 2 3" xfId="362"/>
    <cellStyle name="输入 3 2" xfId="363"/>
    <cellStyle name="常规 2 3" xfId="364"/>
    <cellStyle name="常规_全国客服表格" xfId="365"/>
    <cellStyle name="输入 3 2 2" xfId="366"/>
    <cellStyle name="常规 2 3 2" xfId="367"/>
    <cellStyle name="常规 2 3 3" xfId="368"/>
    <cellStyle name="常规 2 3 4" xfId="369"/>
    <cellStyle name="输入 3 3" xfId="370"/>
    <cellStyle name="常规 2 4" xfId="371"/>
    <cellStyle name="常规 2 4 2" xfId="372"/>
    <cellStyle name="强调文字颜色 4 2" xfId="373"/>
    <cellStyle name="常规 2 5" xfId="374"/>
    <cellStyle name="强调文字颜色 4 2 2" xfId="375"/>
    <cellStyle name="常规 2 5 2" xfId="376"/>
    <cellStyle name="强调文字颜色 4 3" xfId="377"/>
    <cellStyle name="常规 2 6" xfId="378"/>
    <cellStyle name="强调文字颜色 4 3 2" xfId="379"/>
    <cellStyle name="常规 2 6 2" xfId="380"/>
    <cellStyle name="常规 2 6 2 2" xfId="381"/>
    <cellStyle name="常规 27" xfId="382"/>
    <cellStyle name="适中 4" xfId="383"/>
    <cellStyle name="常规 3 2 2" xfId="384"/>
    <cellStyle name="常规 3 3 2" xfId="385"/>
    <cellStyle name="常规 3 3 3" xfId="386"/>
    <cellStyle name="常规 3 4" xfId="387"/>
    <cellStyle name="常规 3 4 2" xfId="388"/>
    <cellStyle name="强调文字颜色 5 2" xfId="389"/>
    <cellStyle name="常规 3 5" xfId="390"/>
    <cellStyle name="强调文字颜色 5 2 2" xfId="391"/>
    <cellStyle name="常规 3 5 2" xfId="392"/>
    <cellStyle name="常规 4 4" xfId="393"/>
    <cellStyle name="常规 4 2 2" xfId="394"/>
    <cellStyle name="输入 5 2" xfId="395"/>
    <cellStyle name="常规 4 3" xfId="396"/>
    <cellStyle name="常规 7 2" xfId="397"/>
    <cellStyle name="强调文字颜色 6 3 2" xfId="398"/>
    <cellStyle name="常规 8 4" xfId="399"/>
    <cellStyle name="常规 9" xfId="400"/>
    <cellStyle name="注释 5 2" xfId="401"/>
    <cellStyle name="警告文本 2" xfId="402"/>
    <cellStyle name="常规_付款通知书智联（神数系统）" xfId="403"/>
    <cellStyle name="好 2 2" xfId="404"/>
    <cellStyle name="好 3" xfId="405"/>
    <cellStyle name="好 4" xfId="406"/>
    <cellStyle name="汇总 2" xfId="407"/>
    <cellStyle name="检查单元格 2 2" xfId="408"/>
    <cellStyle name="汇总 2 3 2" xfId="409"/>
    <cellStyle name="汇总 4" xfId="410"/>
    <cellStyle name="汇总 5" xfId="411"/>
    <cellStyle name="常规_Sheet1" xfId="412"/>
    <cellStyle name="强调文字颜色 3 5" xfId="413"/>
    <cellStyle name="汇总 5 2" xfId="414"/>
    <cellStyle name="检查单元格 2 3" xfId="415"/>
    <cellStyle name="检查单元格 4" xfId="416"/>
    <cellStyle name="检查单元格 5" xfId="417"/>
    <cellStyle name="解释性文本 2" xfId="418"/>
    <cellStyle name="解释性文本 3 2" xfId="419"/>
    <cellStyle name="解释性文本 4" xfId="420"/>
    <cellStyle name="注释 5 3" xfId="421"/>
    <cellStyle name="警告文本 3" xfId="422"/>
    <cellStyle name="警告文本 4" xfId="423"/>
    <cellStyle name="警告文本 5" xfId="424"/>
    <cellStyle name="注释 2 3 2" xfId="425"/>
    <cellStyle name="链接单元格 2" xfId="426"/>
    <cellStyle name="注释 2 3 2 2" xfId="427"/>
    <cellStyle name="链接单元格 2 2" xfId="428"/>
    <cellStyle name="链接单元格 2 3" xfId="429"/>
    <cellStyle name="千位分隔 2" xfId="430"/>
    <cellStyle name="千位分隔 2 2" xfId="431"/>
    <cellStyle name="强调文字颜色 1 2" xfId="432"/>
    <cellStyle name="强调文字颜色 1 2 2" xfId="433"/>
    <cellStyle name="强调文字颜色 1 3" xfId="434"/>
    <cellStyle name="强调文字颜色 1 3 2" xfId="435"/>
    <cellStyle name="强调文字颜色 2 2" xfId="436"/>
    <cellStyle name="强调文字颜色 2 2 2" xfId="437"/>
    <cellStyle name="强调文字颜色 2 3" xfId="438"/>
    <cellStyle name="输入 2 4" xfId="439"/>
    <cellStyle name="强调文字颜色 3 2" xfId="440"/>
    <cellStyle name="强调文字颜色 3 3" xfId="441"/>
    <cellStyle name="强调文字颜色 3 4" xfId="442"/>
    <cellStyle name="强调文字颜色 4 4" xfId="443"/>
    <cellStyle name="输入 2" xfId="444"/>
    <cellStyle name="强调文字颜色 4 5" xfId="445"/>
    <cellStyle name="强调文字颜色 5 3" xfId="446"/>
    <cellStyle name="强调文字颜色 5 3 2" xfId="447"/>
    <cellStyle name="强调文字颜色 5 4" xfId="448"/>
    <cellStyle name="强调文字颜色 6 2" xfId="449"/>
    <cellStyle name="强调文字颜色 6 2 2" xfId="450"/>
    <cellStyle name="强调文字颜色 6 2 3" xfId="451"/>
    <cellStyle name="强调文字颜色 6 3" xfId="452"/>
    <cellStyle name="强调文字颜色 6 4" xfId="453"/>
    <cellStyle name="强调文字颜色 6 5" xfId="454"/>
    <cellStyle name="适中 3" xfId="455"/>
    <cellStyle name="适中 3 2" xfId="456"/>
    <cellStyle name="适中 5" xfId="457"/>
    <cellStyle name="输出 2 2 2 2" xfId="458"/>
    <cellStyle name="输出 2 3 2 2" xfId="459"/>
    <cellStyle name="输出 2 3 3" xfId="460"/>
    <cellStyle name="输出 3 2 2 2" xfId="461"/>
    <cellStyle name="样式 2 4" xfId="462"/>
    <cellStyle name="输入 2 2" xfId="463"/>
    <cellStyle name="样式 2 5" xfId="464"/>
    <cellStyle name="输入 2 3" xfId="465"/>
    <cellStyle name="输入 3" xfId="466"/>
    <cellStyle name="输入 4" xfId="467"/>
    <cellStyle name="输入 5" xfId="468"/>
    <cellStyle name="样式 1 2" xfId="469"/>
    <cellStyle name="样式 2" xfId="470"/>
    <cellStyle name="样式 2 2" xfId="471"/>
    <cellStyle name="样式 2 3" xfId="472"/>
    <cellStyle name="注释 2 2" xfId="473"/>
    <cellStyle name="注释 2 2 2" xfId="474"/>
    <cellStyle name="注释 2 2 2 2" xfId="475"/>
    <cellStyle name="注释 2 2 3" xfId="476"/>
    <cellStyle name="注释 2 4" xfId="477"/>
    <cellStyle name="注释 2 5" xfId="478"/>
    <cellStyle name="注释 3" xfId="479"/>
    <cellStyle name="注释 3 2" xfId="480"/>
    <cellStyle name="注释 3 3" xfId="481"/>
    <cellStyle name="注释 3 3 2" xfId="482"/>
    <cellStyle name="注释 3 4" xfId="483"/>
    <cellStyle name="注释 4" xfId="484"/>
    <cellStyle name="注释 4 2" xfId="485"/>
    <cellStyle name="注释 4 2 2" xfId="486"/>
    <cellStyle name="注释 4 3" xfId="487"/>
    <cellStyle name="常规_0705 UL South CS meeting (chonghua)" xfId="488"/>
    <cellStyle name="㼿㼿㼿㼿㼿" xfId="489"/>
    <cellStyle name="㼿㼿㼿㼿㼿㼿㼿" xfId="490"/>
    <cellStyle name="㼿㼿㼿㼿? 2" xfId="491"/>
    <cellStyle name="常规 10" xfId="492"/>
    <cellStyle name="百分比 2 3" xfId="493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D23" sqref="D23:F23"/>
    </sheetView>
  </sheetViews>
  <sheetFormatPr defaultColWidth="9" defaultRowHeight="13.5"/>
  <cols>
    <col min="1" max="2" width="9" style="234"/>
    <col min="3" max="3" width="10.75" style="234" customWidth="1"/>
    <col min="4" max="4" width="16.75" style="234" customWidth="1"/>
    <col min="5" max="5" width="11.75" style="234" customWidth="1"/>
    <col min="6" max="6" width="9" style="234"/>
    <col min="7" max="7" width="10.75" style="234" customWidth="1"/>
    <col min="8" max="12" width="9" style="234"/>
    <col min="13" max="13" width="9.5" style="234" customWidth="1"/>
    <col min="14" max="14" width="16.5" style="234" customWidth="1"/>
    <col min="15" max="16384" width="9" style="234"/>
  </cols>
  <sheetData>
    <row r="1" s="234" customFormat="1" ht="25.5" spans="1:14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="234" customFormat="1" ht="14.25" spans="1:14">
      <c r="A2" s="236"/>
      <c r="B2" s="237"/>
      <c r="C2" s="237"/>
      <c r="D2" s="238"/>
      <c r="E2" s="238"/>
      <c r="F2" s="238"/>
      <c r="G2" s="236"/>
      <c r="H2" s="236"/>
      <c r="I2" s="236"/>
      <c r="J2" s="238"/>
      <c r="K2" s="238"/>
      <c r="L2" s="238"/>
      <c r="M2" s="238"/>
      <c r="N2" s="238"/>
    </row>
    <row r="3" s="234" customFormat="1" spans="1:14">
      <c r="A3" s="239"/>
      <c r="B3" s="240"/>
      <c r="C3" s="241"/>
      <c r="D3" s="242"/>
      <c r="E3" s="243"/>
      <c r="F3" s="243"/>
      <c r="G3" s="244"/>
      <c r="H3" s="245"/>
      <c r="I3" s="240"/>
      <c r="J3" s="241"/>
      <c r="K3" s="242"/>
      <c r="L3" s="313"/>
      <c r="M3" s="238"/>
      <c r="N3" s="238"/>
    </row>
    <row r="4" s="234" customFormat="1" spans="1:14">
      <c r="A4" s="239"/>
      <c r="B4" s="246" t="s">
        <v>1</v>
      </c>
      <c r="C4" s="246"/>
      <c r="D4" s="246"/>
      <c r="E4" s="246"/>
      <c r="F4" s="247"/>
      <c r="G4" s="246"/>
      <c r="H4" s="245"/>
      <c r="K4" s="238"/>
      <c r="L4" s="314"/>
      <c r="M4" s="315"/>
      <c r="N4" s="238"/>
    </row>
    <row r="5" s="234" customFormat="1" spans="1:14">
      <c r="A5" s="248"/>
      <c r="B5" s="249" t="s">
        <v>2</v>
      </c>
      <c r="C5" s="242"/>
      <c r="D5" s="242"/>
      <c r="E5" s="242"/>
      <c r="F5" s="242"/>
      <c r="G5" s="242"/>
      <c r="H5" s="250"/>
      <c r="I5" s="245"/>
      <c r="J5" s="240"/>
      <c r="K5" s="241"/>
      <c r="L5" s="313"/>
      <c r="M5" s="238"/>
      <c r="N5" s="238"/>
    </row>
    <row r="6" s="234" customFormat="1" ht="9.75" customHeight="1" spans="1:14">
      <c r="A6" s="251"/>
      <c r="B6" s="251"/>
      <c r="C6" s="251"/>
      <c r="D6" s="251"/>
      <c r="E6" s="251"/>
      <c r="F6" s="251"/>
      <c r="G6" s="251"/>
      <c r="H6" s="251"/>
      <c r="I6" s="316"/>
      <c r="J6" s="316"/>
      <c r="K6" s="317"/>
      <c r="L6" s="317"/>
      <c r="M6" s="317"/>
      <c r="N6" s="317"/>
    </row>
    <row r="7" s="234" customFormat="1" ht="17.25" spans="1:14">
      <c r="A7" s="251"/>
      <c r="B7" s="252" t="s">
        <v>3</v>
      </c>
      <c r="C7" s="253"/>
      <c r="D7" s="253"/>
      <c r="E7" s="253"/>
      <c r="F7" s="253"/>
      <c r="G7" s="253"/>
      <c r="H7" s="253"/>
      <c r="I7" s="318" t="s">
        <v>4</v>
      </c>
      <c r="J7" s="319"/>
      <c r="K7" s="320"/>
      <c r="L7" s="321"/>
      <c r="M7" s="321"/>
      <c r="N7" s="321"/>
    </row>
    <row r="8" s="234" customFormat="1" ht="16.5" spans="1:14">
      <c r="A8" s="251"/>
      <c r="B8" s="254" t="s">
        <v>5</v>
      </c>
      <c r="C8" s="255"/>
      <c r="D8" s="255"/>
      <c r="E8" s="256">
        <f>D10</f>
        <v>12627</v>
      </c>
      <c r="F8" s="257"/>
      <c r="G8" s="257"/>
      <c r="H8" s="258"/>
      <c r="I8" s="320"/>
      <c r="J8" s="321" t="s">
        <v>6</v>
      </c>
      <c r="K8" s="321"/>
      <c r="L8" s="321"/>
      <c r="M8" s="321"/>
      <c r="N8" s="321"/>
    </row>
    <row r="9" s="234" customFormat="1" ht="15.75" spans="1:14">
      <c r="A9" s="251"/>
      <c r="B9" s="259" t="s">
        <v>7</v>
      </c>
      <c r="C9" s="260"/>
      <c r="D9" s="260"/>
      <c r="E9" s="261">
        <f>G24</f>
        <v>12627</v>
      </c>
      <c r="F9" s="262"/>
      <c r="G9" s="262"/>
      <c r="H9" s="263"/>
      <c r="I9" s="321"/>
      <c r="J9" s="322" t="s">
        <v>8</v>
      </c>
      <c r="K9" s="322"/>
      <c r="L9" s="322"/>
      <c r="M9" s="322"/>
      <c r="N9" s="322"/>
    </row>
    <row r="10" s="234" customFormat="1" ht="17.25" spans="1:14">
      <c r="A10" s="251"/>
      <c r="B10" s="264" t="s">
        <v>9</v>
      </c>
      <c r="C10" s="265"/>
      <c r="D10" s="266">
        <f>G24</f>
        <v>12627</v>
      </c>
      <c r="E10" s="267" t="s">
        <v>10</v>
      </c>
      <c r="F10" s="268"/>
      <c r="G10" s="269"/>
      <c r="H10" s="270">
        <v>0</v>
      </c>
      <c r="I10" s="323"/>
      <c r="J10" s="324" t="s">
        <v>11</v>
      </c>
      <c r="K10" s="324"/>
      <c r="L10" s="324"/>
      <c r="M10" s="324"/>
      <c r="N10" s="324"/>
    </row>
    <row r="11" s="234" customFormat="1" ht="14.25" spans="1:14">
      <c r="A11" s="251"/>
      <c r="B11" s="271" t="s">
        <v>12</v>
      </c>
      <c r="C11" s="272"/>
      <c r="D11" s="273"/>
      <c r="E11" s="274" t="s">
        <v>13</v>
      </c>
      <c r="F11" s="275"/>
      <c r="G11" s="276"/>
      <c r="H11" s="277"/>
      <c r="I11" s="325"/>
      <c r="J11" s="326"/>
      <c r="K11" s="325"/>
      <c r="L11" s="325"/>
      <c r="M11" s="325"/>
      <c r="N11" s="327"/>
    </row>
    <row r="12" s="234" customFormat="1" spans="1:14">
      <c r="A12" s="248"/>
      <c r="B12" s="271" t="s">
        <v>14</v>
      </c>
      <c r="C12" s="272"/>
      <c r="D12" s="273">
        <v>0</v>
      </c>
      <c r="E12" s="274" t="s">
        <v>15</v>
      </c>
      <c r="F12" s="275"/>
      <c r="G12" s="276"/>
      <c r="H12" s="277"/>
      <c r="I12" s="328"/>
      <c r="J12" s="329"/>
      <c r="K12" s="330"/>
      <c r="L12" s="330"/>
      <c r="M12" s="330"/>
      <c r="N12" s="330"/>
    </row>
    <row r="13" s="234" customFormat="1" ht="14.25" spans="1:14">
      <c r="A13" s="238"/>
      <c r="B13" s="278" t="s">
        <v>16</v>
      </c>
      <c r="C13" s="279"/>
      <c r="D13" s="280">
        <v>0</v>
      </c>
      <c r="E13" s="281"/>
      <c r="F13" s="282"/>
      <c r="G13" s="283"/>
      <c r="H13" s="284"/>
      <c r="I13" s="251"/>
      <c r="J13" s="331"/>
      <c r="K13" s="332"/>
      <c r="L13" s="332"/>
      <c r="M13" s="332"/>
      <c r="N13" s="332"/>
    </row>
    <row r="14" s="234" customFormat="1" ht="5.25" customHeight="1" spans="1:14">
      <c r="A14" s="285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</row>
    <row r="15" s="234" customFormat="1" spans="1:14">
      <c r="A15" s="238" t="s">
        <v>17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</row>
    <row r="16" s="234" customFormat="1" ht="3" customHeight="1" spans="1:14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</row>
    <row r="17" s="234" customFormat="1" ht="18.75" spans="2:13">
      <c r="B17" s="286" t="s">
        <v>18</v>
      </c>
      <c r="C17" s="287" t="s">
        <v>19</v>
      </c>
      <c r="D17" s="287" t="s">
        <v>20</v>
      </c>
      <c r="E17" s="287"/>
      <c r="F17" s="288" t="s">
        <v>21</v>
      </c>
      <c r="G17" s="289" t="s">
        <v>22</v>
      </c>
      <c r="H17" s="290" t="s">
        <v>23</v>
      </c>
      <c r="J17" s="333" t="s">
        <v>24</v>
      </c>
      <c r="K17" s="333"/>
      <c r="L17" s="333"/>
      <c r="M17" s="333"/>
    </row>
    <row r="18" s="234" customFormat="1" ht="16.5" spans="2:13">
      <c r="B18" s="291">
        <v>1</v>
      </c>
      <c r="C18" s="292" t="s">
        <v>25</v>
      </c>
      <c r="D18" s="293" t="s">
        <v>26</v>
      </c>
      <c r="E18" s="293"/>
      <c r="F18" s="294"/>
      <c r="G18" s="295">
        <f>'（居民）工资表-6月'!E11</f>
        <v>12627</v>
      </c>
      <c r="H18" s="296"/>
      <c r="J18" s="333"/>
      <c r="K18" s="333"/>
      <c r="L18" s="333"/>
      <c r="M18" s="333"/>
    </row>
    <row r="19" s="234" customFormat="1" ht="16.5" spans="2:13">
      <c r="B19" s="291">
        <v>2</v>
      </c>
      <c r="C19" s="292"/>
      <c r="D19" s="297" t="s">
        <v>27</v>
      </c>
      <c r="E19" s="298" t="s">
        <v>28</v>
      </c>
      <c r="F19" s="294"/>
      <c r="G19" s="295"/>
      <c r="H19" s="299"/>
      <c r="J19" s="333"/>
      <c r="K19" s="333"/>
      <c r="L19" s="333"/>
      <c r="M19" s="333"/>
    </row>
    <row r="20" s="234" customFormat="1" ht="16.5" spans="2:13">
      <c r="B20" s="291">
        <v>3</v>
      </c>
      <c r="C20" s="292"/>
      <c r="D20" s="297" t="s">
        <v>29</v>
      </c>
      <c r="E20" s="298" t="s">
        <v>28</v>
      </c>
      <c r="F20" s="294"/>
      <c r="G20" s="295"/>
      <c r="H20" s="299"/>
      <c r="J20" s="333"/>
      <c r="K20" s="333"/>
      <c r="L20" s="333"/>
      <c r="M20" s="333"/>
    </row>
    <row r="21" s="234" customFormat="1" ht="16.5" spans="2:13">
      <c r="B21" s="291">
        <v>6</v>
      </c>
      <c r="C21" s="292"/>
      <c r="D21" s="300" t="s">
        <v>30</v>
      </c>
      <c r="E21" s="300"/>
      <c r="F21" s="294"/>
      <c r="G21" s="301">
        <f>G18</f>
        <v>12627</v>
      </c>
      <c r="H21" s="302"/>
      <c r="J21" s="333"/>
      <c r="K21" s="333"/>
      <c r="L21" s="333"/>
      <c r="M21" s="333"/>
    </row>
    <row r="22" s="234" customFormat="1" ht="16.5" spans="2:13">
      <c r="B22" s="291">
        <v>7</v>
      </c>
      <c r="C22" s="292" t="s">
        <v>31</v>
      </c>
      <c r="D22" s="300" t="s">
        <v>32</v>
      </c>
      <c r="E22" s="300"/>
      <c r="F22" s="294"/>
      <c r="G22" s="301"/>
      <c r="H22" s="296"/>
      <c r="J22" s="333"/>
      <c r="K22" s="333"/>
      <c r="L22" s="333"/>
      <c r="M22" s="333"/>
    </row>
    <row r="23" s="234" customFormat="1" ht="18" customHeight="1" spans="2:13">
      <c r="B23" s="291">
        <v>8</v>
      </c>
      <c r="C23" s="303" t="s">
        <v>33</v>
      </c>
      <c r="D23" s="304">
        <v>0.056</v>
      </c>
      <c r="E23" s="304"/>
      <c r="F23" s="304"/>
      <c r="G23" s="301"/>
      <c r="H23" s="296"/>
      <c r="J23" s="333"/>
      <c r="K23" s="333"/>
      <c r="L23" s="333"/>
      <c r="M23" s="333"/>
    </row>
    <row r="24" s="234" customFormat="1" ht="16.5" spans="2:8">
      <c r="B24" s="305" t="s">
        <v>34</v>
      </c>
      <c r="C24" s="306"/>
      <c r="D24" s="306"/>
      <c r="E24" s="306"/>
      <c r="F24" s="306"/>
      <c r="G24" s="307">
        <f>G21+G22</f>
        <v>12627</v>
      </c>
      <c r="H24" s="308"/>
    </row>
    <row r="25" s="234" customFormat="1" ht="16" customHeight="1" spans="2:8">
      <c r="B25" s="309" t="s">
        <v>35</v>
      </c>
      <c r="C25" s="310"/>
      <c r="D25" s="310"/>
      <c r="E25" s="310"/>
      <c r="F25" s="310"/>
      <c r="G25" s="311">
        <f>G24</f>
        <v>12627</v>
      </c>
      <c r="H25" s="312"/>
    </row>
    <row r="26" s="234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</f>
        <v>13980</v>
      </c>
      <c r="T4" s="91">
        <v>5000</v>
      </c>
      <c r="U4" s="91">
        <f>Q4</f>
        <v>1353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7627</v>
      </c>
      <c r="AE4" s="94">
        <f>ROUND(MAX((AD4)*{0.03;0.1;0.2;0.25;0.3;0.35;0.45}-{0;2520;16920;31920;52920;85920;181920},0),2)</f>
        <v>228.81</v>
      </c>
      <c r="AF4" s="95">
        <v>0</v>
      </c>
      <c r="AG4" s="95">
        <f>IF((AE4-AF4)&lt;0,0,AE4-AF4)</f>
        <v>228.81</v>
      </c>
      <c r="AH4" s="102">
        <f>ROUND(IF((L4-Q4-AG4)&lt;0,0,(L4-Q4-AG4)),2)</f>
        <v>12398.19</v>
      </c>
      <c r="AI4" s="103"/>
      <c r="AJ4" s="102">
        <f>AH4+AI4</f>
        <v>12398.19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3" customFormat="1" ht="18" customHeight="1" spans="1:46">
      <c r="A5" s="41"/>
      <c r="B5" s="42" t="s">
        <v>152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13980</v>
      </c>
      <c r="M5" s="74">
        <f t="shared" si="0"/>
        <v>480</v>
      </c>
      <c r="N5" s="74">
        <f t="shared" si="0"/>
        <v>123</v>
      </c>
      <c r="O5" s="74">
        <f t="shared" si="0"/>
        <v>30</v>
      </c>
      <c r="P5" s="74">
        <f t="shared" si="0"/>
        <v>720</v>
      </c>
      <c r="Q5" s="74">
        <f t="shared" si="0"/>
        <v>1353</v>
      </c>
      <c r="R5" s="74">
        <f t="shared" si="0"/>
        <v>0</v>
      </c>
      <c r="S5" s="74">
        <f t="shared" si="0"/>
        <v>13980</v>
      </c>
      <c r="T5" s="74">
        <f t="shared" si="0"/>
        <v>5000</v>
      </c>
      <c r="U5" s="74">
        <f t="shared" si="0"/>
        <v>1353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7627</v>
      </c>
      <c r="AE5" s="74">
        <f t="shared" si="0"/>
        <v>228.81</v>
      </c>
      <c r="AF5" s="74">
        <f t="shared" si="0"/>
        <v>0</v>
      </c>
      <c r="AG5" s="74">
        <f t="shared" si="0"/>
        <v>228.81</v>
      </c>
      <c r="AH5" s="74">
        <f t="shared" si="0"/>
        <v>12398.19</v>
      </c>
      <c r="AI5" s="120">
        <f t="shared" si="0"/>
        <v>0</v>
      </c>
      <c r="AJ5" s="74">
        <f t="shared" si="0"/>
        <v>12398.19</v>
      </c>
      <c r="AK5" s="74">
        <f t="shared" si="0"/>
        <v>0</v>
      </c>
      <c r="AL5" s="74">
        <f t="shared" si="0"/>
        <v>12627</v>
      </c>
      <c r="AM5" s="105"/>
      <c r="AN5" s="105"/>
      <c r="AO5" s="105"/>
      <c r="AP5" s="105"/>
      <c r="AQ5" s="105"/>
      <c r="AR5" s="45"/>
      <c r="AS5" s="45"/>
      <c r="AT5" s="111"/>
    </row>
    <row r="8" spans="30:30">
      <c r="AD8" s="96"/>
    </row>
    <row r="9" ht="18.75" customHeight="1" spans="2:30">
      <c r="B9" s="47" t="s">
        <v>127</v>
      </c>
      <c r="C9" s="47" t="s">
        <v>153</v>
      </c>
      <c r="D9" s="47" t="s">
        <v>57</v>
      </c>
      <c r="E9" s="47" t="s">
        <v>58</v>
      </c>
      <c r="AD9" s="10"/>
    </row>
    <row r="10" ht="18.75" customHeight="1" spans="2:5">
      <c r="B10" s="48">
        <f>AJ5</f>
        <v>12398.19</v>
      </c>
      <c r="C10" s="48">
        <f>AG5</f>
        <v>228.81</v>
      </c>
      <c r="D10" s="48">
        <f>AK5</f>
        <v>0</v>
      </c>
      <c r="E10" s="48">
        <f>B10+C10+D10</f>
        <v>12627</v>
      </c>
    </row>
    <row r="11" spans="2:5">
      <c r="B11" s="49"/>
      <c r="C11" s="49"/>
      <c r="D11" s="49"/>
      <c r="E11" s="49"/>
    </row>
    <row r="12" s="14" customFormat="1" spans="1:35">
      <c r="A12" s="50" t="s">
        <v>154</v>
      </c>
      <c r="B12" s="51" t="s">
        <v>155</v>
      </c>
      <c r="C12" s="52"/>
      <c r="D12" s="52"/>
      <c r="E12" s="52"/>
      <c r="G12" s="53"/>
      <c r="J12" s="75"/>
      <c r="M12" s="76"/>
      <c r="AI12" s="106"/>
    </row>
    <row r="13" s="14" customFormat="1" spans="1:35">
      <c r="A13" s="54"/>
      <c r="B13" s="55" t="s">
        <v>156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1"/>
      <c r="B14" s="55" t="s">
        <v>157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6"/>
    </row>
    <row r="15" s="14" customFormat="1" customHeight="1" spans="1:35">
      <c r="A15" s="55"/>
      <c r="B15" s="55" t="s">
        <v>158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6"/>
    </row>
    <row r="16" s="14" customFormat="1" customHeight="1" spans="1:35">
      <c r="A16" s="55"/>
      <c r="B16" s="55" t="s">
        <v>159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160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6"/>
    </row>
    <row r="19" ht="11.25" customHeight="1" spans="2:2">
      <c r="B19" s="58" t="s">
        <v>161</v>
      </c>
    </row>
    <row r="20" spans="2:2">
      <c r="B20" s="59" t="s">
        <v>162</v>
      </c>
    </row>
    <row r="21" spans="2:2">
      <c r="B21" s="59" t="s">
        <v>163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10" stopIfTrue="1"/>
  </conditionalFormatting>
  <conditionalFormatting sqref="B12:B16">
    <cfRule type="duplicateValues" dxfId="3" priority="1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17" stopIfTrue="1"/>
    <cfRule type="expression" dxfId="4" priority="19" stopIfTrue="1">
      <formula>AND(COUNTIF($B$5:$B$65441,C9)+COUNTIF($B$1:$B$3,C9)&gt;1,NOT(ISBLANK(C9)))</formula>
    </cfRule>
    <cfRule type="expression" dxfId="4" priority="21" stopIfTrue="1">
      <formula>AND(COUNTIF($B$16:$B$65392,C9)+COUNTIF($B$1:$B$15,C9)&gt;1,NOT(ISBLANK(C9)))</formula>
    </cfRule>
    <cfRule type="expression" dxfId="4" priority="23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L4+IFERROR(VLOOKUP($E:$E,'（居民）工资表-11月'!$E:$S,15,0),0)</f>
        <v>41940</v>
      </c>
      <c r="T4" s="91">
        <f>5000+IFERROR(VLOOKUP($E:$E,'（居民）工资表-11月'!$E:$T,16,0),0)</f>
        <v>15000</v>
      </c>
      <c r="U4" s="91">
        <f>Q4+IFERROR(VLOOKUP($E:$E,'（居民）工资表-11月'!$E:$U,17,0),0)</f>
        <v>4059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22881</v>
      </c>
      <c r="AE4" s="94">
        <f>ROUND(MAX((AD4)*{0.03;0.1;0.2;0.25;0.3;0.35;0.45}-{0;2520;16920;31920;52920;85920;181920},0),2)</f>
        <v>686.43</v>
      </c>
      <c r="AF4" s="95">
        <f>IFERROR(VLOOKUP(E:E,'（居民）工资表-11月'!E:AF,28,0)+VLOOKUP(E:E,'（居民）工资表-11月'!E:AG,29,0),0)</f>
        <v>457.62</v>
      </c>
      <c r="AG4" s="95">
        <f>IF((AE4-AF4)&lt;0,0,AE4-AF4)</f>
        <v>228.81</v>
      </c>
      <c r="AH4" s="102">
        <f>ROUND(IF((L4-Q4-AG4)&lt;0,0,(L4-Q4-AG4)),2)</f>
        <v>12398.19</v>
      </c>
      <c r="AI4" s="103"/>
      <c r="AJ4" s="102">
        <f>AH4+AI4</f>
        <v>12398.19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3" customFormat="1" ht="18" customHeight="1" spans="1:46">
      <c r="A5" s="41"/>
      <c r="B5" s="42" t="s">
        <v>152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13980</v>
      </c>
      <c r="M5" s="74">
        <f t="shared" si="0"/>
        <v>480</v>
      </c>
      <c r="N5" s="74">
        <f t="shared" si="0"/>
        <v>123</v>
      </c>
      <c r="O5" s="74">
        <f t="shared" si="0"/>
        <v>30</v>
      </c>
      <c r="P5" s="74">
        <f t="shared" si="0"/>
        <v>720</v>
      </c>
      <c r="Q5" s="74">
        <f t="shared" si="0"/>
        <v>1353</v>
      </c>
      <c r="R5" s="74">
        <f t="shared" si="0"/>
        <v>0</v>
      </c>
      <c r="S5" s="74">
        <f t="shared" si="0"/>
        <v>41940</v>
      </c>
      <c r="T5" s="74">
        <f t="shared" si="0"/>
        <v>15000</v>
      </c>
      <c r="U5" s="74">
        <f t="shared" si="0"/>
        <v>4059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22881</v>
      </c>
      <c r="AE5" s="74">
        <f t="shared" si="0"/>
        <v>686.43</v>
      </c>
      <c r="AF5" s="74">
        <f t="shared" si="0"/>
        <v>457.62</v>
      </c>
      <c r="AG5" s="74">
        <f t="shared" si="0"/>
        <v>228.81</v>
      </c>
      <c r="AH5" s="74">
        <f t="shared" si="0"/>
        <v>12398.19</v>
      </c>
      <c r="AI5" s="120">
        <f t="shared" si="0"/>
        <v>0</v>
      </c>
      <c r="AJ5" s="74">
        <f t="shared" si="0"/>
        <v>12398.19</v>
      </c>
      <c r="AK5" s="74">
        <f t="shared" si="0"/>
        <v>0</v>
      </c>
      <c r="AL5" s="74">
        <f t="shared" si="0"/>
        <v>12627</v>
      </c>
      <c r="AM5" s="105"/>
      <c r="AN5" s="105"/>
      <c r="AO5" s="105"/>
      <c r="AP5" s="105"/>
      <c r="AQ5" s="105"/>
      <c r="AR5" s="45"/>
      <c r="AS5" s="45"/>
      <c r="AT5" s="111"/>
    </row>
    <row r="8" spans="30:30">
      <c r="AD8" s="96"/>
    </row>
    <row r="9" ht="18.75" customHeight="1" spans="2:30">
      <c r="B9" s="47" t="s">
        <v>127</v>
      </c>
      <c r="C9" s="47" t="s">
        <v>153</v>
      </c>
      <c r="D9" s="47" t="s">
        <v>57</v>
      </c>
      <c r="E9" s="47" t="s">
        <v>58</v>
      </c>
      <c r="AD9" s="10"/>
    </row>
    <row r="10" ht="18.75" customHeight="1" spans="2:5">
      <c r="B10" s="48">
        <f>AJ5</f>
        <v>12398.19</v>
      </c>
      <c r="C10" s="48">
        <f>AG5</f>
        <v>228.81</v>
      </c>
      <c r="D10" s="48">
        <f>AK5</f>
        <v>0</v>
      </c>
      <c r="E10" s="48">
        <f>B10+C10+D10</f>
        <v>12627</v>
      </c>
    </row>
    <row r="11" spans="2:5">
      <c r="B11" s="49"/>
      <c r="C11" s="49"/>
      <c r="D11" s="49"/>
      <c r="E11" s="49"/>
    </row>
    <row r="12" s="14" customFormat="1" spans="1:35">
      <c r="A12" s="50" t="s">
        <v>154</v>
      </c>
      <c r="B12" s="51" t="s">
        <v>155</v>
      </c>
      <c r="C12" s="52"/>
      <c r="D12" s="52"/>
      <c r="E12" s="52"/>
      <c r="G12" s="53"/>
      <c r="J12" s="75"/>
      <c r="M12" s="76"/>
      <c r="AI12" s="106"/>
    </row>
    <row r="13" s="14" customFormat="1" spans="1:35">
      <c r="A13" s="54"/>
      <c r="B13" s="55" t="s">
        <v>156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1"/>
      <c r="B14" s="55" t="s">
        <v>157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6"/>
    </row>
    <row r="15" s="14" customFormat="1" customHeight="1" spans="1:35">
      <c r="A15" s="55"/>
      <c r="B15" s="55" t="s">
        <v>158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6"/>
    </row>
    <row r="16" s="14" customFormat="1" customHeight="1" spans="1:35">
      <c r="A16" s="55"/>
      <c r="B16" s="55" t="s">
        <v>159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160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6"/>
    </row>
    <row r="19" ht="11.25" customHeight="1" spans="2:2">
      <c r="B19" s="58" t="s">
        <v>161</v>
      </c>
    </row>
    <row r="20" spans="2:2">
      <c r="B20" s="59" t="s">
        <v>162</v>
      </c>
    </row>
    <row r="21" spans="2:2">
      <c r="B21" s="59" t="s">
        <v>163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>
        <f>U4/2</f>
        <v>1353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L4+IFERROR(VLOOKUP($E:$E,'（居民）工资表-1月'!$E:$S,15,0),0)</f>
        <v>27960</v>
      </c>
      <c r="T4" s="91">
        <f>5000+IFERROR(VLOOKUP($E:$E,'（居民）工资表-1月'!$E:$T,16,0),0)</f>
        <v>10000</v>
      </c>
      <c r="U4" s="91">
        <f>Q4+IFERROR(VLOOKUP($E:$E,'（居民）工资表-1月'!$E:$U,17,0),0)</f>
        <v>2706</v>
      </c>
      <c r="V4" s="119"/>
      <c r="W4" s="119">
        <v>4000</v>
      </c>
      <c r="X4" s="119"/>
      <c r="Y4" s="119"/>
      <c r="Z4" s="119"/>
      <c r="AA4" s="119"/>
      <c r="AB4" s="90">
        <f>ROUND(SUM(V4:AA4),2)</f>
        <v>4000</v>
      </c>
      <c r="AC4" s="90">
        <f>R4+IFERROR(VLOOKUP($E:$E,'（居民）工资表-1月'!$E:$AC,25,0),0)</f>
        <v>0</v>
      </c>
      <c r="AD4" s="93">
        <f>ROUND(S4-T4-U4-AB4-AC4,2)</f>
        <v>11254</v>
      </c>
      <c r="AE4" s="94">
        <f>ROUND(MAX((AD4)*{0.03;0.1;0.2;0.25;0.3;0.35;0.45}-{0;2520;16920;31920;52920;85920;181920},0),2)</f>
        <v>337.62</v>
      </c>
      <c r="AF4" s="95">
        <f>IFERROR(VLOOKUP(E:E,'（居民）工资表-1月'!E:AF,28,0)+VLOOKUP(E:E,'（居民）工资表-1月'!E:AG,29,0),0)</f>
        <v>228.81</v>
      </c>
      <c r="AG4" s="95">
        <f>IF((AE4-AF4)&lt;0,0,AE4-AF4)</f>
        <v>108.81</v>
      </c>
      <c r="AH4" s="102">
        <f>ROUND(IF((L4-Q4-AG4)&lt;0,0,(L4-Q4-AG4)),2)</f>
        <v>12518.19</v>
      </c>
      <c r="AI4" s="103"/>
      <c r="AJ4" s="102">
        <f>AH4+AI4</f>
        <v>12518.19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3" customFormat="1" ht="18" customHeight="1" spans="1:46">
      <c r="A5" s="41"/>
      <c r="B5" s="42" t="s">
        <v>152</v>
      </c>
      <c r="C5" s="42"/>
      <c r="D5" s="43"/>
      <c r="E5" s="44"/>
      <c r="F5" s="45"/>
      <c r="G5" s="46"/>
      <c r="H5" s="45"/>
      <c r="I5" s="72"/>
      <c r="J5" s="73"/>
      <c r="K5" s="72"/>
      <c r="L5" s="74">
        <f>SUM(L4:L4)</f>
        <v>13980</v>
      </c>
      <c r="M5" s="74">
        <f t="shared" ref="M5:AL5" si="0">SUM(M4:M4)</f>
        <v>480</v>
      </c>
      <c r="N5" s="74">
        <f t="shared" si="0"/>
        <v>123</v>
      </c>
      <c r="O5" s="74">
        <f t="shared" si="0"/>
        <v>30</v>
      </c>
      <c r="P5" s="74">
        <f t="shared" si="0"/>
        <v>720</v>
      </c>
      <c r="Q5" s="74">
        <f t="shared" si="0"/>
        <v>1353</v>
      </c>
      <c r="R5" s="74">
        <f t="shared" si="0"/>
        <v>0</v>
      </c>
      <c r="S5" s="74">
        <f t="shared" si="0"/>
        <v>27960</v>
      </c>
      <c r="T5" s="74">
        <f t="shared" si="0"/>
        <v>10000</v>
      </c>
      <c r="U5" s="74">
        <f t="shared" si="0"/>
        <v>2706</v>
      </c>
      <c r="V5" s="74">
        <f t="shared" si="0"/>
        <v>0</v>
      </c>
      <c r="W5" s="74">
        <f t="shared" si="0"/>
        <v>4000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4000</v>
      </c>
      <c r="AC5" s="74">
        <f t="shared" si="0"/>
        <v>0</v>
      </c>
      <c r="AD5" s="74">
        <f t="shared" si="0"/>
        <v>11254</v>
      </c>
      <c r="AE5" s="74">
        <f t="shared" si="0"/>
        <v>337.62</v>
      </c>
      <c r="AF5" s="74">
        <f t="shared" si="0"/>
        <v>228.81</v>
      </c>
      <c r="AG5" s="74">
        <f t="shared" si="0"/>
        <v>108.81</v>
      </c>
      <c r="AH5" s="74">
        <f t="shared" si="0"/>
        <v>12518.19</v>
      </c>
      <c r="AI5" s="74">
        <f t="shared" si="0"/>
        <v>0</v>
      </c>
      <c r="AJ5" s="74">
        <f t="shared" si="0"/>
        <v>12518.19</v>
      </c>
      <c r="AK5" s="74">
        <f t="shared" si="0"/>
        <v>0</v>
      </c>
      <c r="AL5" s="74">
        <f t="shared" si="0"/>
        <v>12627</v>
      </c>
      <c r="AM5" s="105"/>
      <c r="AN5" s="105"/>
      <c r="AO5" s="105"/>
      <c r="AP5" s="105"/>
      <c r="AQ5" s="105"/>
      <c r="AR5" s="45"/>
      <c r="AS5" s="45"/>
      <c r="AT5" s="111"/>
    </row>
    <row r="8" spans="30:30">
      <c r="AD8" s="96"/>
    </row>
    <row r="9" ht="18.75" customHeight="1" spans="2:30">
      <c r="B9" s="47" t="s">
        <v>127</v>
      </c>
      <c r="C9" s="47" t="s">
        <v>153</v>
      </c>
      <c r="D9" s="47" t="s">
        <v>57</v>
      </c>
      <c r="E9" s="47" t="s">
        <v>58</v>
      </c>
      <c r="AD9" s="10"/>
    </row>
    <row r="10" ht="18.75" customHeight="1" spans="2:5">
      <c r="B10" s="48">
        <f>AJ5</f>
        <v>12518.19</v>
      </c>
      <c r="C10" s="48">
        <f>AG5</f>
        <v>108.81</v>
      </c>
      <c r="D10" s="48">
        <f>AK5</f>
        <v>0</v>
      </c>
      <c r="E10" s="48">
        <f>B10+C10+D10</f>
        <v>12627</v>
      </c>
    </row>
    <row r="11" spans="2:5">
      <c r="B11" s="49"/>
      <c r="C11" s="49"/>
      <c r="D11" s="49"/>
      <c r="E11" s="49"/>
    </row>
    <row r="12" s="14" customFormat="1" spans="1:35">
      <c r="A12" s="50" t="s">
        <v>154</v>
      </c>
      <c r="B12" s="51" t="s">
        <v>155</v>
      </c>
      <c r="C12" s="52"/>
      <c r="D12" s="52"/>
      <c r="E12" s="52"/>
      <c r="G12" s="53"/>
      <c r="J12" s="75"/>
      <c r="M12" s="76"/>
      <c r="AI12" s="106"/>
    </row>
    <row r="13" s="14" customFormat="1" spans="1:35">
      <c r="A13" s="54"/>
      <c r="B13" s="55" t="s">
        <v>156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1"/>
      <c r="B14" s="55" t="s">
        <v>157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6"/>
    </row>
    <row r="15" s="14" customFormat="1" customHeight="1" spans="1:35">
      <c r="A15" s="55"/>
      <c r="B15" s="55" t="s">
        <v>158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6"/>
    </row>
    <row r="16" s="14" customFormat="1" customHeight="1" spans="1:35">
      <c r="A16" s="55"/>
      <c r="B16" s="55" t="s">
        <v>159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160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6"/>
    </row>
    <row r="19" ht="11.25" customHeight="1" spans="2:2">
      <c r="B19" s="58" t="s">
        <v>161</v>
      </c>
    </row>
    <row r="20" spans="2:2">
      <c r="B20" s="59" t="s">
        <v>162</v>
      </c>
    </row>
    <row r="21" spans="2:2">
      <c r="B21" s="59" t="s">
        <v>163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L4+IFERROR(VLOOKUP($E:$E,'（居民）工资表-2月'!$E:$S,15,0),0)</f>
        <v>41940</v>
      </c>
      <c r="T4" s="91">
        <f>5000+IFERROR(VLOOKUP($E:$E,'（居民）工资表-2月'!$E:$T,16,0),0)</f>
        <v>15000</v>
      </c>
      <c r="U4" s="91">
        <f>Q4+IFERROR(VLOOKUP($E:$E,'（居民）工资表-2月'!$E:$U,17,0),0)</f>
        <v>4059</v>
      </c>
      <c r="V4" s="70"/>
      <c r="W4" s="70">
        <v>6000</v>
      </c>
      <c r="X4" s="70"/>
      <c r="Y4" s="70"/>
      <c r="Z4" s="70"/>
      <c r="AA4" s="70"/>
      <c r="AB4" s="90">
        <f>ROUND(SUM(V4:AA4),2)</f>
        <v>6000</v>
      </c>
      <c r="AC4" s="90">
        <f>R4+IFERROR(VLOOKUP($E:$E,'（居民）工资表-2月'!$E:$AC,25,0),0)</f>
        <v>0</v>
      </c>
      <c r="AD4" s="93">
        <f>ROUND(S4-T4-U4-AB4-AC4,2)</f>
        <v>16881</v>
      </c>
      <c r="AE4" s="94">
        <f>ROUND(MAX((AD4)*{0.03;0.1;0.2;0.25;0.3;0.35;0.45}-{0;2520;16920;31920;52920;85920;181920},0),2)</f>
        <v>506.43</v>
      </c>
      <c r="AF4" s="95">
        <f>IFERROR(VLOOKUP(E:E,'（居民）工资表-2月'!E:AF,28,0)+VLOOKUP(E:E,'（居民）工资表-2月'!E:AG,29,0),0)</f>
        <v>337.62</v>
      </c>
      <c r="AG4" s="95">
        <f>IF((AE4-AF4)&lt;0,0,AE4-AF4)</f>
        <v>168.81</v>
      </c>
      <c r="AH4" s="102">
        <f>ROUND(IF((L4-Q4-AG4)&lt;0,0,(L4-Q4-AG4)),2)</f>
        <v>12458.19</v>
      </c>
      <c r="AI4" s="103"/>
      <c r="AJ4" s="102">
        <f>AH4+AI4</f>
        <v>12458.19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2" customFormat="1" ht="18" customHeight="1" spans="1:46">
      <c r="A5" s="36"/>
      <c r="B5" s="37"/>
      <c r="C5" s="113"/>
      <c r="D5" s="37"/>
      <c r="E5" s="114"/>
      <c r="F5" s="38"/>
      <c r="G5" s="115"/>
      <c r="H5" s="116"/>
      <c r="I5" s="116"/>
      <c r="J5" s="117"/>
      <c r="K5" s="116"/>
      <c r="L5" s="118"/>
      <c r="M5" s="118"/>
      <c r="N5" s="118"/>
      <c r="O5" s="118"/>
      <c r="P5" s="118"/>
      <c r="Q5" s="89"/>
      <c r="R5" s="70"/>
      <c r="S5" s="90"/>
      <c r="T5" s="91"/>
      <c r="U5" s="91"/>
      <c r="V5" s="70"/>
      <c r="W5" s="70"/>
      <c r="X5" s="70"/>
      <c r="Y5" s="70"/>
      <c r="Z5" s="70"/>
      <c r="AA5" s="70"/>
      <c r="AB5" s="90"/>
      <c r="AC5" s="90"/>
      <c r="AD5" s="93"/>
      <c r="AE5" s="94"/>
      <c r="AF5" s="95"/>
      <c r="AG5" s="95"/>
      <c r="AH5" s="102"/>
      <c r="AI5" s="103"/>
      <c r="AJ5" s="102"/>
      <c r="AK5" s="104"/>
      <c r="AL5" s="102"/>
      <c r="AM5" s="104"/>
      <c r="AN5" s="104"/>
      <c r="AO5" s="104"/>
      <c r="AP5" s="104"/>
      <c r="AQ5" s="104"/>
      <c r="AR5" s="110"/>
      <c r="AS5" s="110"/>
      <c r="AT5" s="110"/>
    </row>
    <row r="6" s="13" customFormat="1" ht="18" customHeight="1" spans="1:46">
      <c r="A6" s="41"/>
      <c r="B6" s="42" t="s">
        <v>152</v>
      </c>
      <c r="C6" s="42"/>
      <c r="D6" s="43"/>
      <c r="E6" s="44"/>
      <c r="F6" s="45"/>
      <c r="G6" s="46"/>
      <c r="H6" s="45"/>
      <c r="I6" s="72"/>
      <c r="J6" s="73"/>
      <c r="K6" s="72"/>
      <c r="L6" s="74">
        <f>SUM(L4:L5)</f>
        <v>13980</v>
      </c>
      <c r="M6" s="74">
        <f t="shared" ref="M6:AL6" si="0">SUM(M4:M5)</f>
        <v>480</v>
      </c>
      <c r="N6" s="74">
        <f t="shared" si="0"/>
        <v>123</v>
      </c>
      <c r="O6" s="74">
        <f t="shared" si="0"/>
        <v>30</v>
      </c>
      <c r="P6" s="74">
        <f t="shared" si="0"/>
        <v>720</v>
      </c>
      <c r="Q6" s="74">
        <f t="shared" si="0"/>
        <v>1353</v>
      </c>
      <c r="R6" s="74">
        <f t="shared" si="0"/>
        <v>0</v>
      </c>
      <c r="S6" s="74">
        <f t="shared" si="0"/>
        <v>41940</v>
      </c>
      <c r="T6" s="74">
        <f t="shared" si="0"/>
        <v>15000</v>
      </c>
      <c r="U6" s="74">
        <f t="shared" si="0"/>
        <v>4059</v>
      </c>
      <c r="V6" s="74">
        <f t="shared" si="0"/>
        <v>0</v>
      </c>
      <c r="W6" s="74">
        <f t="shared" si="0"/>
        <v>6000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6000</v>
      </c>
      <c r="AC6" s="74">
        <f t="shared" si="0"/>
        <v>0</v>
      </c>
      <c r="AD6" s="74">
        <f t="shared" si="0"/>
        <v>16881</v>
      </c>
      <c r="AE6" s="74">
        <f t="shared" si="0"/>
        <v>506.43</v>
      </c>
      <c r="AF6" s="74">
        <f t="shared" si="0"/>
        <v>337.62</v>
      </c>
      <c r="AG6" s="74">
        <f t="shared" si="0"/>
        <v>168.81</v>
      </c>
      <c r="AH6" s="74">
        <f t="shared" si="0"/>
        <v>12458.19</v>
      </c>
      <c r="AI6" s="74">
        <f t="shared" si="0"/>
        <v>0</v>
      </c>
      <c r="AJ6" s="74">
        <f t="shared" si="0"/>
        <v>12458.19</v>
      </c>
      <c r="AK6" s="74">
        <f t="shared" si="0"/>
        <v>0</v>
      </c>
      <c r="AL6" s="74">
        <f t="shared" si="0"/>
        <v>12627</v>
      </c>
      <c r="AM6" s="105"/>
      <c r="AN6" s="105"/>
      <c r="AO6" s="105"/>
      <c r="AP6" s="105"/>
      <c r="AQ6" s="105"/>
      <c r="AR6" s="45"/>
      <c r="AS6" s="45"/>
      <c r="AT6" s="111"/>
    </row>
    <row r="9" spans="30:30">
      <c r="AD9" s="96"/>
    </row>
    <row r="10" ht="18.75" customHeight="1" spans="2:30">
      <c r="B10" s="47" t="s">
        <v>127</v>
      </c>
      <c r="C10" s="47" t="s">
        <v>153</v>
      </c>
      <c r="D10" s="47" t="s">
        <v>57</v>
      </c>
      <c r="E10" s="47" t="s">
        <v>58</v>
      </c>
      <c r="AD10" s="10"/>
    </row>
    <row r="11" ht="18.75" customHeight="1" spans="2:5">
      <c r="B11" s="48">
        <f>AJ6</f>
        <v>12458.19</v>
      </c>
      <c r="C11" s="48">
        <f>AG6</f>
        <v>168.81</v>
      </c>
      <c r="D11" s="48">
        <f>AK6</f>
        <v>0</v>
      </c>
      <c r="E11" s="48">
        <f>B11+C11+D11</f>
        <v>12627</v>
      </c>
    </row>
    <row r="12" spans="2:5">
      <c r="B12" s="49"/>
      <c r="C12" s="49"/>
      <c r="D12" s="49"/>
      <c r="E12" s="49"/>
    </row>
    <row r="13" s="14" customFormat="1" spans="1:35">
      <c r="A13" s="50" t="s">
        <v>154</v>
      </c>
      <c r="B13" s="51" t="s">
        <v>155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4"/>
      <c r="B14" s="55" t="s">
        <v>156</v>
      </c>
      <c r="C14" s="52"/>
      <c r="D14" s="52"/>
      <c r="E14" s="52"/>
      <c r="G14" s="53"/>
      <c r="J14" s="75"/>
      <c r="M14" s="76"/>
      <c r="AI14" s="106"/>
    </row>
    <row r="15" s="14" customFormat="1" spans="1:35">
      <c r="A15" s="51"/>
      <c r="B15" s="55" t="s">
        <v>157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6"/>
    </row>
    <row r="16" s="14" customFormat="1" customHeight="1" spans="1:35">
      <c r="A16" s="55"/>
      <c r="B16" s="55" t="s">
        <v>158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159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6"/>
    </row>
    <row r="18" s="14" customFormat="1" customHeight="1" spans="1:35">
      <c r="A18" s="55"/>
      <c r="B18" s="55" t="s">
        <v>160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6"/>
    </row>
    <row r="20" ht="11.25" customHeight="1" spans="2:2">
      <c r="B20" s="58" t="s">
        <v>161</v>
      </c>
    </row>
    <row r="21" spans="2:2">
      <c r="B21" s="59" t="s">
        <v>162</v>
      </c>
    </row>
    <row r="22" spans="2:2">
      <c r="B22" s="59" t="s">
        <v>163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3" priority="2" stopIfTrue="1"/>
  </conditionalFormatting>
  <conditionalFormatting sqref="B13:B17">
    <cfRule type="duplicateValues" dxfId="3" priority="3" stopIfTrue="1"/>
  </conditionalFormatting>
  <conditionalFormatting sqref="B21:B22">
    <cfRule type="duplicateValues" dxfId="3" priority="1" stopIfTrue="1"/>
  </conditionalFormatting>
  <conditionalFormatting sqref="C10:C12">
    <cfRule type="duplicateValues" dxfId="3" priority="4" stopIfTrue="1"/>
    <cfRule type="expression" dxfId="4" priority="5" stopIfTrue="1">
      <formula>AND(COUNTIF($B$6:$B$65442,C10)+COUNTIF($B$1:$B$3,C10)&gt;1,NOT(ISBLANK(C10)))</formula>
    </cfRule>
    <cfRule type="expression" dxfId="4" priority="6" stopIfTrue="1">
      <formula>AND(COUNTIF($B$17:$B$65393,C10)+COUNTIF($B$1:$B$16,C10)&gt;1,NOT(ISBLANK(C10)))</formula>
    </cfRule>
    <cfRule type="expression" dxfId="4" priority="7" stopIfTrue="1">
      <formula>AND(COUNTIF($B$6:$B$65431,C10)+COUNTIF($B$1:$B$3,C10)&gt;1,NOT(ISBLANK(C10)))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L4+IFERROR(VLOOKUP($E:$E,'（居民）工资表-3月'!$E:$S,15,0),0)</f>
        <v>55920</v>
      </c>
      <c r="T4" s="91">
        <f>5000+IFERROR(VLOOKUP($E:$E,'（居民）工资表-3月'!$E:$T,16,0),0)</f>
        <v>20000</v>
      </c>
      <c r="U4" s="91">
        <f>Q4+IFERROR(VLOOKUP($E:$E,'（居民）工资表-3月'!$E:$U,17,0),0)</f>
        <v>5412</v>
      </c>
      <c r="V4" s="70"/>
      <c r="W4" s="70">
        <v>8000</v>
      </c>
      <c r="X4" s="70"/>
      <c r="Y4" s="70"/>
      <c r="Z4" s="70"/>
      <c r="AA4" s="70"/>
      <c r="AB4" s="90">
        <f>ROUND(SUM(V4:AA4),2)</f>
        <v>8000</v>
      </c>
      <c r="AC4" s="90">
        <f>R4+IFERROR(VLOOKUP($E:$E,'（居民）工资表-3月'!$E:$AC,25,0),0)</f>
        <v>0</v>
      </c>
      <c r="AD4" s="93">
        <f>ROUND(S4-T4-U4-AB4-AC4,2)</f>
        <v>22508</v>
      </c>
      <c r="AE4" s="94">
        <f>ROUND(MAX((AD4)*{0.03;0.1;0.2;0.25;0.3;0.35;0.45}-{0;2520;16920;31920;52920;85920;181920},0),2)</f>
        <v>675.24</v>
      </c>
      <c r="AF4" s="95">
        <f>IFERROR(VLOOKUP(E:E,'（居民）工资表-3月'!E:AF,28,0)+VLOOKUP(E:E,'（居民）工资表-3月'!E:AG,29,0),0)</f>
        <v>506.43</v>
      </c>
      <c r="AG4" s="95">
        <f>IF((AE4-AF4)&lt;0,0,AE4-AF4)</f>
        <v>168.81</v>
      </c>
      <c r="AH4" s="102">
        <f>ROUND(IF((L4-Q4-AG4)&lt;0,0,(L4-Q4-AG4)),2)</f>
        <v>12458.19</v>
      </c>
      <c r="AI4" s="103"/>
      <c r="AJ4" s="102">
        <f>AH4+AI4</f>
        <v>12458.19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2" customFormat="1" ht="18" customHeight="1" spans="1:46">
      <c r="A5" s="36"/>
      <c r="B5" s="37"/>
      <c r="C5" s="37"/>
      <c r="D5" s="37"/>
      <c r="E5" s="37"/>
      <c r="F5" s="38"/>
      <c r="G5" s="39"/>
      <c r="H5" s="40"/>
      <c r="I5" s="40"/>
      <c r="J5" s="69"/>
      <c r="K5" s="40"/>
      <c r="L5" s="70"/>
      <c r="M5" s="71"/>
      <c r="N5" s="71"/>
      <c r="O5" s="71"/>
      <c r="P5" s="71"/>
      <c r="Q5" s="89"/>
      <c r="R5" s="70"/>
      <c r="S5" s="90"/>
      <c r="T5" s="91"/>
      <c r="U5" s="91"/>
      <c r="V5" s="70"/>
      <c r="W5" s="70"/>
      <c r="X5" s="70"/>
      <c r="Y5" s="70"/>
      <c r="Z5" s="70"/>
      <c r="AA5" s="70"/>
      <c r="AB5" s="90"/>
      <c r="AC5" s="90"/>
      <c r="AD5" s="93"/>
      <c r="AE5" s="94"/>
      <c r="AF5" s="95"/>
      <c r="AG5" s="95"/>
      <c r="AH5" s="102"/>
      <c r="AI5" s="103"/>
      <c r="AJ5" s="102"/>
      <c r="AK5" s="104"/>
      <c r="AL5" s="102"/>
      <c r="AM5" s="104"/>
      <c r="AN5" s="104"/>
      <c r="AO5" s="104"/>
      <c r="AP5" s="104"/>
      <c r="AQ5" s="104"/>
      <c r="AR5" s="110"/>
      <c r="AS5" s="110"/>
      <c r="AT5" s="110"/>
    </row>
    <row r="6" s="13" customFormat="1" ht="18" customHeight="1" spans="1:46">
      <c r="A6" s="41"/>
      <c r="B6" s="42" t="s">
        <v>152</v>
      </c>
      <c r="C6" s="42"/>
      <c r="D6" s="43"/>
      <c r="E6" s="44"/>
      <c r="F6" s="45"/>
      <c r="G6" s="46"/>
      <c r="H6" s="45"/>
      <c r="I6" s="72"/>
      <c r="J6" s="73"/>
      <c r="K6" s="72"/>
      <c r="L6" s="74">
        <f>SUM(L4:L5)</f>
        <v>13980</v>
      </c>
      <c r="M6" s="74">
        <f t="shared" ref="M6:AL6" si="0">SUM(M4:M5)</f>
        <v>480</v>
      </c>
      <c r="N6" s="74">
        <f t="shared" si="0"/>
        <v>123</v>
      </c>
      <c r="O6" s="74">
        <f t="shared" si="0"/>
        <v>30</v>
      </c>
      <c r="P6" s="74">
        <f t="shared" si="0"/>
        <v>720</v>
      </c>
      <c r="Q6" s="74">
        <f t="shared" si="0"/>
        <v>1353</v>
      </c>
      <c r="R6" s="74">
        <f t="shared" si="0"/>
        <v>0</v>
      </c>
      <c r="S6" s="74">
        <f t="shared" si="0"/>
        <v>55920</v>
      </c>
      <c r="T6" s="74">
        <f t="shared" si="0"/>
        <v>20000</v>
      </c>
      <c r="U6" s="74">
        <f t="shared" si="0"/>
        <v>5412</v>
      </c>
      <c r="V6" s="74">
        <f t="shared" si="0"/>
        <v>0</v>
      </c>
      <c r="W6" s="74">
        <f t="shared" si="0"/>
        <v>8000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8000</v>
      </c>
      <c r="AC6" s="74">
        <f t="shared" si="0"/>
        <v>0</v>
      </c>
      <c r="AD6" s="74">
        <f t="shared" si="0"/>
        <v>22508</v>
      </c>
      <c r="AE6" s="74">
        <f t="shared" si="0"/>
        <v>675.24</v>
      </c>
      <c r="AF6" s="74">
        <f t="shared" si="0"/>
        <v>506.43</v>
      </c>
      <c r="AG6" s="74">
        <f t="shared" si="0"/>
        <v>168.81</v>
      </c>
      <c r="AH6" s="74">
        <f t="shared" si="0"/>
        <v>12458.19</v>
      </c>
      <c r="AI6" s="74">
        <f t="shared" si="0"/>
        <v>0</v>
      </c>
      <c r="AJ6" s="74">
        <f t="shared" si="0"/>
        <v>12458.19</v>
      </c>
      <c r="AK6" s="74">
        <f t="shared" si="0"/>
        <v>0</v>
      </c>
      <c r="AL6" s="74">
        <f t="shared" si="0"/>
        <v>12627</v>
      </c>
      <c r="AM6" s="105"/>
      <c r="AN6" s="105"/>
      <c r="AO6" s="105"/>
      <c r="AP6" s="105"/>
      <c r="AQ6" s="105"/>
      <c r="AR6" s="45"/>
      <c r="AS6" s="45"/>
      <c r="AT6" s="111"/>
    </row>
    <row r="9" spans="30:30">
      <c r="AD9" s="96"/>
    </row>
    <row r="10" ht="18.75" customHeight="1" spans="2:33">
      <c r="B10" s="47" t="s">
        <v>127</v>
      </c>
      <c r="C10" s="47" t="s">
        <v>153</v>
      </c>
      <c r="D10" s="47" t="s">
        <v>57</v>
      </c>
      <c r="E10" s="47" t="s">
        <v>58</v>
      </c>
      <c r="AD10" s="10"/>
      <c r="AG10" s="112"/>
    </row>
    <row r="11" ht="18.75" customHeight="1" spans="2:5">
      <c r="B11" s="48">
        <f>AJ6</f>
        <v>12458.19</v>
      </c>
      <c r="C11" s="48">
        <f>AG6</f>
        <v>168.81</v>
      </c>
      <c r="D11" s="48">
        <f>AK6</f>
        <v>0</v>
      </c>
      <c r="E11" s="48">
        <f>B11+C11+D11</f>
        <v>12627</v>
      </c>
    </row>
    <row r="12" spans="2:5">
      <c r="B12" s="49"/>
      <c r="C12" s="49"/>
      <c r="D12" s="49"/>
      <c r="E12" s="52"/>
    </row>
    <row r="13" s="14" customFormat="1" spans="1:35">
      <c r="A13" s="50" t="s">
        <v>154</v>
      </c>
      <c r="B13" s="51" t="s">
        <v>155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4"/>
      <c r="B14" s="55" t="s">
        <v>156</v>
      </c>
      <c r="C14" s="52"/>
      <c r="D14" s="52"/>
      <c r="E14" s="52"/>
      <c r="G14" s="53"/>
      <c r="J14" s="75"/>
      <c r="M14" s="76"/>
      <c r="AI14" s="106"/>
    </row>
    <row r="15" s="14" customFormat="1" spans="1:35">
      <c r="A15" s="51"/>
      <c r="B15" s="55" t="s">
        <v>157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6"/>
    </row>
    <row r="16" s="14" customFormat="1" customHeight="1" spans="1:35">
      <c r="A16" s="55"/>
      <c r="B16" s="55" t="s">
        <v>158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159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6"/>
    </row>
    <row r="18" s="14" customFormat="1" customHeight="1" spans="1:35">
      <c r="A18" s="55"/>
      <c r="B18" s="55" t="s">
        <v>160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6"/>
    </row>
    <row r="20" ht="11.25" customHeight="1" spans="2:2">
      <c r="B20" s="58" t="s">
        <v>161</v>
      </c>
    </row>
    <row r="21" spans="2:2">
      <c r="B21" s="59" t="s">
        <v>162</v>
      </c>
    </row>
    <row r="22" spans="2:2">
      <c r="B22" s="59" t="s">
        <v>163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3" priority="2" stopIfTrue="1"/>
  </conditionalFormatting>
  <conditionalFormatting sqref="B13:B17">
    <cfRule type="duplicateValues" dxfId="3" priority="3" stopIfTrue="1"/>
  </conditionalFormatting>
  <conditionalFormatting sqref="B21:B22">
    <cfRule type="duplicateValues" dxfId="3" priority="1" stopIfTrue="1"/>
  </conditionalFormatting>
  <conditionalFormatting sqref="C10:C12">
    <cfRule type="duplicateValues" dxfId="3" priority="4" stopIfTrue="1"/>
    <cfRule type="expression" dxfId="4" priority="5" stopIfTrue="1">
      <formula>AND(COUNTIF($B$6:$B$65442,C10)+COUNTIF($B$1:$B$3,C10)&gt;1,NOT(ISBLANK(C10)))</formula>
    </cfRule>
    <cfRule type="expression" dxfId="4" priority="6" stopIfTrue="1">
      <formula>AND(COUNTIF($B$17:$B$65393,C10)+COUNTIF($B$1:$B$16,C10)&gt;1,NOT(ISBLANK(C10)))</formula>
    </cfRule>
    <cfRule type="expression" dxfId="4" priority="7" stopIfTrue="1">
      <formula>AND(COUNTIF($B$6:$B$65431,C10)+COUNTIF($B$1:$B$3,C10)&gt;1,NOT(ISBLANK(C10)))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L4+IFERROR(VLOOKUP($E:$E,'（居民）工资表-4月'!$E:$S,15,0),0)</f>
        <v>69900</v>
      </c>
      <c r="T4" s="91">
        <f>5000+IFERROR(VLOOKUP($E:$E,'（居民）工资表-4月'!$E:$T,16,0),0)</f>
        <v>25000</v>
      </c>
      <c r="U4" s="91">
        <f>Q4+IFERROR(VLOOKUP($E:$E,'（居民）工资表-4月'!$E:$U,17,0),0)</f>
        <v>6765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38135</v>
      </c>
      <c r="AE4" s="94">
        <f>ROUND(MAX((AD4)*{0.03;0.1;0.2;0.25;0.3;0.35;0.45}-{0;2520;16920;31920;52920;85920;181920},0),2)</f>
        <v>1293.5</v>
      </c>
      <c r="AF4" s="95">
        <f>IFERROR(VLOOKUP(E:E,'（居民）工资表-4月'!E:AF,28,0)+VLOOKUP(E:E,'（居民）工资表-4月'!E:AG,29,0),0)</f>
        <v>675.24</v>
      </c>
      <c r="AG4" s="95">
        <f>IF((AE4-AF4)&lt;0,0,AE4-AF4)</f>
        <v>618.26</v>
      </c>
      <c r="AH4" s="102">
        <f>ROUND(IF((L4-Q4-AG4)&lt;0,0,(L4-Q4-AG4)),2)</f>
        <v>12008.74</v>
      </c>
      <c r="AI4" s="103"/>
      <c r="AJ4" s="102">
        <f>AH4+AI4</f>
        <v>12008.74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2" customFormat="1" ht="18" customHeight="1" spans="1:46">
      <c r="A5" s="36"/>
      <c r="B5" s="37"/>
      <c r="C5" s="37"/>
      <c r="D5" s="37"/>
      <c r="E5" s="37"/>
      <c r="F5" s="38"/>
      <c r="G5" s="39"/>
      <c r="H5" s="40"/>
      <c r="I5" s="40"/>
      <c r="J5" s="69"/>
      <c r="K5" s="40"/>
      <c r="L5" s="70"/>
      <c r="M5" s="71"/>
      <c r="N5" s="71"/>
      <c r="O5" s="71"/>
      <c r="P5" s="71"/>
      <c r="Q5" s="89"/>
      <c r="R5" s="70"/>
      <c r="S5" s="90"/>
      <c r="T5" s="91"/>
      <c r="U5" s="91"/>
      <c r="V5" s="70"/>
      <c r="W5" s="70"/>
      <c r="X5" s="70"/>
      <c r="Y5" s="70"/>
      <c r="Z5" s="70"/>
      <c r="AA5" s="70"/>
      <c r="AB5" s="90"/>
      <c r="AC5" s="90"/>
      <c r="AD5" s="93"/>
      <c r="AE5" s="94"/>
      <c r="AF5" s="95"/>
      <c r="AG5" s="95"/>
      <c r="AH5" s="102"/>
      <c r="AI5" s="103"/>
      <c r="AJ5" s="102"/>
      <c r="AK5" s="104"/>
      <c r="AL5" s="102"/>
      <c r="AM5" s="104"/>
      <c r="AN5" s="104"/>
      <c r="AO5" s="104"/>
      <c r="AP5" s="104"/>
      <c r="AQ5" s="104"/>
      <c r="AR5" s="110"/>
      <c r="AS5" s="110"/>
      <c r="AT5" s="110"/>
    </row>
    <row r="6" s="12" customFormat="1" ht="18" customHeight="1" spans="1:46">
      <c r="A6" s="36"/>
      <c r="B6" s="37"/>
      <c r="C6" s="37"/>
      <c r="D6" s="37"/>
      <c r="E6" s="37"/>
      <c r="F6" s="38"/>
      <c r="G6" s="39"/>
      <c r="H6" s="40"/>
      <c r="I6" s="40"/>
      <c r="J6" s="69"/>
      <c r="K6" s="40"/>
      <c r="L6" s="70"/>
      <c r="M6" s="71"/>
      <c r="N6" s="71"/>
      <c r="O6" s="71"/>
      <c r="P6" s="71"/>
      <c r="Q6" s="89"/>
      <c r="R6" s="70"/>
      <c r="S6" s="90"/>
      <c r="T6" s="91"/>
      <c r="U6" s="91"/>
      <c r="V6" s="70"/>
      <c r="W6" s="70"/>
      <c r="X6" s="70"/>
      <c r="Y6" s="70"/>
      <c r="Z6" s="70"/>
      <c r="AA6" s="70"/>
      <c r="AB6" s="90"/>
      <c r="AC6" s="90"/>
      <c r="AD6" s="93"/>
      <c r="AE6" s="94"/>
      <c r="AF6" s="95"/>
      <c r="AG6" s="95"/>
      <c r="AH6" s="102"/>
      <c r="AI6" s="103"/>
      <c r="AJ6" s="102"/>
      <c r="AK6" s="104"/>
      <c r="AL6" s="102"/>
      <c r="AM6" s="104"/>
      <c r="AN6" s="104"/>
      <c r="AO6" s="104"/>
      <c r="AP6" s="104"/>
      <c r="AQ6" s="104"/>
      <c r="AR6" s="110"/>
      <c r="AS6" s="110"/>
      <c r="AT6" s="110"/>
    </row>
    <row r="7" s="13" customFormat="1" ht="18" customHeight="1" spans="1:46">
      <c r="A7" s="41"/>
      <c r="B7" s="42" t="s">
        <v>152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Q7" si="0">SUM(L4:L5)</f>
        <v>13980</v>
      </c>
      <c r="M7" s="74">
        <f t="shared" si="0"/>
        <v>480</v>
      </c>
      <c r="N7" s="74">
        <f t="shared" si="0"/>
        <v>123</v>
      </c>
      <c r="O7" s="74">
        <f t="shared" si="0"/>
        <v>30</v>
      </c>
      <c r="P7" s="74">
        <f t="shared" si="0"/>
        <v>720</v>
      </c>
      <c r="Q7" s="74">
        <f t="shared" si="0"/>
        <v>1353</v>
      </c>
      <c r="R7" s="74">
        <f t="shared" ref="R7:AL7" si="1">SUM(R4:R5)</f>
        <v>0</v>
      </c>
      <c r="S7" s="74">
        <f t="shared" si="1"/>
        <v>69900</v>
      </c>
      <c r="T7" s="74">
        <f t="shared" si="1"/>
        <v>25000</v>
      </c>
      <c r="U7" s="74">
        <f t="shared" si="1"/>
        <v>6765</v>
      </c>
      <c r="V7" s="74">
        <f t="shared" si="1"/>
        <v>0</v>
      </c>
      <c r="W7" s="74">
        <f t="shared" si="1"/>
        <v>0</v>
      </c>
      <c r="X7" s="74">
        <f t="shared" si="1"/>
        <v>0</v>
      </c>
      <c r="Y7" s="74">
        <f t="shared" si="1"/>
        <v>0</v>
      </c>
      <c r="Z7" s="74">
        <f t="shared" si="1"/>
        <v>0</v>
      </c>
      <c r="AA7" s="74">
        <f t="shared" si="1"/>
        <v>0</v>
      </c>
      <c r="AB7" s="74">
        <f t="shared" si="1"/>
        <v>0</v>
      </c>
      <c r="AC7" s="74">
        <f t="shared" si="1"/>
        <v>0</v>
      </c>
      <c r="AD7" s="74">
        <f t="shared" si="1"/>
        <v>38135</v>
      </c>
      <c r="AE7" s="74">
        <f t="shared" si="1"/>
        <v>1293.5</v>
      </c>
      <c r="AF7" s="74">
        <f t="shared" si="1"/>
        <v>675.24</v>
      </c>
      <c r="AG7" s="74">
        <f t="shared" si="1"/>
        <v>618.26</v>
      </c>
      <c r="AH7" s="74">
        <f t="shared" si="1"/>
        <v>12008.74</v>
      </c>
      <c r="AI7" s="74">
        <f t="shared" si="1"/>
        <v>0</v>
      </c>
      <c r="AJ7" s="74">
        <f t="shared" si="1"/>
        <v>12008.74</v>
      </c>
      <c r="AK7" s="74">
        <f t="shared" si="1"/>
        <v>0</v>
      </c>
      <c r="AL7" s="74">
        <f t="shared" si="1"/>
        <v>12627</v>
      </c>
      <c r="AM7" s="105"/>
      <c r="AN7" s="105"/>
      <c r="AO7" s="105"/>
      <c r="AP7" s="105"/>
      <c r="AQ7" s="105"/>
      <c r="AR7" s="45"/>
      <c r="AS7" s="45"/>
      <c r="AT7" s="111"/>
    </row>
    <row r="10" spans="30:30">
      <c r="AD10" s="96"/>
    </row>
    <row r="11" ht="18.75" customHeight="1" spans="2:33">
      <c r="B11" s="47" t="s">
        <v>127</v>
      </c>
      <c r="C11" s="47" t="s">
        <v>153</v>
      </c>
      <c r="D11" s="47" t="s">
        <v>57</v>
      </c>
      <c r="E11" s="47" t="s">
        <v>58</v>
      </c>
      <c r="AD11" s="10"/>
      <c r="AG11" s="19"/>
    </row>
    <row r="12" ht="18.75" customHeight="1" spans="2:5">
      <c r="B12" s="48">
        <f>AJ7</f>
        <v>12008.74</v>
      </c>
      <c r="C12" s="48">
        <f>AG7</f>
        <v>618.26</v>
      </c>
      <c r="D12" s="48">
        <f>AK7</f>
        <v>0</v>
      </c>
      <c r="E12" s="48">
        <f>B12+C12</f>
        <v>12627</v>
      </c>
    </row>
    <row r="13" spans="2:5">
      <c r="B13" s="49"/>
      <c r="C13" s="49"/>
      <c r="D13" s="49"/>
      <c r="E13" s="49"/>
    </row>
    <row r="14" s="14" customFormat="1" spans="1:35">
      <c r="A14" s="50" t="s">
        <v>154</v>
      </c>
      <c r="B14" s="51" t="s">
        <v>155</v>
      </c>
      <c r="C14" s="52"/>
      <c r="D14" s="52"/>
      <c r="E14" s="52"/>
      <c r="G14" s="53"/>
      <c r="J14" s="75"/>
      <c r="M14" s="76"/>
      <c r="AI14" s="106"/>
    </row>
    <row r="15" s="14" customFormat="1" spans="1:35">
      <c r="A15" s="54"/>
      <c r="B15" s="55" t="s">
        <v>156</v>
      </c>
      <c r="C15" s="52"/>
      <c r="D15" s="52"/>
      <c r="E15" s="52"/>
      <c r="G15" s="53"/>
      <c r="J15" s="75"/>
      <c r="M15" s="76"/>
      <c r="AI15" s="106"/>
    </row>
    <row r="16" s="14" customFormat="1" spans="1:35">
      <c r="A16" s="51"/>
      <c r="B16" s="55" t="s">
        <v>157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6"/>
    </row>
    <row r="17" s="14" customFormat="1" customHeight="1" spans="1:35">
      <c r="A17" s="55"/>
      <c r="B17" s="55" t="s">
        <v>158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6"/>
    </row>
    <row r="18" s="14" customFormat="1" customHeight="1" spans="1:35">
      <c r="A18" s="55"/>
      <c r="B18" s="55" t="s">
        <v>159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6"/>
    </row>
    <row r="19" s="14" customFormat="1" customHeight="1" spans="1:35">
      <c r="A19" s="55"/>
      <c r="B19" s="55" t="s">
        <v>160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6"/>
    </row>
    <row r="21" ht="11.25" customHeight="1" spans="2:2">
      <c r="B21" s="58" t="s">
        <v>161</v>
      </c>
    </row>
    <row r="22" spans="2:2">
      <c r="B22" s="59" t="s">
        <v>162</v>
      </c>
    </row>
    <row r="23" spans="2:2">
      <c r="B23" s="59" t="s">
        <v>163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3" priority="2" stopIfTrue="1"/>
  </conditionalFormatting>
  <conditionalFormatting sqref="B14:B18">
    <cfRule type="duplicateValues" dxfId="3" priority="3" stopIfTrue="1"/>
  </conditionalFormatting>
  <conditionalFormatting sqref="B22:B23">
    <cfRule type="duplicateValues" dxfId="3" priority="1" stopIfTrue="1"/>
  </conditionalFormatting>
  <conditionalFormatting sqref="C11:C13">
    <cfRule type="duplicateValues" dxfId="3" priority="4" stopIfTrue="1"/>
    <cfRule type="expression" dxfId="4" priority="5" stopIfTrue="1">
      <formula>AND(COUNTIF($B$7:$B$65443,C11)+COUNTIF($B$1:$B$3,C11)&gt;1,NOT(ISBLANK(C11)))</formula>
    </cfRule>
    <cfRule type="expression" dxfId="4" priority="6" stopIfTrue="1">
      <formula>AND(COUNTIF($B$18:$B$65394,C11)+COUNTIF($B$1:$B$17,C11)&gt;1,NOT(ISBLANK(C11)))</formula>
    </cfRule>
    <cfRule type="expression" dxfId="4" priority="7" stopIfTrue="1">
      <formula>AND(COUNTIF($B$7:$B$65432,C11)+COUNTIF($B$1:$B$3,C11)&gt;1,NOT(ISBLANK(C11)))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247</v>
      </c>
      <c r="C1" s="1"/>
      <c r="D1" s="1"/>
      <c r="E1" s="1"/>
    </row>
    <row r="2" ht="21" spans="2:2">
      <c r="B2" s="2"/>
    </row>
    <row r="3" ht="27.75" customHeight="1" spans="2:5">
      <c r="B3" s="3" t="s">
        <v>248</v>
      </c>
      <c r="C3" s="4" t="s">
        <v>249</v>
      </c>
      <c r="D3" s="4" t="s">
        <v>250</v>
      </c>
      <c r="E3" s="4" t="s">
        <v>251</v>
      </c>
    </row>
    <row r="4" ht="29.25" customHeight="1" spans="2:5">
      <c r="B4" s="5">
        <v>1</v>
      </c>
      <c r="C4" s="6" t="s">
        <v>252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253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254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255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256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257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258</v>
      </c>
      <c r="D10" s="7">
        <v>0.45</v>
      </c>
      <c r="E10" s="8">
        <v>181920</v>
      </c>
    </row>
    <row r="13" ht="57" customHeight="1" spans="2:5">
      <c r="B13" s="1" t="s">
        <v>259</v>
      </c>
      <c r="C13" s="1"/>
      <c r="D13" s="1"/>
      <c r="E13" s="1"/>
    </row>
    <row r="14" ht="21" spans="2:2">
      <c r="B14" s="2"/>
    </row>
    <row r="15" ht="27.75" customHeight="1" spans="2:5">
      <c r="B15" s="3" t="s">
        <v>248</v>
      </c>
      <c r="C15" s="4" t="s">
        <v>260</v>
      </c>
      <c r="D15" s="4" t="s">
        <v>250</v>
      </c>
      <c r="E15" s="4" t="s">
        <v>251</v>
      </c>
    </row>
    <row r="16" ht="29.25" customHeight="1" spans="2:5">
      <c r="B16" s="5">
        <v>1</v>
      </c>
      <c r="C16" s="6" t="s">
        <v>261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263</v>
      </c>
      <c r="D18" s="7">
        <v>0.4</v>
      </c>
      <c r="E18" s="8">
        <v>7000</v>
      </c>
    </row>
    <row r="21" ht="47.25" customHeight="1" spans="2:5">
      <c r="B21" s="1" t="s">
        <v>264</v>
      </c>
      <c r="C21" s="1"/>
      <c r="D21" s="1"/>
      <c r="E21" s="1"/>
    </row>
    <row r="22" ht="21" spans="2:2">
      <c r="B22" s="2"/>
    </row>
    <row r="23" ht="27.75" customHeight="1" spans="2:5">
      <c r="B23" s="3" t="s">
        <v>248</v>
      </c>
      <c r="C23" s="4" t="s">
        <v>265</v>
      </c>
      <c r="D23" s="4" t="s">
        <v>250</v>
      </c>
      <c r="E23" s="4" t="s">
        <v>251</v>
      </c>
    </row>
    <row r="24" ht="29.25" customHeight="1" spans="2:5">
      <c r="B24" s="5">
        <v>1</v>
      </c>
      <c r="C24" s="6" t="s">
        <v>266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267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268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269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272</v>
      </c>
      <c r="D30" s="7">
        <v>0.45</v>
      </c>
      <c r="E30" s="8">
        <v>15160</v>
      </c>
    </row>
    <row r="35" ht="57" customHeight="1" spans="2:5">
      <c r="B35" s="9" t="s">
        <v>273</v>
      </c>
      <c r="C35" s="9"/>
      <c r="D35" s="9"/>
      <c r="E35" s="9"/>
    </row>
    <row r="36" ht="14.25"/>
    <row r="37" ht="21.75" customHeight="1" spans="2:5">
      <c r="B37" s="3" t="s">
        <v>248</v>
      </c>
      <c r="C37" s="4" t="s">
        <v>274</v>
      </c>
      <c r="D37" s="4" t="s">
        <v>275</v>
      </c>
      <c r="E37" s="4" t="s">
        <v>251</v>
      </c>
    </row>
    <row r="38" ht="21.75" customHeight="1" spans="2:5">
      <c r="B38" s="5">
        <v>1</v>
      </c>
      <c r="C38" s="6" t="s">
        <v>266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267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268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269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48" customWidth="1"/>
    <col min="2" max="2" width="25" style="148" customWidth="1"/>
    <col min="3" max="3" width="7.375" style="148" customWidth="1"/>
    <col min="4" max="4" width="9.5" style="148" customWidth="1"/>
    <col min="5" max="5" width="8.25" style="148" customWidth="1"/>
    <col min="6" max="6" width="11.875" style="148" customWidth="1"/>
    <col min="7" max="7" width="16.375" style="148" customWidth="1"/>
    <col min="8" max="11" width="8.5" style="148" customWidth="1"/>
    <col min="12" max="12" width="9.125" style="148" customWidth="1"/>
    <col min="13" max="14" width="9.25" style="148" customWidth="1"/>
    <col min="15" max="15" width="7.5" style="148" customWidth="1"/>
    <col min="16" max="16" width="11.25" style="148" customWidth="1"/>
    <col min="17" max="17" width="9.125" style="148" customWidth="1"/>
    <col min="18" max="21" width="9.25" style="148" customWidth="1"/>
    <col min="22" max="22" width="9.125" style="148" customWidth="1"/>
    <col min="23" max="26" width="9.25" style="148" customWidth="1"/>
    <col min="27" max="28" width="9.125" style="148" customWidth="1"/>
    <col min="29" max="29" width="9" style="148" customWidth="1"/>
    <col min="30" max="30" width="9.125" style="148" customWidth="1"/>
    <col min="31" max="31" width="9.25" style="148" customWidth="1"/>
    <col min="32" max="32" width="8.875" style="148" customWidth="1"/>
    <col min="33" max="33" width="9.125" style="148" customWidth="1"/>
    <col min="34" max="34" width="9.25" style="148" customWidth="1"/>
    <col min="35" max="35" width="11.125" style="148" customWidth="1"/>
    <col min="36" max="36" width="9.25" style="148" customWidth="1"/>
    <col min="37" max="37" width="8.5" style="148" customWidth="1"/>
    <col min="38" max="38" width="9.125" style="148" hidden="1" customWidth="1"/>
    <col min="39" max="42" width="9.25" style="148" hidden="1" customWidth="1"/>
    <col min="43" max="43" width="9.875" style="148" customWidth="1"/>
    <col min="44" max="44" width="9.375" style="148" customWidth="1"/>
    <col min="45" max="45" width="10.25" style="154" customWidth="1"/>
    <col min="46" max="46" width="10" style="154" customWidth="1"/>
    <col min="47" max="49" width="9.25" style="154" customWidth="1"/>
    <col min="50" max="50" width="9.25" style="148" customWidth="1"/>
    <col min="51" max="51" width="5.875" style="148" customWidth="1"/>
    <col min="52" max="52" width="8.375" style="148" customWidth="1"/>
    <col min="53" max="53" width="5.875" style="148" customWidth="1"/>
    <col min="54" max="54" width="8.875" style="148" customWidth="1"/>
    <col min="55" max="55" width="10.875" style="148" customWidth="1"/>
    <col min="56" max="56" width="40.25" style="155" customWidth="1"/>
    <col min="57" max="57" width="10.625" style="148" customWidth="1"/>
    <col min="58" max="16384" width="9" style="148"/>
  </cols>
  <sheetData>
    <row r="1" s="147" customFormat="1" ht="22.5" customHeight="1" spans="1:56">
      <c r="A1" s="156" t="s">
        <v>18</v>
      </c>
      <c r="B1" s="157" t="s">
        <v>36</v>
      </c>
      <c r="C1" s="157" t="s">
        <v>37</v>
      </c>
      <c r="D1" s="156" t="s">
        <v>38</v>
      </c>
      <c r="E1" s="157" t="s">
        <v>39</v>
      </c>
      <c r="F1" s="157" t="s">
        <v>40</v>
      </c>
      <c r="G1" s="157" t="s">
        <v>41</v>
      </c>
      <c r="H1" s="157" t="s">
        <v>42</v>
      </c>
      <c r="I1" s="157" t="s">
        <v>43</v>
      </c>
      <c r="J1" s="157" t="s">
        <v>44</v>
      </c>
      <c r="K1" s="157" t="s">
        <v>45</v>
      </c>
      <c r="L1" s="190" t="s">
        <v>46</v>
      </c>
      <c r="M1" s="190"/>
      <c r="N1" s="190"/>
      <c r="O1" s="190"/>
      <c r="P1" s="190"/>
      <c r="Q1" s="190" t="s">
        <v>47</v>
      </c>
      <c r="R1" s="190"/>
      <c r="S1" s="190"/>
      <c r="T1" s="190"/>
      <c r="U1" s="190"/>
      <c r="V1" s="190" t="s">
        <v>48</v>
      </c>
      <c r="W1" s="190"/>
      <c r="X1" s="190"/>
      <c r="Y1" s="190"/>
      <c r="Z1" s="190"/>
      <c r="AA1" s="156" t="s">
        <v>49</v>
      </c>
      <c r="AB1" s="156"/>
      <c r="AC1" s="156"/>
      <c r="AD1" s="156" t="s">
        <v>50</v>
      </c>
      <c r="AE1" s="156"/>
      <c r="AF1" s="156"/>
      <c r="AG1" s="190" t="s">
        <v>51</v>
      </c>
      <c r="AH1" s="190"/>
      <c r="AI1" s="190"/>
      <c r="AJ1" s="190"/>
      <c r="AK1" s="190"/>
      <c r="AL1" s="156" t="s">
        <v>52</v>
      </c>
      <c r="AM1" s="156"/>
      <c r="AN1" s="156"/>
      <c r="AO1" s="156"/>
      <c r="AP1" s="156"/>
      <c r="AQ1" s="156" t="s">
        <v>53</v>
      </c>
      <c r="AR1" s="156"/>
      <c r="AS1" s="201" t="s">
        <v>54</v>
      </c>
      <c r="AT1" s="201"/>
      <c r="AU1" s="201"/>
      <c r="AV1" s="201"/>
      <c r="AW1" s="201"/>
      <c r="AX1" s="156" t="s">
        <v>55</v>
      </c>
      <c r="AY1" s="156"/>
      <c r="AZ1" s="156" t="s">
        <v>56</v>
      </c>
      <c r="BA1" s="156"/>
      <c r="BB1" s="156" t="s">
        <v>57</v>
      </c>
      <c r="BC1" s="156" t="s">
        <v>58</v>
      </c>
      <c r="BD1" s="212" t="s">
        <v>23</v>
      </c>
    </row>
    <row r="2" s="148" customFormat="1" ht="22.5" customHeight="1" spans="1:56">
      <c r="A2" s="156"/>
      <c r="B2" s="158"/>
      <c r="C2" s="157"/>
      <c r="D2" s="156"/>
      <c r="E2" s="157"/>
      <c r="F2" s="159"/>
      <c r="G2" s="159"/>
      <c r="H2" s="157"/>
      <c r="I2" s="157"/>
      <c r="J2" s="157"/>
      <c r="K2" s="157"/>
      <c r="L2" s="191" t="s">
        <v>59</v>
      </c>
      <c r="M2" s="191" t="s">
        <v>60</v>
      </c>
      <c r="N2" s="191" t="s">
        <v>61</v>
      </c>
      <c r="O2" s="191" t="s">
        <v>62</v>
      </c>
      <c r="P2" s="191" t="s">
        <v>63</v>
      </c>
      <c r="Q2" s="191" t="s">
        <v>59</v>
      </c>
      <c r="R2" s="191" t="s">
        <v>60</v>
      </c>
      <c r="S2" s="191" t="s">
        <v>61</v>
      </c>
      <c r="T2" s="191" t="s">
        <v>62</v>
      </c>
      <c r="U2" s="191" t="s">
        <v>63</v>
      </c>
      <c r="V2" s="191" t="s">
        <v>59</v>
      </c>
      <c r="W2" s="191" t="s">
        <v>60</v>
      </c>
      <c r="X2" s="191" t="s">
        <v>61</v>
      </c>
      <c r="Y2" s="191" t="s">
        <v>62</v>
      </c>
      <c r="Z2" s="191" t="s">
        <v>63</v>
      </c>
      <c r="AA2" s="191" t="s">
        <v>59</v>
      </c>
      <c r="AB2" s="191" t="s">
        <v>64</v>
      </c>
      <c r="AC2" s="191" t="s">
        <v>22</v>
      </c>
      <c r="AD2" s="191" t="s">
        <v>59</v>
      </c>
      <c r="AE2" s="191" t="s">
        <v>64</v>
      </c>
      <c r="AF2" s="191" t="s">
        <v>22</v>
      </c>
      <c r="AG2" s="191" t="s">
        <v>59</v>
      </c>
      <c r="AH2" s="191" t="s">
        <v>60</v>
      </c>
      <c r="AI2" s="191" t="s">
        <v>61</v>
      </c>
      <c r="AJ2" s="191" t="s">
        <v>62</v>
      </c>
      <c r="AK2" s="191" t="s">
        <v>63</v>
      </c>
      <c r="AL2" s="191" t="s">
        <v>59</v>
      </c>
      <c r="AM2" s="191" t="s">
        <v>60</v>
      </c>
      <c r="AN2" s="191" t="s">
        <v>61</v>
      </c>
      <c r="AO2" s="191" t="s">
        <v>62</v>
      </c>
      <c r="AP2" s="191" t="s">
        <v>63</v>
      </c>
      <c r="AQ2" s="191" t="s">
        <v>65</v>
      </c>
      <c r="AR2" s="191" t="s">
        <v>66</v>
      </c>
      <c r="AS2" s="202" t="s">
        <v>67</v>
      </c>
      <c r="AT2" s="202" t="s">
        <v>68</v>
      </c>
      <c r="AU2" s="202" t="s">
        <v>69</v>
      </c>
      <c r="AV2" s="202" t="s">
        <v>70</v>
      </c>
      <c r="AW2" s="202" t="s">
        <v>30</v>
      </c>
      <c r="AX2" s="156"/>
      <c r="AY2" s="156"/>
      <c r="AZ2" s="156"/>
      <c r="BA2" s="156"/>
      <c r="BB2" s="156"/>
      <c r="BC2" s="156"/>
      <c r="BD2" s="212"/>
    </row>
    <row r="3" s="149" customFormat="1" ht="18" customHeight="1" spans="1:60">
      <c r="A3" s="160">
        <v>1</v>
      </c>
      <c r="B3" s="161" t="s">
        <v>71</v>
      </c>
      <c r="C3" s="162" t="s">
        <v>72</v>
      </c>
      <c r="D3" s="163" t="s">
        <v>73</v>
      </c>
      <c r="E3" s="161" t="s">
        <v>74</v>
      </c>
      <c r="F3" s="164" t="s">
        <v>75</v>
      </c>
      <c r="G3" s="165" t="s">
        <v>76</v>
      </c>
      <c r="H3" s="163" t="s">
        <v>77</v>
      </c>
      <c r="I3" s="163" t="s">
        <v>77</v>
      </c>
      <c r="J3" s="163" t="s">
        <v>78</v>
      </c>
      <c r="K3" s="163" t="s">
        <v>78</v>
      </c>
      <c r="L3" s="160">
        <v>3300</v>
      </c>
      <c r="M3" s="160">
        <v>0.16</v>
      </c>
      <c r="N3" s="160">
        <f t="shared" ref="N3:N8" si="0">ROUND(L3*M3,2)</f>
        <v>528</v>
      </c>
      <c r="O3" s="160">
        <v>0.08</v>
      </c>
      <c r="P3" s="160">
        <f t="shared" ref="P3:P8" si="1">ROUND(L3*O3,2)</f>
        <v>264</v>
      </c>
      <c r="Q3" s="160">
        <v>3300</v>
      </c>
      <c r="R3" s="160">
        <v>0.08</v>
      </c>
      <c r="S3" s="160">
        <f t="shared" ref="S3:S8" si="2">ROUND(Q3*R3,2)</f>
        <v>264</v>
      </c>
      <c r="T3" s="160">
        <v>0.02</v>
      </c>
      <c r="U3" s="160">
        <f t="shared" ref="U3:U8" si="3">ROUND(Q3*T3,2)</f>
        <v>66</v>
      </c>
      <c r="V3" s="160">
        <v>3300</v>
      </c>
      <c r="W3" s="160">
        <v>0.007</v>
      </c>
      <c r="X3" s="160">
        <f t="shared" ref="X3:X8" si="4">ROUND(V3*W3,2)</f>
        <v>23.1</v>
      </c>
      <c r="Y3" s="160">
        <v>0.003</v>
      </c>
      <c r="Z3" s="160">
        <f t="shared" ref="Z3:Z8" si="5">ROUND(V3*Y3,2)</f>
        <v>9.9</v>
      </c>
      <c r="AA3" s="160"/>
      <c r="AB3" s="160"/>
      <c r="AC3" s="160"/>
      <c r="AD3" s="160">
        <v>3300</v>
      </c>
      <c r="AE3" s="160">
        <v>0.002</v>
      </c>
      <c r="AF3" s="160">
        <f t="shared" ref="AF3:AF15" si="6">ROUND(AD3*AE3,2)</f>
        <v>6.6</v>
      </c>
      <c r="AG3" s="160">
        <v>3000</v>
      </c>
      <c r="AH3" s="160">
        <v>0.1</v>
      </c>
      <c r="AI3" s="160">
        <f>ROUND(AG3*AH3,2)</f>
        <v>300</v>
      </c>
      <c r="AJ3" s="160">
        <v>0.06</v>
      </c>
      <c r="AK3" s="160">
        <f>ROUND(AG3*AJ3,2)</f>
        <v>180</v>
      </c>
      <c r="AL3" s="198"/>
      <c r="AM3" s="160"/>
      <c r="AN3" s="160"/>
      <c r="AO3" s="160"/>
      <c r="AP3" s="161" t="s">
        <v>79</v>
      </c>
      <c r="AQ3" s="203">
        <v>5</v>
      </c>
      <c r="AR3" s="160"/>
      <c r="AS3" s="204">
        <f t="shared" ref="AS3:AS15" si="7">N3+S3+X3+AC3+AF3+AN3+AQ3</f>
        <v>826.7</v>
      </c>
      <c r="AT3" s="204">
        <f t="shared" ref="AT3:AT15" si="8">P3+U3+Z3</f>
        <v>339.9</v>
      </c>
      <c r="AU3" s="204">
        <f t="shared" ref="AU3:AU15" si="9">AI3</f>
        <v>300</v>
      </c>
      <c r="AV3" s="204">
        <f t="shared" ref="AV3:AV15" si="10">AK3</f>
        <v>180</v>
      </c>
      <c r="AW3" s="204">
        <f t="shared" ref="AW3:AW15" si="11">AV3+AS3+AT3+AU3</f>
        <v>1646.6</v>
      </c>
      <c r="AX3" s="213">
        <f t="shared" ref="AX3:AX15" si="12">AS3+AT3</f>
        <v>1166.6</v>
      </c>
      <c r="AY3" s="213"/>
      <c r="AZ3" s="213">
        <f t="shared" ref="AZ3:AZ8" si="13">AU3+AV3</f>
        <v>480</v>
      </c>
      <c r="BA3" s="213"/>
      <c r="BB3" s="214">
        <v>80</v>
      </c>
      <c r="BC3" s="213">
        <f t="shared" ref="BC3:BC15" si="14">AX3+AZ3+BB3</f>
        <v>1726.6</v>
      </c>
      <c r="BD3" s="215"/>
      <c r="BE3" s="229"/>
      <c r="BF3" s="230"/>
      <c r="BG3" s="230"/>
      <c r="BH3" s="231" t="s">
        <v>79</v>
      </c>
    </row>
    <row r="4" s="149" customFormat="1" ht="18" customHeight="1" spans="1:60">
      <c r="A4" s="160"/>
      <c r="B4" s="161" t="s">
        <v>71</v>
      </c>
      <c r="C4" s="162" t="s">
        <v>72</v>
      </c>
      <c r="D4" s="163" t="s">
        <v>73</v>
      </c>
      <c r="E4" s="161" t="s">
        <v>74</v>
      </c>
      <c r="F4" s="164" t="s">
        <v>75</v>
      </c>
      <c r="G4" s="165" t="s">
        <v>76</v>
      </c>
      <c r="H4" s="163" t="s">
        <v>77</v>
      </c>
      <c r="I4" s="163" t="s">
        <v>77</v>
      </c>
      <c r="J4" s="163" t="s">
        <v>80</v>
      </c>
      <c r="K4" s="163" t="s">
        <v>80</v>
      </c>
      <c r="L4" s="160">
        <v>3300</v>
      </c>
      <c r="M4" s="160">
        <v>0.16</v>
      </c>
      <c r="N4" s="160">
        <f t="shared" si="0"/>
        <v>528</v>
      </c>
      <c r="O4" s="160">
        <v>0.08</v>
      </c>
      <c r="P4" s="160">
        <f t="shared" si="1"/>
        <v>264</v>
      </c>
      <c r="Q4" s="160">
        <v>3300</v>
      </c>
      <c r="R4" s="160">
        <v>0.08</v>
      </c>
      <c r="S4" s="160">
        <f t="shared" si="2"/>
        <v>264</v>
      </c>
      <c r="T4" s="160">
        <v>0.02</v>
      </c>
      <c r="U4" s="160">
        <f t="shared" si="3"/>
        <v>66</v>
      </c>
      <c r="V4" s="160">
        <v>3300</v>
      </c>
      <c r="W4" s="160">
        <v>0.007</v>
      </c>
      <c r="X4" s="160">
        <f t="shared" si="4"/>
        <v>23.1</v>
      </c>
      <c r="Y4" s="160">
        <v>0.003</v>
      </c>
      <c r="Z4" s="160">
        <f t="shared" si="5"/>
        <v>9.9</v>
      </c>
      <c r="AA4" s="160"/>
      <c r="AB4" s="160"/>
      <c r="AC4" s="160"/>
      <c r="AD4" s="160">
        <v>3300</v>
      </c>
      <c r="AE4" s="160">
        <v>0.002</v>
      </c>
      <c r="AF4" s="160">
        <f t="shared" si="6"/>
        <v>6.6</v>
      </c>
      <c r="AG4" s="160">
        <v>3000</v>
      </c>
      <c r="AH4" s="160">
        <v>0.1</v>
      </c>
      <c r="AI4" s="160">
        <f>ROUND(AG4*AH4,2)</f>
        <v>300</v>
      </c>
      <c r="AJ4" s="160">
        <v>0.06</v>
      </c>
      <c r="AK4" s="160">
        <f>ROUND(AG4*AJ4,2)</f>
        <v>180</v>
      </c>
      <c r="AL4" s="198"/>
      <c r="AM4" s="160"/>
      <c r="AN4" s="160"/>
      <c r="AO4" s="160"/>
      <c r="AP4" s="161" t="s">
        <v>79</v>
      </c>
      <c r="AQ4" s="203">
        <v>5</v>
      </c>
      <c r="AR4" s="160"/>
      <c r="AS4" s="204">
        <f t="shared" si="7"/>
        <v>826.7</v>
      </c>
      <c r="AT4" s="204">
        <f t="shared" si="8"/>
        <v>339.9</v>
      </c>
      <c r="AU4" s="204">
        <f t="shared" si="9"/>
        <v>300</v>
      </c>
      <c r="AV4" s="204">
        <f t="shared" si="10"/>
        <v>180</v>
      </c>
      <c r="AW4" s="204">
        <f t="shared" si="11"/>
        <v>1646.6</v>
      </c>
      <c r="AX4" s="213">
        <f t="shared" si="12"/>
        <v>1166.6</v>
      </c>
      <c r="AY4" s="213"/>
      <c r="AZ4" s="213">
        <f t="shared" si="13"/>
        <v>480</v>
      </c>
      <c r="BA4" s="213"/>
      <c r="BB4" s="214">
        <v>80</v>
      </c>
      <c r="BC4" s="213">
        <f t="shared" si="14"/>
        <v>1726.6</v>
      </c>
      <c r="BD4" s="215"/>
      <c r="BE4" s="229"/>
      <c r="BF4" s="230"/>
      <c r="BG4" s="230"/>
      <c r="BH4" s="231" t="s">
        <v>79</v>
      </c>
    </row>
    <row r="5" s="149" customFormat="1" ht="18" customHeight="1" spans="1:60">
      <c r="A5" s="160"/>
      <c r="B5" s="161" t="s">
        <v>71</v>
      </c>
      <c r="C5" s="162" t="s">
        <v>72</v>
      </c>
      <c r="D5" s="163" t="s">
        <v>73</v>
      </c>
      <c r="E5" s="161" t="s">
        <v>74</v>
      </c>
      <c r="F5" s="164" t="s">
        <v>75</v>
      </c>
      <c r="G5" s="165" t="s">
        <v>76</v>
      </c>
      <c r="H5" s="163" t="s">
        <v>77</v>
      </c>
      <c r="I5" s="163" t="s">
        <v>77</v>
      </c>
      <c r="J5" s="163" t="s">
        <v>81</v>
      </c>
      <c r="K5" s="163" t="s">
        <v>81</v>
      </c>
      <c r="L5" s="160">
        <v>3300</v>
      </c>
      <c r="M5" s="160">
        <v>0.16</v>
      </c>
      <c r="N5" s="160">
        <f t="shared" si="0"/>
        <v>528</v>
      </c>
      <c r="O5" s="160">
        <v>0.08</v>
      </c>
      <c r="P5" s="160">
        <f t="shared" si="1"/>
        <v>264</v>
      </c>
      <c r="Q5" s="160">
        <v>3300</v>
      </c>
      <c r="R5" s="160">
        <v>0.08</v>
      </c>
      <c r="S5" s="160">
        <f t="shared" si="2"/>
        <v>264</v>
      </c>
      <c r="T5" s="160">
        <v>0.02</v>
      </c>
      <c r="U5" s="160">
        <f t="shared" si="3"/>
        <v>66</v>
      </c>
      <c r="V5" s="160">
        <v>3300</v>
      </c>
      <c r="W5" s="160">
        <v>0.007</v>
      </c>
      <c r="X5" s="160">
        <f t="shared" si="4"/>
        <v>23.1</v>
      </c>
      <c r="Y5" s="160">
        <v>0.003</v>
      </c>
      <c r="Z5" s="160">
        <f t="shared" si="5"/>
        <v>9.9</v>
      </c>
      <c r="AA5" s="160"/>
      <c r="AB5" s="160"/>
      <c r="AC5" s="160"/>
      <c r="AD5" s="160">
        <v>3300</v>
      </c>
      <c r="AE5" s="160">
        <v>0.002</v>
      </c>
      <c r="AF5" s="160">
        <f t="shared" si="6"/>
        <v>6.6</v>
      </c>
      <c r="AG5" s="160">
        <v>3000</v>
      </c>
      <c r="AH5" s="160">
        <v>0.1</v>
      </c>
      <c r="AI5" s="160">
        <f>ROUND(AG5*AH5,2)</f>
        <v>300</v>
      </c>
      <c r="AJ5" s="160">
        <v>0.06</v>
      </c>
      <c r="AK5" s="160">
        <f>ROUND(AG5*AJ5,2)</f>
        <v>180</v>
      </c>
      <c r="AL5" s="198"/>
      <c r="AM5" s="160"/>
      <c r="AN5" s="160"/>
      <c r="AO5" s="160"/>
      <c r="AP5" s="161" t="s">
        <v>79</v>
      </c>
      <c r="AQ5" s="203">
        <v>5</v>
      </c>
      <c r="AR5" s="160"/>
      <c r="AS5" s="204">
        <f t="shared" si="7"/>
        <v>826.7</v>
      </c>
      <c r="AT5" s="204">
        <f t="shared" si="8"/>
        <v>339.9</v>
      </c>
      <c r="AU5" s="204">
        <f t="shared" si="9"/>
        <v>300</v>
      </c>
      <c r="AV5" s="204">
        <f t="shared" si="10"/>
        <v>180</v>
      </c>
      <c r="AW5" s="204">
        <f t="shared" si="11"/>
        <v>1646.6</v>
      </c>
      <c r="AX5" s="213">
        <f t="shared" si="12"/>
        <v>1166.6</v>
      </c>
      <c r="AY5" s="213"/>
      <c r="AZ5" s="213">
        <f t="shared" si="13"/>
        <v>480</v>
      </c>
      <c r="BA5" s="213"/>
      <c r="BB5" s="214">
        <v>80</v>
      </c>
      <c r="BC5" s="213">
        <f t="shared" si="14"/>
        <v>1726.6</v>
      </c>
      <c r="BD5" s="215"/>
      <c r="BE5" s="229"/>
      <c r="BF5" s="230"/>
      <c r="BG5" s="230"/>
      <c r="BH5" s="231" t="s">
        <v>79</v>
      </c>
    </row>
    <row r="6" s="149" customFormat="1" ht="18" customHeight="1" spans="1:60">
      <c r="A6" s="160">
        <v>2</v>
      </c>
      <c r="B6" s="161" t="s">
        <v>71</v>
      </c>
      <c r="C6" s="162" t="s">
        <v>82</v>
      </c>
      <c r="D6" s="163" t="s">
        <v>73</v>
      </c>
      <c r="E6" s="161" t="s">
        <v>83</v>
      </c>
      <c r="F6" s="164" t="s">
        <v>84</v>
      </c>
      <c r="G6" s="334" t="s">
        <v>85</v>
      </c>
      <c r="H6" s="163" t="s">
        <v>77</v>
      </c>
      <c r="I6" s="163" t="s">
        <v>86</v>
      </c>
      <c r="J6" s="163" t="s">
        <v>78</v>
      </c>
      <c r="K6" s="163" t="s">
        <v>86</v>
      </c>
      <c r="L6" s="160">
        <v>3803</v>
      </c>
      <c r="M6" s="160">
        <v>0.14</v>
      </c>
      <c r="N6" s="160">
        <f t="shared" si="0"/>
        <v>532.42</v>
      </c>
      <c r="O6" s="160">
        <v>0.08</v>
      </c>
      <c r="P6" s="160">
        <f t="shared" si="1"/>
        <v>304.24</v>
      </c>
      <c r="Q6" s="160">
        <v>6175</v>
      </c>
      <c r="R6" s="160">
        <v>0.055</v>
      </c>
      <c r="S6" s="160">
        <f t="shared" si="2"/>
        <v>339.63</v>
      </c>
      <c r="T6" s="160">
        <v>0.02</v>
      </c>
      <c r="U6" s="160">
        <f t="shared" si="3"/>
        <v>123.5</v>
      </c>
      <c r="V6" s="160">
        <v>3803</v>
      </c>
      <c r="W6" s="160">
        <v>0.0032</v>
      </c>
      <c r="X6" s="160">
        <f t="shared" si="4"/>
        <v>12.17</v>
      </c>
      <c r="Y6" s="160">
        <v>0.002</v>
      </c>
      <c r="Z6" s="160">
        <f t="shared" si="5"/>
        <v>7.61</v>
      </c>
      <c r="AA6" s="160">
        <v>6175</v>
      </c>
      <c r="AB6" s="160">
        <v>0.0085</v>
      </c>
      <c r="AC6" s="160">
        <f t="shared" ref="AC6:AC8" si="15">ROUND(AA6*AB6,2)</f>
        <v>52.49</v>
      </c>
      <c r="AD6" s="160">
        <v>3803</v>
      </c>
      <c r="AE6" s="160">
        <v>0.0016</v>
      </c>
      <c r="AF6" s="160">
        <f t="shared" si="6"/>
        <v>6.08</v>
      </c>
      <c r="AG6" s="160"/>
      <c r="AH6" s="160"/>
      <c r="AI6" s="160"/>
      <c r="AJ6" s="160"/>
      <c r="AK6" s="160"/>
      <c r="AL6" s="198"/>
      <c r="AM6" s="160"/>
      <c r="AN6" s="160"/>
      <c r="AO6" s="160"/>
      <c r="AP6" s="161"/>
      <c r="AQ6" s="203">
        <v>26.76</v>
      </c>
      <c r="AR6" s="160"/>
      <c r="AS6" s="204">
        <f t="shared" si="7"/>
        <v>969.55</v>
      </c>
      <c r="AT6" s="204">
        <f t="shared" si="8"/>
        <v>435.35</v>
      </c>
      <c r="AU6" s="204">
        <f t="shared" si="9"/>
        <v>0</v>
      </c>
      <c r="AV6" s="204">
        <f t="shared" si="10"/>
        <v>0</v>
      </c>
      <c r="AW6" s="204">
        <f t="shared" si="11"/>
        <v>1404.9</v>
      </c>
      <c r="AX6" s="213">
        <f t="shared" si="12"/>
        <v>1404.9</v>
      </c>
      <c r="AY6" s="213"/>
      <c r="AZ6" s="213">
        <f t="shared" si="13"/>
        <v>0</v>
      </c>
      <c r="BA6" s="213"/>
      <c r="BB6" s="214">
        <v>80</v>
      </c>
      <c r="BC6" s="213">
        <f t="shared" si="14"/>
        <v>1484.9</v>
      </c>
      <c r="BD6" s="215"/>
      <c r="BE6" s="232"/>
      <c r="BF6" s="232"/>
      <c r="BG6" s="232"/>
      <c r="BH6" s="232"/>
    </row>
    <row r="7" s="149" customFormat="1" ht="18" customHeight="1" spans="1:60">
      <c r="A7" s="160"/>
      <c r="B7" s="161" t="s">
        <v>71</v>
      </c>
      <c r="C7" s="162" t="s">
        <v>82</v>
      </c>
      <c r="D7" s="163" t="s">
        <v>73</v>
      </c>
      <c r="E7" s="161" t="s">
        <v>83</v>
      </c>
      <c r="F7" s="164" t="s">
        <v>84</v>
      </c>
      <c r="G7" s="334" t="s">
        <v>85</v>
      </c>
      <c r="H7" s="163" t="s">
        <v>77</v>
      </c>
      <c r="I7" s="163" t="s">
        <v>86</v>
      </c>
      <c r="J7" s="163" t="s">
        <v>80</v>
      </c>
      <c r="K7" s="163" t="s">
        <v>86</v>
      </c>
      <c r="L7" s="160">
        <v>3803</v>
      </c>
      <c r="M7" s="160">
        <v>0.14</v>
      </c>
      <c r="N7" s="160">
        <f t="shared" si="0"/>
        <v>532.42</v>
      </c>
      <c r="O7" s="160">
        <v>0.08</v>
      </c>
      <c r="P7" s="160">
        <f t="shared" si="1"/>
        <v>304.24</v>
      </c>
      <c r="Q7" s="160">
        <v>6175</v>
      </c>
      <c r="R7" s="160">
        <v>0.055</v>
      </c>
      <c r="S7" s="160">
        <f t="shared" si="2"/>
        <v>339.63</v>
      </c>
      <c r="T7" s="160">
        <v>0.02</v>
      </c>
      <c r="U7" s="160">
        <f t="shared" si="3"/>
        <v>123.5</v>
      </c>
      <c r="V7" s="160">
        <v>3803</v>
      </c>
      <c r="W7" s="160">
        <v>0.0032</v>
      </c>
      <c r="X7" s="160">
        <f t="shared" si="4"/>
        <v>12.17</v>
      </c>
      <c r="Y7" s="160">
        <v>0.002</v>
      </c>
      <c r="Z7" s="160">
        <f t="shared" si="5"/>
        <v>7.61</v>
      </c>
      <c r="AA7" s="160">
        <v>6175</v>
      </c>
      <c r="AB7" s="160">
        <v>0.0085</v>
      </c>
      <c r="AC7" s="160">
        <f t="shared" si="15"/>
        <v>52.49</v>
      </c>
      <c r="AD7" s="160">
        <v>3803</v>
      </c>
      <c r="AE7" s="160">
        <v>0.0016</v>
      </c>
      <c r="AF7" s="160">
        <f t="shared" si="6"/>
        <v>6.08</v>
      </c>
      <c r="AG7" s="160"/>
      <c r="AH7" s="160"/>
      <c r="AI7" s="160"/>
      <c r="AJ7" s="160"/>
      <c r="AK7" s="160"/>
      <c r="AL7" s="198"/>
      <c r="AM7" s="160"/>
      <c r="AN7" s="160"/>
      <c r="AO7" s="160"/>
      <c r="AP7" s="161"/>
      <c r="AQ7" s="203">
        <v>26.76</v>
      </c>
      <c r="AR7" s="160"/>
      <c r="AS7" s="204">
        <f t="shared" si="7"/>
        <v>969.55</v>
      </c>
      <c r="AT7" s="204">
        <f t="shared" si="8"/>
        <v>435.35</v>
      </c>
      <c r="AU7" s="204">
        <f t="shared" si="9"/>
        <v>0</v>
      </c>
      <c r="AV7" s="204">
        <f t="shared" si="10"/>
        <v>0</v>
      </c>
      <c r="AW7" s="204">
        <f t="shared" si="11"/>
        <v>1404.9</v>
      </c>
      <c r="AX7" s="213">
        <f t="shared" si="12"/>
        <v>1404.9</v>
      </c>
      <c r="AY7" s="213"/>
      <c r="AZ7" s="213">
        <f t="shared" si="13"/>
        <v>0</v>
      </c>
      <c r="BA7" s="213"/>
      <c r="BB7" s="214">
        <v>80</v>
      </c>
      <c r="BC7" s="213">
        <f t="shared" si="14"/>
        <v>1484.9</v>
      </c>
      <c r="BD7" s="215"/>
      <c r="BE7" s="232"/>
      <c r="BF7" s="232"/>
      <c r="BG7" s="232"/>
      <c r="BH7" s="232"/>
    </row>
    <row r="8" s="149" customFormat="1" ht="18" customHeight="1" spans="1:60">
      <c r="A8" s="160"/>
      <c r="B8" s="161" t="s">
        <v>71</v>
      </c>
      <c r="C8" s="162" t="s">
        <v>82</v>
      </c>
      <c r="D8" s="163" t="s">
        <v>73</v>
      </c>
      <c r="E8" s="161" t="s">
        <v>83</v>
      </c>
      <c r="F8" s="164" t="s">
        <v>84</v>
      </c>
      <c r="G8" s="334" t="s">
        <v>85</v>
      </c>
      <c r="H8" s="163" t="s">
        <v>77</v>
      </c>
      <c r="I8" s="163" t="s">
        <v>86</v>
      </c>
      <c r="J8" s="163" t="s">
        <v>81</v>
      </c>
      <c r="K8" s="163" t="s">
        <v>86</v>
      </c>
      <c r="L8" s="160">
        <v>3803</v>
      </c>
      <c r="M8" s="160">
        <v>0.14</v>
      </c>
      <c r="N8" s="160">
        <f t="shared" si="0"/>
        <v>532.42</v>
      </c>
      <c r="O8" s="160">
        <v>0.08</v>
      </c>
      <c r="P8" s="160">
        <f t="shared" si="1"/>
        <v>304.24</v>
      </c>
      <c r="Q8" s="160">
        <v>6175</v>
      </c>
      <c r="R8" s="160">
        <v>0.055</v>
      </c>
      <c r="S8" s="160">
        <f t="shared" si="2"/>
        <v>339.63</v>
      </c>
      <c r="T8" s="160">
        <v>0.02</v>
      </c>
      <c r="U8" s="160">
        <f t="shared" si="3"/>
        <v>123.5</v>
      </c>
      <c r="V8" s="160">
        <v>3803</v>
      </c>
      <c r="W8" s="160">
        <v>0.0032</v>
      </c>
      <c r="X8" s="160">
        <f t="shared" si="4"/>
        <v>12.17</v>
      </c>
      <c r="Y8" s="160">
        <v>0.002</v>
      </c>
      <c r="Z8" s="160">
        <f t="shared" si="5"/>
        <v>7.61</v>
      </c>
      <c r="AA8" s="160">
        <v>6175</v>
      </c>
      <c r="AB8" s="160">
        <v>0.0085</v>
      </c>
      <c r="AC8" s="160">
        <f t="shared" si="15"/>
        <v>52.49</v>
      </c>
      <c r="AD8" s="160">
        <v>3803</v>
      </c>
      <c r="AE8" s="160">
        <v>0.0016</v>
      </c>
      <c r="AF8" s="160">
        <f t="shared" si="6"/>
        <v>6.08</v>
      </c>
      <c r="AG8" s="160"/>
      <c r="AH8" s="160"/>
      <c r="AI8" s="160"/>
      <c r="AJ8" s="160"/>
      <c r="AK8" s="160"/>
      <c r="AL8" s="198"/>
      <c r="AM8" s="160"/>
      <c r="AN8" s="160"/>
      <c r="AO8" s="160"/>
      <c r="AP8" s="161"/>
      <c r="AQ8" s="203">
        <v>26.76</v>
      </c>
      <c r="AR8" s="160"/>
      <c r="AS8" s="204">
        <f t="shared" si="7"/>
        <v>969.55</v>
      </c>
      <c r="AT8" s="204">
        <f t="shared" si="8"/>
        <v>435.35</v>
      </c>
      <c r="AU8" s="204">
        <f t="shared" si="9"/>
        <v>0</v>
      </c>
      <c r="AV8" s="204">
        <f t="shared" si="10"/>
        <v>0</v>
      </c>
      <c r="AW8" s="204">
        <f t="shared" si="11"/>
        <v>1404.9</v>
      </c>
      <c r="AX8" s="213">
        <f t="shared" si="12"/>
        <v>1404.9</v>
      </c>
      <c r="AY8" s="213"/>
      <c r="AZ8" s="213">
        <f t="shared" si="13"/>
        <v>0</v>
      </c>
      <c r="BA8" s="213"/>
      <c r="BB8" s="214">
        <v>80</v>
      </c>
      <c r="BC8" s="213">
        <f t="shared" si="14"/>
        <v>1484.9</v>
      </c>
      <c r="BD8" s="215"/>
      <c r="BE8" s="232"/>
      <c r="BF8" s="232"/>
      <c r="BG8" s="232"/>
      <c r="BH8" s="232"/>
    </row>
    <row r="9" s="150" customFormat="1" ht="18" customHeight="1" spans="1:60">
      <c r="A9" s="166" t="s">
        <v>87</v>
      </c>
      <c r="B9" s="167" t="s">
        <v>71</v>
      </c>
      <c r="C9" s="168" t="s">
        <v>82</v>
      </c>
      <c r="D9" s="169" t="s">
        <v>73</v>
      </c>
      <c r="E9" s="167" t="s">
        <v>83</v>
      </c>
      <c r="F9" s="170" t="s">
        <v>84</v>
      </c>
      <c r="G9" s="335" t="s">
        <v>85</v>
      </c>
      <c r="H9" s="169" t="s">
        <v>77</v>
      </c>
      <c r="I9" s="169" t="s">
        <v>86</v>
      </c>
      <c r="J9" s="169" t="s">
        <v>88</v>
      </c>
      <c r="K9" s="169" t="s">
        <v>86</v>
      </c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97">
        <f t="shared" ref="AD9:AD11" si="16">3803-3000</f>
        <v>803</v>
      </c>
      <c r="AE9" s="197">
        <v>0.0016</v>
      </c>
      <c r="AF9" s="197">
        <f t="shared" si="6"/>
        <v>1.28</v>
      </c>
      <c r="AG9" s="166"/>
      <c r="AH9" s="166"/>
      <c r="AI9" s="166"/>
      <c r="AJ9" s="166"/>
      <c r="AK9" s="166"/>
      <c r="AL9" s="199"/>
      <c r="AM9" s="166"/>
      <c r="AN9" s="166"/>
      <c r="AO9" s="166"/>
      <c r="AP9" s="167"/>
      <c r="AQ9" s="205"/>
      <c r="AR9" s="166"/>
      <c r="AS9" s="206">
        <f t="shared" si="7"/>
        <v>1.28</v>
      </c>
      <c r="AT9" s="206">
        <f t="shared" si="8"/>
        <v>0</v>
      </c>
      <c r="AU9" s="206">
        <f t="shared" si="9"/>
        <v>0</v>
      </c>
      <c r="AV9" s="206">
        <f t="shared" si="10"/>
        <v>0</v>
      </c>
      <c r="AW9" s="206">
        <f t="shared" si="11"/>
        <v>1.28</v>
      </c>
      <c r="AX9" s="216">
        <f t="shared" si="12"/>
        <v>1.28</v>
      </c>
      <c r="AY9" s="216"/>
      <c r="AZ9" s="216"/>
      <c r="BA9" s="216"/>
      <c r="BB9" s="217"/>
      <c r="BC9" s="216">
        <f t="shared" si="14"/>
        <v>1.28</v>
      </c>
      <c r="BD9" s="218" t="s">
        <v>89</v>
      </c>
      <c r="BE9" s="233"/>
      <c r="BF9" s="233"/>
      <c r="BG9" s="233"/>
      <c r="BH9" s="233"/>
    </row>
    <row r="10" s="150" customFormat="1" ht="18" customHeight="1" spans="1:60">
      <c r="A10" s="166" t="s">
        <v>87</v>
      </c>
      <c r="B10" s="167" t="s">
        <v>71</v>
      </c>
      <c r="C10" s="168" t="s">
        <v>82</v>
      </c>
      <c r="D10" s="169" t="s">
        <v>73</v>
      </c>
      <c r="E10" s="167" t="s">
        <v>83</v>
      </c>
      <c r="F10" s="170" t="s">
        <v>84</v>
      </c>
      <c r="G10" s="335" t="s">
        <v>85</v>
      </c>
      <c r="H10" s="169" t="s">
        <v>77</v>
      </c>
      <c r="I10" s="169" t="s">
        <v>86</v>
      </c>
      <c r="J10" s="169" t="s">
        <v>90</v>
      </c>
      <c r="K10" s="169" t="s">
        <v>86</v>
      </c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97">
        <f t="shared" si="16"/>
        <v>803</v>
      </c>
      <c r="AE10" s="197">
        <v>0.0016</v>
      </c>
      <c r="AF10" s="197">
        <f t="shared" si="6"/>
        <v>1.28</v>
      </c>
      <c r="AG10" s="166"/>
      <c r="AH10" s="166"/>
      <c r="AI10" s="166"/>
      <c r="AJ10" s="166"/>
      <c r="AK10" s="166"/>
      <c r="AL10" s="199"/>
      <c r="AM10" s="166"/>
      <c r="AN10" s="166"/>
      <c r="AO10" s="166"/>
      <c r="AP10" s="167"/>
      <c r="AQ10" s="205"/>
      <c r="AR10" s="166"/>
      <c r="AS10" s="206">
        <f t="shared" si="7"/>
        <v>1.28</v>
      </c>
      <c r="AT10" s="206">
        <f t="shared" si="8"/>
        <v>0</v>
      </c>
      <c r="AU10" s="206">
        <f t="shared" si="9"/>
        <v>0</v>
      </c>
      <c r="AV10" s="206">
        <f t="shared" si="10"/>
        <v>0</v>
      </c>
      <c r="AW10" s="206">
        <f t="shared" si="11"/>
        <v>1.28</v>
      </c>
      <c r="AX10" s="216">
        <f t="shared" si="12"/>
        <v>1.28</v>
      </c>
      <c r="AY10" s="216"/>
      <c r="AZ10" s="216"/>
      <c r="BA10" s="216"/>
      <c r="BB10" s="217"/>
      <c r="BC10" s="216">
        <f t="shared" si="14"/>
        <v>1.28</v>
      </c>
      <c r="BD10" s="218" t="s">
        <v>89</v>
      </c>
      <c r="BE10" s="233"/>
      <c r="BF10" s="233"/>
      <c r="BG10" s="233"/>
      <c r="BH10" s="233"/>
    </row>
    <row r="11" s="150" customFormat="1" ht="18" customHeight="1" spans="1:60">
      <c r="A11" s="166" t="s">
        <v>87</v>
      </c>
      <c r="B11" s="167" t="s">
        <v>71</v>
      </c>
      <c r="C11" s="168" t="s">
        <v>82</v>
      </c>
      <c r="D11" s="169" t="s">
        <v>73</v>
      </c>
      <c r="E11" s="167" t="s">
        <v>83</v>
      </c>
      <c r="F11" s="170" t="s">
        <v>84</v>
      </c>
      <c r="G11" s="335" t="s">
        <v>85</v>
      </c>
      <c r="H11" s="169" t="s">
        <v>77</v>
      </c>
      <c r="I11" s="169" t="s">
        <v>86</v>
      </c>
      <c r="J11" s="169" t="s">
        <v>91</v>
      </c>
      <c r="K11" s="169" t="s">
        <v>86</v>
      </c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97">
        <f t="shared" si="16"/>
        <v>803</v>
      </c>
      <c r="AE11" s="197">
        <v>0.0016</v>
      </c>
      <c r="AF11" s="197">
        <f t="shared" si="6"/>
        <v>1.28</v>
      </c>
      <c r="AG11" s="166"/>
      <c r="AH11" s="166"/>
      <c r="AI11" s="166"/>
      <c r="AJ11" s="166"/>
      <c r="AK11" s="166"/>
      <c r="AL11" s="199"/>
      <c r="AM11" s="166"/>
      <c r="AN11" s="166"/>
      <c r="AO11" s="166"/>
      <c r="AP11" s="167"/>
      <c r="AQ11" s="205"/>
      <c r="AR11" s="166"/>
      <c r="AS11" s="206">
        <f t="shared" si="7"/>
        <v>1.28</v>
      </c>
      <c r="AT11" s="206">
        <f t="shared" si="8"/>
        <v>0</v>
      </c>
      <c r="AU11" s="206">
        <f t="shared" si="9"/>
        <v>0</v>
      </c>
      <c r="AV11" s="206">
        <f t="shared" si="10"/>
        <v>0</v>
      </c>
      <c r="AW11" s="206">
        <f t="shared" si="11"/>
        <v>1.28</v>
      </c>
      <c r="AX11" s="216">
        <f t="shared" si="12"/>
        <v>1.28</v>
      </c>
      <c r="AY11" s="216"/>
      <c r="AZ11" s="216"/>
      <c r="BA11" s="216"/>
      <c r="BB11" s="217"/>
      <c r="BC11" s="216">
        <f t="shared" si="14"/>
        <v>1.28</v>
      </c>
      <c r="BD11" s="218" t="s">
        <v>89</v>
      </c>
      <c r="BE11" s="233"/>
      <c r="BF11" s="233"/>
      <c r="BG11" s="233"/>
      <c r="BH11" s="233"/>
    </row>
    <row r="12" s="149" customFormat="1" ht="18" customHeight="1" spans="1:60">
      <c r="A12" s="160">
        <v>3</v>
      </c>
      <c r="B12" s="161" t="s">
        <v>71</v>
      </c>
      <c r="C12" s="162" t="s">
        <v>92</v>
      </c>
      <c r="D12" s="163" t="s">
        <v>73</v>
      </c>
      <c r="E12" s="161" t="s">
        <v>83</v>
      </c>
      <c r="F12" s="164" t="s">
        <v>93</v>
      </c>
      <c r="G12" s="165" t="s">
        <v>94</v>
      </c>
      <c r="H12" s="163" t="s">
        <v>95</v>
      </c>
      <c r="I12" s="163" t="s">
        <v>95</v>
      </c>
      <c r="J12" s="163" t="s">
        <v>80</v>
      </c>
      <c r="K12" s="163" t="s">
        <v>80</v>
      </c>
      <c r="L12" s="160">
        <v>3053.05</v>
      </c>
      <c r="M12" s="160">
        <v>0.16</v>
      </c>
      <c r="N12" s="160">
        <f t="shared" ref="N12:N15" si="17">ROUND(L12*M12,2)</f>
        <v>488.49</v>
      </c>
      <c r="O12" s="160">
        <v>0.08</v>
      </c>
      <c r="P12" s="160">
        <f t="shared" ref="P12:P15" si="18">ROUND(L12*O12,2)</f>
        <v>244.24</v>
      </c>
      <c r="Q12" s="160">
        <v>3053.05</v>
      </c>
      <c r="R12" s="160">
        <v>0.06</v>
      </c>
      <c r="S12" s="160">
        <f t="shared" ref="S12:S15" si="19">ROUND(Q12*R12,2)</f>
        <v>183.18</v>
      </c>
      <c r="T12" s="160">
        <v>0.02</v>
      </c>
      <c r="U12" s="160">
        <f t="shared" ref="U12:U15" si="20">ROUND(Q12*T12,2)</f>
        <v>61.06</v>
      </c>
      <c r="V12" s="160">
        <v>3053.05</v>
      </c>
      <c r="W12" s="160">
        <v>0.007</v>
      </c>
      <c r="X12" s="160">
        <f t="shared" ref="X12:X15" si="21">ROUND(V12*W12,2)</f>
        <v>21.37</v>
      </c>
      <c r="Y12" s="160">
        <v>0.003</v>
      </c>
      <c r="Z12" s="160">
        <f t="shared" ref="Z12:Z15" si="22">ROUND(V12*Y12,2)</f>
        <v>9.16</v>
      </c>
      <c r="AA12" s="160">
        <v>3053.05</v>
      </c>
      <c r="AB12" s="160">
        <v>0.007</v>
      </c>
      <c r="AC12" s="160">
        <f t="shared" ref="AC12:AC15" si="23">ROUND(AA12*AB12,2)</f>
        <v>21.37</v>
      </c>
      <c r="AD12" s="160">
        <v>3053.05</v>
      </c>
      <c r="AE12" s="160">
        <v>0.002</v>
      </c>
      <c r="AF12" s="160">
        <f t="shared" si="6"/>
        <v>6.11</v>
      </c>
      <c r="AG12" s="160" t="s">
        <v>96</v>
      </c>
      <c r="AH12" s="160">
        <v>0.05</v>
      </c>
      <c r="AI12" s="160">
        <f t="shared" ref="AI12:AI15" si="24">ROUND(AG12*AH12,2)</f>
        <v>79</v>
      </c>
      <c r="AJ12" s="160">
        <v>0.05</v>
      </c>
      <c r="AK12" s="160">
        <f t="shared" ref="AK12:AK15" si="25">ROUND(AG12*AJ12,2)</f>
        <v>79</v>
      </c>
      <c r="AL12" s="198"/>
      <c r="AM12" s="160"/>
      <c r="AN12" s="160"/>
      <c r="AO12" s="160"/>
      <c r="AP12" s="161"/>
      <c r="AQ12" s="203"/>
      <c r="AR12" s="160">
        <v>96</v>
      </c>
      <c r="AS12" s="204">
        <f t="shared" si="7"/>
        <v>720.52</v>
      </c>
      <c r="AT12" s="204">
        <f t="shared" si="8"/>
        <v>314.46</v>
      </c>
      <c r="AU12" s="204">
        <f t="shared" si="9"/>
        <v>79</v>
      </c>
      <c r="AV12" s="204">
        <f t="shared" si="10"/>
        <v>79</v>
      </c>
      <c r="AW12" s="204">
        <f t="shared" si="11"/>
        <v>1192.98</v>
      </c>
      <c r="AX12" s="213">
        <f t="shared" si="12"/>
        <v>1034.98</v>
      </c>
      <c r="AY12" s="213"/>
      <c r="AZ12" s="213">
        <f t="shared" ref="AZ12:AZ15" si="26">AU12+AV12</f>
        <v>158</v>
      </c>
      <c r="BA12" s="213"/>
      <c r="BB12" s="214">
        <v>80</v>
      </c>
      <c r="BC12" s="213">
        <f t="shared" si="14"/>
        <v>1272.98</v>
      </c>
      <c r="BD12" s="215"/>
      <c r="BE12" s="232"/>
      <c r="BF12" s="232"/>
      <c r="BG12" s="232"/>
      <c r="BH12" s="232"/>
    </row>
    <row r="13" s="149" customFormat="1" ht="18" customHeight="1" spans="1:60">
      <c r="A13" s="160"/>
      <c r="B13" s="161" t="s">
        <v>71</v>
      </c>
      <c r="C13" s="162" t="s">
        <v>92</v>
      </c>
      <c r="D13" s="163" t="s">
        <v>73</v>
      </c>
      <c r="E13" s="161" t="s">
        <v>83</v>
      </c>
      <c r="F13" s="164" t="s">
        <v>93</v>
      </c>
      <c r="G13" s="165" t="s">
        <v>94</v>
      </c>
      <c r="H13" s="163" t="s">
        <v>95</v>
      </c>
      <c r="I13" s="163" t="s">
        <v>95</v>
      </c>
      <c r="J13" s="163" t="s">
        <v>81</v>
      </c>
      <c r="K13" s="163" t="s">
        <v>81</v>
      </c>
      <c r="L13" s="160">
        <v>3053.05</v>
      </c>
      <c r="M13" s="160">
        <v>0.16</v>
      </c>
      <c r="N13" s="160">
        <f t="shared" si="17"/>
        <v>488.49</v>
      </c>
      <c r="O13" s="160">
        <v>0.08</v>
      </c>
      <c r="P13" s="160">
        <f t="shared" si="18"/>
        <v>244.24</v>
      </c>
      <c r="Q13" s="160">
        <v>3053.05</v>
      </c>
      <c r="R13" s="160">
        <v>0.06</v>
      </c>
      <c r="S13" s="160">
        <f t="shared" si="19"/>
        <v>183.18</v>
      </c>
      <c r="T13" s="160">
        <v>0.02</v>
      </c>
      <c r="U13" s="160">
        <f t="shared" si="20"/>
        <v>61.06</v>
      </c>
      <c r="V13" s="160">
        <v>3053.05</v>
      </c>
      <c r="W13" s="160">
        <v>0.007</v>
      </c>
      <c r="X13" s="160">
        <f t="shared" si="21"/>
        <v>21.37</v>
      </c>
      <c r="Y13" s="160">
        <v>0.003</v>
      </c>
      <c r="Z13" s="160">
        <f t="shared" si="22"/>
        <v>9.16</v>
      </c>
      <c r="AA13" s="160">
        <v>3053.05</v>
      </c>
      <c r="AB13" s="160">
        <v>0.007</v>
      </c>
      <c r="AC13" s="160">
        <f t="shared" si="23"/>
        <v>21.37</v>
      </c>
      <c r="AD13" s="160">
        <v>3053.05</v>
      </c>
      <c r="AE13" s="160">
        <v>0.002</v>
      </c>
      <c r="AF13" s="160">
        <f t="shared" si="6"/>
        <v>6.11</v>
      </c>
      <c r="AG13" s="160" t="s">
        <v>96</v>
      </c>
      <c r="AH13" s="160">
        <v>0.05</v>
      </c>
      <c r="AI13" s="160">
        <f t="shared" si="24"/>
        <v>79</v>
      </c>
      <c r="AJ13" s="160">
        <v>0.05</v>
      </c>
      <c r="AK13" s="160">
        <f t="shared" si="25"/>
        <v>79</v>
      </c>
      <c r="AL13" s="198"/>
      <c r="AM13" s="160"/>
      <c r="AN13" s="160"/>
      <c r="AO13" s="160"/>
      <c r="AP13" s="161"/>
      <c r="AQ13" s="203"/>
      <c r="AR13" s="203"/>
      <c r="AS13" s="204">
        <f t="shared" si="7"/>
        <v>720.52</v>
      </c>
      <c r="AT13" s="204">
        <f t="shared" si="8"/>
        <v>314.46</v>
      </c>
      <c r="AU13" s="204">
        <f t="shared" si="9"/>
        <v>79</v>
      </c>
      <c r="AV13" s="204">
        <f t="shared" si="10"/>
        <v>79</v>
      </c>
      <c r="AW13" s="204">
        <f t="shared" si="11"/>
        <v>1192.98</v>
      </c>
      <c r="AX13" s="213">
        <f t="shared" si="12"/>
        <v>1034.98</v>
      </c>
      <c r="AY13" s="213"/>
      <c r="AZ13" s="213">
        <f t="shared" si="26"/>
        <v>158</v>
      </c>
      <c r="BA13" s="213"/>
      <c r="BB13" s="214">
        <v>80</v>
      </c>
      <c r="BC13" s="213">
        <f t="shared" si="14"/>
        <v>1272.98</v>
      </c>
      <c r="BD13" s="215"/>
      <c r="BE13" s="232"/>
      <c r="BF13" s="232"/>
      <c r="BG13" s="232"/>
      <c r="BH13" s="232"/>
    </row>
    <row r="14" s="149" customFormat="1" ht="18" customHeight="1" spans="1:60">
      <c r="A14" s="160"/>
      <c r="B14" s="161" t="s">
        <v>71</v>
      </c>
      <c r="C14" s="162" t="s">
        <v>92</v>
      </c>
      <c r="D14" s="163" t="s">
        <v>73</v>
      </c>
      <c r="E14" s="161" t="s">
        <v>83</v>
      </c>
      <c r="F14" s="164" t="s">
        <v>93</v>
      </c>
      <c r="G14" s="165" t="s">
        <v>94</v>
      </c>
      <c r="H14" s="163" t="s">
        <v>95</v>
      </c>
      <c r="I14" s="163" t="s">
        <v>95</v>
      </c>
      <c r="J14" s="163" t="s">
        <v>97</v>
      </c>
      <c r="K14" s="163" t="s">
        <v>97</v>
      </c>
      <c r="L14" s="160">
        <v>3053.05</v>
      </c>
      <c r="M14" s="160">
        <v>0.16</v>
      </c>
      <c r="N14" s="160">
        <f t="shared" si="17"/>
        <v>488.49</v>
      </c>
      <c r="O14" s="160">
        <v>0.08</v>
      </c>
      <c r="P14" s="160">
        <f t="shared" si="18"/>
        <v>244.24</v>
      </c>
      <c r="Q14" s="160">
        <v>3053.05</v>
      </c>
      <c r="R14" s="160">
        <v>0.06</v>
      </c>
      <c r="S14" s="160">
        <f t="shared" si="19"/>
        <v>183.18</v>
      </c>
      <c r="T14" s="160">
        <v>0.02</v>
      </c>
      <c r="U14" s="160">
        <f t="shared" si="20"/>
        <v>61.06</v>
      </c>
      <c r="V14" s="160">
        <v>3053.05</v>
      </c>
      <c r="W14" s="160">
        <v>0.007</v>
      </c>
      <c r="X14" s="160">
        <f t="shared" si="21"/>
        <v>21.37</v>
      </c>
      <c r="Y14" s="160">
        <v>0.003</v>
      </c>
      <c r="Z14" s="160">
        <f t="shared" si="22"/>
        <v>9.16</v>
      </c>
      <c r="AA14" s="160">
        <v>3053.05</v>
      </c>
      <c r="AB14" s="160">
        <v>0.007</v>
      </c>
      <c r="AC14" s="160">
        <f t="shared" si="23"/>
        <v>21.37</v>
      </c>
      <c r="AD14" s="160">
        <v>3053.05</v>
      </c>
      <c r="AE14" s="160">
        <v>0.002</v>
      </c>
      <c r="AF14" s="160">
        <f t="shared" si="6"/>
        <v>6.11</v>
      </c>
      <c r="AG14" s="160" t="s">
        <v>96</v>
      </c>
      <c r="AH14" s="160">
        <v>0.05</v>
      </c>
      <c r="AI14" s="160">
        <f t="shared" si="24"/>
        <v>79</v>
      </c>
      <c r="AJ14" s="160">
        <v>0.05</v>
      </c>
      <c r="AK14" s="160">
        <f t="shared" si="25"/>
        <v>79</v>
      </c>
      <c r="AL14" s="198"/>
      <c r="AM14" s="160"/>
      <c r="AN14" s="160"/>
      <c r="AO14" s="160"/>
      <c r="AP14" s="161"/>
      <c r="AQ14" s="203"/>
      <c r="AR14" s="203"/>
      <c r="AS14" s="204">
        <f t="shared" si="7"/>
        <v>720.52</v>
      </c>
      <c r="AT14" s="204">
        <f t="shared" si="8"/>
        <v>314.46</v>
      </c>
      <c r="AU14" s="204">
        <f t="shared" si="9"/>
        <v>79</v>
      </c>
      <c r="AV14" s="204">
        <f t="shared" si="10"/>
        <v>79</v>
      </c>
      <c r="AW14" s="204">
        <f t="shared" si="11"/>
        <v>1192.98</v>
      </c>
      <c r="AX14" s="213">
        <f t="shared" si="12"/>
        <v>1034.98</v>
      </c>
      <c r="AY14" s="213"/>
      <c r="AZ14" s="213">
        <f t="shared" si="26"/>
        <v>158</v>
      </c>
      <c r="BA14" s="213"/>
      <c r="BB14" s="214">
        <v>80</v>
      </c>
      <c r="BC14" s="213">
        <f t="shared" si="14"/>
        <v>1272.98</v>
      </c>
      <c r="BD14" s="215"/>
      <c r="BE14" s="232"/>
      <c r="BF14" s="232"/>
      <c r="BG14" s="232"/>
      <c r="BH14" s="232"/>
    </row>
    <row r="15" s="150" customFormat="1" ht="18" customHeight="1" spans="1:60">
      <c r="A15" s="166" t="s">
        <v>87</v>
      </c>
      <c r="B15" s="167" t="s">
        <v>71</v>
      </c>
      <c r="C15" s="168" t="s">
        <v>92</v>
      </c>
      <c r="D15" s="169" t="s">
        <v>73</v>
      </c>
      <c r="E15" s="167" t="s">
        <v>83</v>
      </c>
      <c r="F15" s="170" t="s">
        <v>93</v>
      </c>
      <c r="G15" s="171" t="s">
        <v>94</v>
      </c>
      <c r="H15" s="169" t="s">
        <v>95</v>
      </c>
      <c r="I15" s="169" t="s">
        <v>95</v>
      </c>
      <c r="J15" s="169" t="s">
        <v>95</v>
      </c>
      <c r="K15" s="169" t="s">
        <v>95</v>
      </c>
      <c r="L15" s="166">
        <v>3053.05</v>
      </c>
      <c r="M15" s="166">
        <v>0.16</v>
      </c>
      <c r="N15" s="166">
        <f t="shared" si="17"/>
        <v>488.49</v>
      </c>
      <c r="O15" s="166">
        <v>0.08</v>
      </c>
      <c r="P15" s="166">
        <f t="shared" si="18"/>
        <v>244.24</v>
      </c>
      <c r="Q15" s="166">
        <v>3053.05</v>
      </c>
      <c r="R15" s="166">
        <v>0.06</v>
      </c>
      <c r="S15" s="166">
        <f t="shared" si="19"/>
        <v>183.18</v>
      </c>
      <c r="T15" s="166">
        <v>0.02</v>
      </c>
      <c r="U15" s="166">
        <f t="shared" si="20"/>
        <v>61.06</v>
      </c>
      <c r="V15" s="166">
        <v>3053.05</v>
      </c>
      <c r="W15" s="166">
        <v>0.007</v>
      </c>
      <c r="X15" s="166">
        <f t="shared" si="21"/>
        <v>21.37</v>
      </c>
      <c r="Y15" s="166">
        <v>0.003</v>
      </c>
      <c r="Z15" s="166">
        <f t="shared" si="22"/>
        <v>9.16</v>
      </c>
      <c r="AA15" s="166">
        <v>3053.05</v>
      </c>
      <c r="AB15" s="166">
        <v>0.007</v>
      </c>
      <c r="AC15" s="166">
        <f t="shared" si="23"/>
        <v>21.37</v>
      </c>
      <c r="AD15" s="166">
        <v>3053.05</v>
      </c>
      <c r="AE15" s="166">
        <v>0.002</v>
      </c>
      <c r="AF15" s="166">
        <f t="shared" si="6"/>
        <v>6.11</v>
      </c>
      <c r="AG15" s="166" t="s">
        <v>96</v>
      </c>
      <c r="AH15" s="166">
        <v>0.05</v>
      </c>
      <c r="AI15" s="166">
        <f t="shared" si="24"/>
        <v>79</v>
      </c>
      <c r="AJ15" s="166">
        <v>0.05</v>
      </c>
      <c r="AK15" s="166">
        <f t="shared" si="25"/>
        <v>79</v>
      </c>
      <c r="AL15" s="199"/>
      <c r="AM15" s="166"/>
      <c r="AN15" s="166"/>
      <c r="AO15" s="166"/>
      <c r="AP15" s="167"/>
      <c r="AQ15" s="205"/>
      <c r="AR15" s="205"/>
      <c r="AS15" s="206">
        <f t="shared" si="7"/>
        <v>720.52</v>
      </c>
      <c r="AT15" s="206">
        <f t="shared" si="8"/>
        <v>314.46</v>
      </c>
      <c r="AU15" s="206">
        <f t="shared" si="9"/>
        <v>79</v>
      </c>
      <c r="AV15" s="206">
        <f t="shared" si="10"/>
        <v>79</v>
      </c>
      <c r="AW15" s="206">
        <f t="shared" si="11"/>
        <v>1192.98</v>
      </c>
      <c r="AX15" s="216">
        <f t="shared" si="12"/>
        <v>1034.98</v>
      </c>
      <c r="AY15" s="216"/>
      <c r="AZ15" s="216">
        <f t="shared" si="26"/>
        <v>158</v>
      </c>
      <c r="BA15" s="216"/>
      <c r="BB15" s="217">
        <v>80</v>
      </c>
      <c r="BC15" s="216">
        <f t="shared" si="14"/>
        <v>1272.98</v>
      </c>
      <c r="BD15" s="218"/>
      <c r="BE15" s="233"/>
      <c r="BF15" s="233"/>
      <c r="BG15" s="233"/>
      <c r="BH15" s="233"/>
    </row>
    <row r="16" s="151" customFormat="1" ht="18" customHeight="1" spans="1:60">
      <c r="A16" s="172"/>
      <c r="B16" s="173"/>
      <c r="C16" s="174"/>
      <c r="D16" s="175"/>
      <c r="E16" s="176"/>
      <c r="F16" s="177"/>
      <c r="G16" s="178"/>
      <c r="H16" s="179"/>
      <c r="I16" s="175"/>
      <c r="J16" s="179"/>
      <c r="K16" s="179"/>
      <c r="L16" s="192"/>
      <c r="M16" s="192"/>
      <c r="N16" s="193"/>
      <c r="O16" s="192"/>
      <c r="P16" s="192"/>
      <c r="Q16" s="192"/>
      <c r="R16" s="192"/>
      <c r="S16" s="192"/>
      <c r="T16" s="192"/>
      <c r="U16" s="192"/>
      <c r="V16" s="195"/>
      <c r="W16" s="195"/>
      <c r="X16" s="196"/>
      <c r="Y16" s="195"/>
      <c r="Z16" s="192"/>
      <c r="AA16" s="192"/>
      <c r="AB16" s="192"/>
      <c r="AC16" s="192"/>
      <c r="AD16" s="192"/>
      <c r="AE16" s="192"/>
      <c r="AF16" s="193"/>
      <c r="AG16" s="192"/>
      <c r="AH16" s="192"/>
      <c r="AI16" s="192"/>
      <c r="AJ16" s="192"/>
      <c r="AK16" s="192"/>
      <c r="AL16" s="200"/>
      <c r="AM16" s="192"/>
      <c r="AN16" s="192"/>
      <c r="AO16" s="192"/>
      <c r="AP16" s="207"/>
      <c r="AQ16" s="208"/>
      <c r="AR16" s="192"/>
      <c r="AS16" s="209"/>
      <c r="AT16" s="209"/>
      <c r="AU16" s="209"/>
      <c r="AV16" s="209"/>
      <c r="AW16" s="209"/>
      <c r="AX16" s="219"/>
      <c r="AY16" s="220"/>
      <c r="AZ16" s="219"/>
      <c r="BA16" s="220"/>
      <c r="BB16" s="221"/>
      <c r="BC16" s="219"/>
      <c r="BD16" s="222"/>
      <c r="BE16" s="148"/>
      <c r="BF16" s="148"/>
      <c r="BG16" s="148"/>
      <c r="BH16" s="148"/>
    </row>
    <row r="17" s="148" customFormat="1" ht="14.25" spans="1:56">
      <c r="A17" s="180" t="s">
        <v>98</v>
      </c>
      <c r="B17" s="181"/>
      <c r="C17" s="182"/>
      <c r="D17" s="182"/>
      <c r="E17" s="183"/>
      <c r="F17" s="182"/>
      <c r="G17" s="182"/>
      <c r="H17" s="182"/>
      <c r="I17" s="182"/>
      <c r="J17" s="182"/>
      <c r="K17" s="182"/>
      <c r="L17" s="183">
        <f t="shared" ref="L17:BC17" si="27">SUM(L3:L15)</f>
        <v>33521.2</v>
      </c>
      <c r="M17" s="183">
        <f t="shared" si="27"/>
        <v>1.54</v>
      </c>
      <c r="N17" s="183">
        <f t="shared" si="27"/>
        <v>5135.22</v>
      </c>
      <c r="O17" s="183">
        <f t="shared" si="27"/>
        <v>0.8</v>
      </c>
      <c r="P17" s="183">
        <f t="shared" si="27"/>
        <v>2681.68</v>
      </c>
      <c r="Q17" s="183">
        <f t="shared" si="27"/>
        <v>40637.2</v>
      </c>
      <c r="R17" s="183">
        <f t="shared" si="27"/>
        <v>0.645</v>
      </c>
      <c r="S17" s="183">
        <f t="shared" si="27"/>
        <v>2543.61</v>
      </c>
      <c r="T17" s="183">
        <f t="shared" si="27"/>
        <v>0.2</v>
      </c>
      <c r="U17" s="183">
        <f t="shared" si="27"/>
        <v>812.74</v>
      </c>
      <c r="V17" s="183">
        <f t="shared" si="27"/>
        <v>33521.2</v>
      </c>
      <c r="W17" s="183">
        <f t="shared" si="27"/>
        <v>0.0586</v>
      </c>
      <c r="X17" s="183">
        <f t="shared" si="27"/>
        <v>191.29</v>
      </c>
      <c r="Y17" s="183">
        <f t="shared" si="27"/>
        <v>0.027</v>
      </c>
      <c r="Z17" s="183">
        <f t="shared" si="27"/>
        <v>89.17</v>
      </c>
      <c r="AA17" s="183">
        <f t="shared" si="27"/>
        <v>30737.2</v>
      </c>
      <c r="AB17" s="183">
        <f t="shared" si="27"/>
        <v>0.0535</v>
      </c>
      <c r="AC17" s="183">
        <f t="shared" si="27"/>
        <v>242.95</v>
      </c>
      <c r="AD17" s="183">
        <f t="shared" si="27"/>
        <v>35930.2</v>
      </c>
      <c r="AE17" s="183">
        <f t="shared" si="27"/>
        <v>0.0236</v>
      </c>
      <c r="AF17" s="183">
        <f t="shared" si="27"/>
        <v>66.32</v>
      </c>
      <c r="AG17" s="183">
        <f t="shared" si="27"/>
        <v>9000</v>
      </c>
      <c r="AH17" s="183">
        <f t="shared" si="27"/>
        <v>0.5</v>
      </c>
      <c r="AI17" s="183">
        <f t="shared" si="27"/>
        <v>1216</v>
      </c>
      <c r="AJ17" s="183">
        <f t="shared" si="27"/>
        <v>0.38</v>
      </c>
      <c r="AK17" s="183">
        <f t="shared" si="27"/>
        <v>856</v>
      </c>
      <c r="AL17" s="183">
        <f t="shared" si="27"/>
        <v>0</v>
      </c>
      <c r="AM17" s="183">
        <f t="shared" si="27"/>
        <v>0</v>
      </c>
      <c r="AN17" s="183">
        <f t="shared" si="27"/>
        <v>0</v>
      </c>
      <c r="AO17" s="183">
        <f t="shared" si="27"/>
        <v>0</v>
      </c>
      <c r="AP17" s="183">
        <f t="shared" si="27"/>
        <v>0</v>
      </c>
      <c r="AQ17" s="183">
        <f t="shared" si="27"/>
        <v>95.28</v>
      </c>
      <c r="AR17" s="183">
        <f t="shared" si="27"/>
        <v>96</v>
      </c>
      <c r="AS17" s="183">
        <f t="shared" si="27"/>
        <v>8274.67</v>
      </c>
      <c r="AT17" s="183">
        <f t="shared" si="27"/>
        <v>3583.59</v>
      </c>
      <c r="AU17" s="183">
        <f t="shared" si="27"/>
        <v>1216</v>
      </c>
      <c r="AV17" s="183">
        <f t="shared" si="27"/>
        <v>856</v>
      </c>
      <c r="AW17" s="183">
        <f t="shared" si="27"/>
        <v>13930.26</v>
      </c>
      <c r="AX17" s="183">
        <f t="shared" si="27"/>
        <v>11858.26</v>
      </c>
      <c r="AY17" s="183">
        <f t="shared" si="27"/>
        <v>0</v>
      </c>
      <c r="AZ17" s="183">
        <f t="shared" si="27"/>
        <v>2072</v>
      </c>
      <c r="BA17" s="183">
        <f t="shared" si="27"/>
        <v>0</v>
      </c>
      <c r="BB17" s="183">
        <f t="shared" si="27"/>
        <v>800</v>
      </c>
      <c r="BC17" s="183">
        <f t="shared" si="27"/>
        <v>14730.26</v>
      </c>
      <c r="BD17" s="223"/>
    </row>
    <row r="18" s="148" customFormat="1" ht="15" spans="1:56">
      <c r="A18" s="184" t="s">
        <v>58</v>
      </c>
      <c r="B18" s="185"/>
      <c r="C18" s="186"/>
      <c r="D18" s="186"/>
      <c r="E18" s="187"/>
      <c r="F18" s="187"/>
      <c r="G18" s="187"/>
      <c r="H18" s="187"/>
      <c r="I18" s="187"/>
      <c r="J18" s="187"/>
      <c r="K18" s="187"/>
      <c r="L18" s="194">
        <f t="shared" ref="L18:AX18" si="28">SUM(L17:L17)</f>
        <v>33521.2</v>
      </c>
      <c r="M18" s="194">
        <f t="shared" si="28"/>
        <v>1.54</v>
      </c>
      <c r="N18" s="194">
        <f t="shared" si="28"/>
        <v>5135.22</v>
      </c>
      <c r="O18" s="194">
        <f t="shared" si="28"/>
        <v>0.8</v>
      </c>
      <c r="P18" s="194">
        <f t="shared" si="28"/>
        <v>2681.68</v>
      </c>
      <c r="Q18" s="194">
        <f t="shared" si="28"/>
        <v>40637.2</v>
      </c>
      <c r="R18" s="194">
        <f t="shared" si="28"/>
        <v>0.645</v>
      </c>
      <c r="S18" s="194">
        <f t="shared" si="28"/>
        <v>2543.61</v>
      </c>
      <c r="T18" s="194">
        <f t="shared" si="28"/>
        <v>0.2</v>
      </c>
      <c r="U18" s="194">
        <f t="shared" si="28"/>
        <v>812.74</v>
      </c>
      <c r="V18" s="194">
        <f t="shared" si="28"/>
        <v>33521.2</v>
      </c>
      <c r="W18" s="194">
        <f t="shared" si="28"/>
        <v>0.0586</v>
      </c>
      <c r="X18" s="194">
        <f t="shared" si="28"/>
        <v>191.29</v>
      </c>
      <c r="Y18" s="194">
        <f t="shared" si="28"/>
        <v>0.027</v>
      </c>
      <c r="Z18" s="194">
        <f t="shared" si="28"/>
        <v>89.17</v>
      </c>
      <c r="AA18" s="194">
        <f t="shared" si="28"/>
        <v>30737.2</v>
      </c>
      <c r="AB18" s="194">
        <f t="shared" si="28"/>
        <v>0.0535</v>
      </c>
      <c r="AC18" s="194">
        <f t="shared" si="28"/>
        <v>242.95</v>
      </c>
      <c r="AD18" s="194">
        <f t="shared" si="28"/>
        <v>35930.2</v>
      </c>
      <c r="AE18" s="194">
        <f t="shared" si="28"/>
        <v>0.0236</v>
      </c>
      <c r="AF18" s="194">
        <f t="shared" si="28"/>
        <v>66.32</v>
      </c>
      <c r="AG18" s="194">
        <f t="shared" si="28"/>
        <v>9000</v>
      </c>
      <c r="AH18" s="194">
        <f t="shared" si="28"/>
        <v>0.5</v>
      </c>
      <c r="AI18" s="194">
        <f t="shared" si="28"/>
        <v>1216</v>
      </c>
      <c r="AJ18" s="194">
        <f t="shared" si="28"/>
        <v>0.38</v>
      </c>
      <c r="AK18" s="194">
        <f t="shared" si="28"/>
        <v>856</v>
      </c>
      <c r="AL18" s="194">
        <f t="shared" si="28"/>
        <v>0</v>
      </c>
      <c r="AM18" s="194">
        <f t="shared" si="28"/>
        <v>0</v>
      </c>
      <c r="AN18" s="194">
        <f t="shared" si="28"/>
        <v>0</v>
      </c>
      <c r="AO18" s="194">
        <f t="shared" si="28"/>
        <v>0</v>
      </c>
      <c r="AP18" s="194">
        <f t="shared" si="28"/>
        <v>0</v>
      </c>
      <c r="AQ18" s="194">
        <f t="shared" si="28"/>
        <v>95.28</v>
      </c>
      <c r="AR18" s="194">
        <f t="shared" si="28"/>
        <v>96</v>
      </c>
      <c r="AS18" s="210">
        <f t="shared" si="28"/>
        <v>8274.67</v>
      </c>
      <c r="AT18" s="210">
        <f t="shared" si="28"/>
        <v>3583.59</v>
      </c>
      <c r="AU18" s="210">
        <f t="shared" si="28"/>
        <v>1216</v>
      </c>
      <c r="AV18" s="210">
        <f t="shared" si="28"/>
        <v>856</v>
      </c>
      <c r="AW18" s="210">
        <f t="shared" si="28"/>
        <v>13930.26</v>
      </c>
      <c r="AX18" s="224">
        <f t="shared" si="28"/>
        <v>11858.26</v>
      </c>
      <c r="AY18" s="224"/>
      <c r="AZ18" s="224">
        <f t="shared" ref="AZ18:BC18" si="29">SUM(AZ17:AZ17)</f>
        <v>2072</v>
      </c>
      <c r="BA18" s="224"/>
      <c r="BB18" s="194">
        <f t="shared" si="29"/>
        <v>800</v>
      </c>
      <c r="BC18" s="194">
        <f t="shared" si="29"/>
        <v>14730.26</v>
      </c>
      <c r="BD18" s="225"/>
    </row>
    <row r="19" s="152" customFormat="1" spans="1:56">
      <c r="A19" s="188"/>
      <c r="B19" s="188"/>
      <c r="C19" s="188"/>
      <c r="D19" s="188"/>
      <c r="E19" s="188"/>
      <c r="F19" s="189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211"/>
      <c r="AT19" s="211"/>
      <c r="AU19" s="211"/>
      <c r="AV19" s="211"/>
      <c r="AW19" s="211"/>
      <c r="AX19" s="188"/>
      <c r="AY19" s="188"/>
      <c r="AZ19" s="188"/>
      <c r="BA19" s="188"/>
      <c r="BB19" s="188"/>
      <c r="BC19" s="188"/>
      <c r="BD19" s="226"/>
    </row>
    <row r="20" s="153" customFormat="1" spans="1:56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48"/>
      <c r="AK20" s="148"/>
      <c r="AL20" s="148"/>
      <c r="AM20" s="148"/>
      <c r="AN20" s="148"/>
      <c r="AO20" s="148"/>
      <c r="AP20" s="148"/>
      <c r="AQ20" s="148"/>
      <c r="AR20" s="148"/>
      <c r="AS20" s="154"/>
      <c r="AT20" s="154"/>
      <c r="AU20" s="154"/>
      <c r="AV20" s="154"/>
      <c r="AW20" s="154"/>
      <c r="AX20" s="148"/>
      <c r="AY20" s="148"/>
      <c r="AZ20" s="148"/>
      <c r="BA20" s="148"/>
      <c r="BB20" s="148"/>
      <c r="BC20" s="148"/>
      <c r="BD20" s="155"/>
    </row>
    <row r="21" s="148" customFormat="1" spans="45:56">
      <c r="AS21" s="154"/>
      <c r="AT21" s="154"/>
      <c r="AU21" s="154"/>
      <c r="AV21" s="154"/>
      <c r="AW21" s="154"/>
      <c r="BD21" s="155"/>
    </row>
    <row r="22" spans="50:55">
      <c r="AX22" s="227"/>
      <c r="AY22" s="227"/>
      <c r="BC22" s="228"/>
    </row>
    <row r="23" s="148" customFormat="1" spans="45:56">
      <c r="AS23" s="154"/>
      <c r="AT23" s="154"/>
      <c r="AU23" s="154"/>
      <c r="AV23" s="154"/>
      <c r="AW23" s="154"/>
      <c r="BD23" s="155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2" priority="1" stopIfTrue="1">
      <formula>AND(COUNTIF($J$1:$J$1,H1)&gt;1,NOT(ISBLANK(H1)))</formula>
    </cfRule>
  </conditionalFormatting>
  <conditionalFormatting sqref="J1">
    <cfRule type="duplicateValues" dxfId="2" priority="2" stopIfTrue="1"/>
  </conditionalFormatting>
  <conditionalFormatting sqref="K1:L1">
    <cfRule type="duplicateValues" dxfId="2" priority="3" stopIfTrue="1"/>
  </conditionalFormatting>
  <conditionalFormatting sqref="Q1">
    <cfRule type="duplicateValues" dxfId="2" priority="4" stopIfTrue="1"/>
  </conditionalFormatting>
  <conditionalFormatting sqref="V1">
    <cfRule type="duplicateValues" dxfId="2" priority="5" stopIfTrue="1"/>
  </conditionalFormatting>
  <conditionalFormatting sqref="AG1">
    <cfRule type="duplicateValues" dxfId="2" priority="6" stopIfTrue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L4+IFERROR(VLOOKUP($E:$E,'（居民）工资表-5月'!$E:$S,15,0),0)</f>
        <v>83880</v>
      </c>
      <c r="T4" s="91">
        <f>5000+IFERROR(VLOOKUP($E:$E,'（居民）工资表-5月'!$E:$T,16,0),0)</f>
        <v>30000</v>
      </c>
      <c r="U4" s="91">
        <f>Q4+IFERROR(VLOOKUP($E:$E,'（居民）工资表-5月'!$E:$U,17,0),0)</f>
        <v>8118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45762</v>
      </c>
      <c r="AE4" s="94">
        <f>ROUND(MAX((AD4)*{0.03;0.1;0.2;0.25;0.3;0.35;0.45}-{0;2520;16920;31920;52920;85920;181920},0),2)</f>
        <v>2056.2</v>
      </c>
      <c r="AF4" s="95">
        <f>IFERROR(VLOOKUP(E:E,'（居民）工资表-5月'!E:AF,28,0)+VLOOKUP(E:E,'（居民）工资表-5月'!E:AG,29,0),0)</f>
        <v>1293.5</v>
      </c>
      <c r="AG4" s="95">
        <f>IF((AE4-AF4)&lt;0,0,AE4-AF4)</f>
        <v>762.7</v>
      </c>
      <c r="AH4" s="102">
        <f>ROUND(IF((L4-Q4-AG4)&lt;0,0,(L4-Q4-AG4)),2)</f>
        <v>11864.3</v>
      </c>
      <c r="AI4" s="103"/>
      <c r="AJ4" s="102">
        <f>AH4+AI4</f>
        <v>11864.3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IF(SUMPRODUCT(N(E$1:E$5=E4))&gt;1,"重复","不")</f>
        <v>不</v>
      </c>
      <c r="AT4" s="110" t="str">
        <f>IF(SUMPRODUCT(N(AO$1:AO$5=AO4))&gt;1,"重复","不")</f>
        <v>重复</v>
      </c>
    </row>
    <row r="5" s="12" customFormat="1" ht="18" customHeight="1" spans="1:46">
      <c r="A5" s="36"/>
      <c r="B5" s="37"/>
      <c r="C5" s="37"/>
      <c r="D5" s="37"/>
      <c r="E5" s="37"/>
      <c r="F5" s="38"/>
      <c r="G5" s="39"/>
      <c r="H5" s="40"/>
      <c r="I5" s="40"/>
      <c r="J5" s="69"/>
      <c r="K5" s="40"/>
      <c r="L5" s="70"/>
      <c r="M5" s="71"/>
      <c r="N5" s="71"/>
      <c r="O5" s="71"/>
      <c r="P5" s="71"/>
      <c r="Q5" s="89"/>
      <c r="R5" s="70"/>
      <c r="S5" s="90"/>
      <c r="T5" s="91"/>
      <c r="U5" s="91"/>
      <c r="V5" s="70"/>
      <c r="W5" s="70"/>
      <c r="X5" s="70"/>
      <c r="Y5" s="70"/>
      <c r="Z5" s="70"/>
      <c r="AA5" s="70"/>
      <c r="AB5" s="90"/>
      <c r="AC5" s="90"/>
      <c r="AD5" s="93"/>
      <c r="AE5" s="94"/>
      <c r="AF5" s="95"/>
      <c r="AG5" s="95"/>
      <c r="AH5" s="102"/>
      <c r="AI5" s="103"/>
      <c r="AJ5" s="102"/>
      <c r="AK5" s="104"/>
      <c r="AL5" s="102"/>
      <c r="AM5" s="104"/>
      <c r="AN5" s="104"/>
      <c r="AO5" s="104"/>
      <c r="AP5" s="104"/>
      <c r="AQ5" s="104"/>
      <c r="AR5" s="110"/>
      <c r="AS5" s="110"/>
      <c r="AT5" s="110"/>
    </row>
    <row r="6" s="13" customFormat="1" ht="18" customHeight="1" spans="1:46">
      <c r="A6" s="41"/>
      <c r="B6" s="42" t="s">
        <v>152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13980</v>
      </c>
      <c r="M6" s="74">
        <f t="shared" si="0"/>
        <v>480</v>
      </c>
      <c r="N6" s="74">
        <f t="shared" si="0"/>
        <v>123</v>
      </c>
      <c r="O6" s="74">
        <f t="shared" si="0"/>
        <v>30</v>
      </c>
      <c r="P6" s="74">
        <f t="shared" si="0"/>
        <v>720</v>
      </c>
      <c r="Q6" s="74">
        <f t="shared" si="0"/>
        <v>1353</v>
      </c>
      <c r="R6" s="74">
        <f t="shared" si="0"/>
        <v>0</v>
      </c>
      <c r="S6" s="74">
        <f t="shared" si="0"/>
        <v>83880</v>
      </c>
      <c r="T6" s="74">
        <f t="shared" si="0"/>
        <v>30000</v>
      </c>
      <c r="U6" s="74">
        <f t="shared" si="0"/>
        <v>8118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45762</v>
      </c>
      <c r="AE6" s="74">
        <f t="shared" si="0"/>
        <v>2056.2</v>
      </c>
      <c r="AF6" s="74">
        <f t="shared" si="0"/>
        <v>1293.5</v>
      </c>
      <c r="AG6" s="74">
        <f t="shared" si="0"/>
        <v>762.7</v>
      </c>
      <c r="AH6" s="74">
        <f t="shared" si="0"/>
        <v>11864.3</v>
      </c>
      <c r="AI6" s="120">
        <f t="shared" si="0"/>
        <v>0</v>
      </c>
      <c r="AJ6" s="74">
        <f t="shared" si="0"/>
        <v>11864.3</v>
      </c>
      <c r="AK6" s="74">
        <f t="shared" si="0"/>
        <v>0</v>
      </c>
      <c r="AL6" s="74">
        <f t="shared" si="0"/>
        <v>12627</v>
      </c>
      <c r="AM6" s="105"/>
      <c r="AN6" s="105"/>
      <c r="AO6" s="105"/>
      <c r="AP6" s="105"/>
      <c r="AQ6" s="105"/>
      <c r="AR6" s="45"/>
      <c r="AS6" s="45"/>
      <c r="AT6" s="111"/>
    </row>
    <row r="9" spans="30:30">
      <c r="AD9" s="96"/>
    </row>
    <row r="10" ht="18.75" customHeight="1" spans="2:36">
      <c r="B10" s="47" t="s">
        <v>127</v>
      </c>
      <c r="C10" s="47" t="s">
        <v>153</v>
      </c>
      <c r="D10" s="47" t="s">
        <v>57</v>
      </c>
      <c r="E10" s="47" t="s">
        <v>58</v>
      </c>
      <c r="AD10" s="10"/>
      <c r="AJ10" s="15">
        <v>80</v>
      </c>
    </row>
    <row r="11" ht="18.75" customHeight="1" spans="2:5">
      <c r="B11" s="48">
        <f>AJ6</f>
        <v>11864.3</v>
      </c>
      <c r="C11" s="48">
        <f>AG6</f>
        <v>762.7</v>
      </c>
      <c r="D11" s="48">
        <f>AK6</f>
        <v>0</v>
      </c>
      <c r="E11" s="48">
        <f>B11+C11+D11</f>
        <v>12627</v>
      </c>
    </row>
    <row r="12" spans="2:5">
      <c r="B12" s="49"/>
      <c r="C12" s="49"/>
      <c r="D12" s="49"/>
      <c r="E12" s="49"/>
    </row>
    <row r="13" s="14" customFormat="1" spans="1:35">
      <c r="A13" s="50" t="s">
        <v>154</v>
      </c>
      <c r="B13" s="51" t="s">
        <v>155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4"/>
      <c r="B14" s="55" t="s">
        <v>156</v>
      </c>
      <c r="C14" s="52"/>
      <c r="D14" s="52"/>
      <c r="E14" s="52"/>
      <c r="G14" s="53"/>
      <c r="J14" s="75"/>
      <c r="M14" s="76"/>
      <c r="AI14" s="106"/>
    </row>
    <row r="15" s="14" customFormat="1" spans="1:35">
      <c r="A15" s="51"/>
      <c r="B15" s="55" t="s">
        <v>157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6"/>
    </row>
    <row r="16" s="14" customFormat="1" customHeight="1" spans="1:35">
      <c r="A16" s="55"/>
      <c r="B16" s="55" t="s">
        <v>158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159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6"/>
    </row>
    <row r="18" s="14" customFormat="1" customHeight="1" spans="1:35">
      <c r="A18" s="55"/>
      <c r="B18" s="55" t="s">
        <v>160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6"/>
    </row>
    <row r="20" ht="11.25" customHeight="1" spans="2:2">
      <c r="B20" s="58" t="s">
        <v>161</v>
      </c>
    </row>
    <row r="21" spans="2:2">
      <c r="B21" s="59" t="s">
        <v>162</v>
      </c>
    </row>
    <row r="22" spans="2:2">
      <c r="B22" s="59" t="s">
        <v>163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3" priority="2" stopIfTrue="1"/>
  </conditionalFormatting>
  <conditionalFormatting sqref="B13:B17">
    <cfRule type="duplicateValues" dxfId="3" priority="3" stopIfTrue="1"/>
  </conditionalFormatting>
  <conditionalFormatting sqref="B21:B22">
    <cfRule type="duplicateValues" dxfId="3" priority="1" stopIfTrue="1"/>
  </conditionalFormatting>
  <conditionalFormatting sqref="C10:C12">
    <cfRule type="duplicateValues" dxfId="3" priority="4" stopIfTrue="1"/>
    <cfRule type="expression" dxfId="4" priority="5" stopIfTrue="1">
      <formula>AND(COUNTIF($B$6:$B$65442,C10)+COUNTIF($B$1:$B$3,C10)&gt;1,NOT(ISBLANK(C10)))</formula>
    </cfRule>
    <cfRule type="expression" dxfId="4" priority="6" stopIfTrue="1">
      <formula>AND(COUNTIF($B$17:$B$65393,C10)+COUNTIF($B$1:$B$16,C10)&gt;1,NOT(ISBLANK(C10)))</formula>
    </cfRule>
    <cfRule type="expression" dxfId="4" priority="7" stopIfTrue="1">
      <formula>AND(COUNTIF($B$6:$B$65431,C10)+COUNTIF($B$1:$B$3,C10)&gt;1,NOT(ISBLANK(C10)))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5"/>
  <sheetViews>
    <sheetView workbookViewId="0">
      <pane xSplit="6" ySplit="3" topLeftCell="R4" activePane="bottomRight" state="frozen"/>
      <selection/>
      <selection pane="topRight"/>
      <selection pane="bottomLeft"/>
      <selection pane="bottomRight" activeCell="V4" sqref="V4:Z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148</v>
      </c>
      <c r="E4" s="37" t="s">
        <v>76</v>
      </c>
      <c r="F4" s="38" t="s">
        <v>150</v>
      </c>
      <c r="G4" s="39">
        <v>18035163638</v>
      </c>
      <c r="H4" s="40"/>
      <c r="I4" s="40"/>
      <c r="J4" s="69"/>
      <c r="K4" s="40"/>
      <c r="L4" s="70">
        <v>10230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L4+IFERROR(VLOOKUP($E:$E,'（居民）工资表-6月'!$E:$S,15,0),0)</f>
        <v>10230</v>
      </c>
      <c r="T4" s="91">
        <f>5000+IFERROR(VLOOKUP($E:$E,'（居民）工资表-6月'!$E:$T,16,0),0)</f>
        <v>5000</v>
      </c>
      <c r="U4" s="91">
        <f>Q4+IFERROR(VLOOKUP($E:$E,'（居民）工资表-6月'!$E:$U,17,0),0)</f>
        <v>519.9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3">
        <f>ROUND(S4-T4-U4-AB4-AC4,2)</f>
        <v>-12089.9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9710.1</v>
      </c>
      <c r="AI4" s="103"/>
      <c r="AJ4" s="102">
        <f>AH4+AI4</f>
        <v>9710.1</v>
      </c>
      <c r="AK4" s="104"/>
      <c r="AL4" s="102">
        <f>AJ4+AG4+AK4</f>
        <v>9710.1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IF(SUMPRODUCT(N(E$1:E$18=E4))&gt;1,"重复","不")</f>
        <v>不</v>
      </c>
      <c r="AT4" s="110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148</v>
      </c>
      <c r="E5" s="37" t="s">
        <v>94</v>
      </c>
      <c r="F5" s="38" t="s">
        <v>150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72.06</v>
      </c>
      <c r="O5" s="71">
        <v>10.08</v>
      </c>
      <c r="P5" s="71">
        <v>82</v>
      </c>
      <c r="Q5" s="89">
        <f>ROUND(SUM(M5:P5),2)</f>
        <v>432.95</v>
      </c>
      <c r="R5" s="70">
        <v>0</v>
      </c>
      <c r="S5" s="90">
        <f>L5+IFERROR(VLOOKUP($E:$E,'（居民）工资表-6月'!$E:$S,15,0),0)</f>
        <v>7000</v>
      </c>
      <c r="T5" s="91">
        <f>5000+IFERROR(VLOOKUP($E:$E,'（居民）工资表-6月'!$E:$T,16,0),0)</f>
        <v>5000</v>
      </c>
      <c r="U5" s="91">
        <f>Q5+IFERROR(VLOOKUP($E:$E,'（居民）工资表-6月'!$E:$U,17,0),0)</f>
        <v>432.95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3">
        <f>ROUND(S5-T5-U5-AB5-AC5,2)</f>
        <v>-5432.95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>IF((AE5-AF5)&lt;0,0,AE5-AF5)</f>
        <v>0</v>
      </c>
      <c r="AH5" s="102">
        <f>ROUND(IF((L5-Q5-AG5)&lt;0,0,(L5-Q5-AG5)),2)</f>
        <v>6567.05</v>
      </c>
      <c r="AI5" s="103"/>
      <c r="AJ5" s="102">
        <f>AH5+AI5</f>
        <v>6567.05</v>
      </c>
      <c r="AK5" s="104"/>
      <c r="AL5" s="102">
        <f>AJ5+AG5+AK5</f>
        <v>6567.05</v>
      </c>
      <c r="AM5" s="104"/>
      <c r="AN5" s="104"/>
      <c r="AO5" s="104"/>
      <c r="AP5" s="104"/>
      <c r="AQ5" s="104"/>
      <c r="AR5" s="11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0" t="str">
        <f>IF(SUMPRODUCT(N(E$1:E$18=E5))&gt;1,"重复","不")</f>
        <v>不</v>
      </c>
      <c r="AT5" s="110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164</v>
      </c>
      <c r="D6" s="37" t="s">
        <v>148</v>
      </c>
      <c r="E6" s="336" t="s">
        <v>165</v>
      </c>
      <c r="F6" s="38" t="s">
        <v>166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135.14</v>
      </c>
      <c r="O6" s="71">
        <v>4.6</v>
      </c>
      <c r="P6" s="71">
        <v>115</v>
      </c>
      <c r="Q6" s="89">
        <f>ROUND(SUM(M6:P6),2)</f>
        <v>621.78</v>
      </c>
      <c r="R6" s="70">
        <v>0</v>
      </c>
      <c r="S6" s="90">
        <f>L6+IFERROR(VLOOKUP($E:$E,'（居民）工资表-6月'!$E:$S,15,0),0)</f>
        <v>5700</v>
      </c>
      <c r="T6" s="91">
        <f>5000+IFERROR(VLOOKUP($E:$E,'（居民）工资表-6月'!$E:$T,16,0),0)</f>
        <v>5000</v>
      </c>
      <c r="U6" s="91">
        <f>Q6+IFERROR(VLOOKUP($E:$E,'（居民）工资表-6月'!$E:$U,17,0),0)</f>
        <v>621.78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3">
        <f>ROUND(S6-T6-U6-AB6-AC6,2)</f>
        <v>-10421.78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>IF((AE6-AF6)&lt;0,0,AE6-AF6)</f>
        <v>0</v>
      </c>
      <c r="AH6" s="102">
        <f>ROUND(IF((L6-Q6-AG6)&lt;0,0,(L6-Q6-AG6)),2)</f>
        <v>5078.22</v>
      </c>
      <c r="AI6" s="103"/>
      <c r="AJ6" s="102">
        <f>AH6+AI6</f>
        <v>5078.22</v>
      </c>
      <c r="AK6" s="104"/>
      <c r="AL6" s="102">
        <f>AJ6+AG6+AK6</f>
        <v>5078.22</v>
      </c>
      <c r="AM6" s="104"/>
      <c r="AN6" s="104"/>
      <c r="AO6" s="104"/>
      <c r="AP6" s="104"/>
      <c r="AQ6" s="104"/>
      <c r="AR6" s="11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0" t="str">
        <f>IF(SUMPRODUCT(N(E$1:E$18=E6))&gt;1,"重复","不")</f>
        <v>不</v>
      </c>
      <c r="AT6" s="110" t="str">
        <f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167</v>
      </c>
      <c r="D7" s="37" t="s">
        <v>148</v>
      </c>
      <c r="E7" s="37" t="s">
        <v>168</v>
      </c>
      <c r="F7" s="38" t="s">
        <v>150</v>
      </c>
      <c r="G7" s="39">
        <v>18037463616</v>
      </c>
      <c r="H7" s="40"/>
      <c r="I7" s="40"/>
      <c r="J7" s="69"/>
      <c r="K7" s="40"/>
      <c r="L7" s="70">
        <v>14620</v>
      </c>
      <c r="M7" s="71">
        <v>254.32</v>
      </c>
      <c r="N7" s="71">
        <v>63.94</v>
      </c>
      <c r="O7" s="71">
        <v>9.54</v>
      </c>
      <c r="P7" s="71">
        <v>254.32</v>
      </c>
      <c r="Q7" s="89">
        <f t="shared" ref="Q7:Q18" si="0">ROUND(SUM(M7:P7),2)</f>
        <v>582.12</v>
      </c>
      <c r="R7" s="70">
        <v>0</v>
      </c>
      <c r="S7" s="90">
        <f>L7+IFERROR(VLOOKUP($E:$E,'（居民）工资表-6月'!$E:$S,15,0),0)</f>
        <v>14620</v>
      </c>
      <c r="T7" s="91">
        <f>5000+IFERROR(VLOOKUP($E:$E,'（居民）工资表-6月'!$E:$T,16,0),0)</f>
        <v>5000</v>
      </c>
      <c r="U7" s="91">
        <f>Q7+IFERROR(VLOOKUP($E:$E,'（居民）工资表-6月'!$E:$U,17,0),0)</f>
        <v>582.12</v>
      </c>
      <c r="V7" s="70"/>
      <c r="W7" s="70"/>
      <c r="X7" s="70">
        <v>5000</v>
      </c>
      <c r="Y7" s="70"/>
      <c r="Z7" s="70"/>
      <c r="AA7" s="70"/>
      <c r="AB7" s="90">
        <f t="shared" ref="AB7:AB18" si="1">ROUND(SUM(V7:AA7),2)</f>
        <v>5000</v>
      </c>
      <c r="AC7" s="90">
        <f>R7+IFERROR(VLOOKUP($E:$E,'（居民）工资表-6月'!$E:$AC,25,0),0)</f>
        <v>0</v>
      </c>
      <c r="AD7" s="93">
        <f t="shared" ref="AD7:AD18" si="2">ROUND(S7-T7-U7-AB7-AC7,2)</f>
        <v>4037.88</v>
      </c>
      <c r="AE7" s="94">
        <f>ROUND(MAX((AD7)*{0.03;0.1;0.2;0.25;0.3;0.35;0.45}-{0;2520;16920;31920;52920;85920;181920},0),2)</f>
        <v>121.14</v>
      </c>
      <c r="AF7" s="95">
        <f>IFERROR(VLOOKUP(E:E,'（居民）工资表-6月'!E:AF,28,0)+VLOOKUP(E:E,'（居民）工资表-6月'!E:AG,29,0),0)</f>
        <v>0</v>
      </c>
      <c r="AG7" s="95">
        <f t="shared" ref="AG7:AG18" si="3">IF((AE7-AF7)&lt;0,0,AE7-AF7)</f>
        <v>121.14</v>
      </c>
      <c r="AH7" s="102">
        <f t="shared" ref="AH7:AH18" si="4">ROUND(IF((L7-Q7-AG7)&lt;0,0,(L7-Q7-AG7)),2)</f>
        <v>13916.74</v>
      </c>
      <c r="AI7" s="103"/>
      <c r="AJ7" s="102">
        <f t="shared" ref="AJ7:AJ18" si="5">AH7+AI7</f>
        <v>13916.74</v>
      </c>
      <c r="AK7" s="104"/>
      <c r="AL7" s="102">
        <f t="shared" ref="AL7:AL18" si="6">AJ7+AG7+AK7</f>
        <v>14037.88</v>
      </c>
      <c r="AM7" s="104"/>
      <c r="AN7" s="104"/>
      <c r="AO7" s="104"/>
      <c r="AP7" s="104"/>
      <c r="AQ7" s="104"/>
      <c r="AR7" s="110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0" t="str">
        <f t="shared" ref="AS7:AS15" si="8">IF(SUMPRODUCT(N(E$1:E$18=E7))&gt;1,"重复","不")</f>
        <v>不</v>
      </c>
      <c r="AT7" s="110" t="str">
        <f t="shared" ref="AT7:AT15" si="9">IF(SUMPRODUCT(N(AO$1:AO$18=AO7))&gt;1,"重复","不")</f>
        <v>重复</v>
      </c>
    </row>
    <row r="8" s="12" customFormat="1" ht="18" customHeight="1" spans="1:46">
      <c r="A8" s="36">
        <v>5</v>
      </c>
      <c r="B8" s="37" t="s">
        <v>146</v>
      </c>
      <c r="C8" s="37" t="s">
        <v>169</v>
      </c>
      <c r="D8" s="37" t="s">
        <v>148</v>
      </c>
      <c r="E8" s="336" t="s">
        <v>170</v>
      </c>
      <c r="F8" s="38" t="s">
        <v>150</v>
      </c>
      <c r="G8" s="39">
        <v>18500634358</v>
      </c>
      <c r="H8" s="40"/>
      <c r="I8" s="40"/>
      <c r="J8" s="69"/>
      <c r="K8" s="40"/>
      <c r="L8" s="70">
        <v>14920</v>
      </c>
      <c r="M8" s="71">
        <v>254.32</v>
      </c>
      <c r="N8" s="71">
        <v>63.94</v>
      </c>
      <c r="O8" s="71">
        <v>9.54</v>
      </c>
      <c r="P8" s="71">
        <v>254.32</v>
      </c>
      <c r="Q8" s="89">
        <f t="shared" si="0"/>
        <v>582.12</v>
      </c>
      <c r="R8" s="70">
        <v>0</v>
      </c>
      <c r="S8" s="90">
        <f>L8+IFERROR(VLOOKUP($E:$E,'（居民）工资表-6月'!$E:$S,15,0),0)</f>
        <v>14920</v>
      </c>
      <c r="T8" s="91">
        <f>5000+IFERROR(VLOOKUP($E:$E,'（居民）工资表-6月'!$E:$T,16,0),0)</f>
        <v>5000</v>
      </c>
      <c r="U8" s="91">
        <f>Q8+IFERROR(VLOOKUP($E:$E,'（居民）工资表-6月'!$E:$U,17,0),0)</f>
        <v>582.12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3">
        <f t="shared" si="2"/>
        <v>9337.88</v>
      </c>
      <c r="AE8" s="94">
        <f>ROUND(MAX((AD8)*{0.03;0.1;0.2;0.25;0.3;0.35;0.45}-{0;2520;16920;31920;52920;85920;181920},0),2)</f>
        <v>280.14</v>
      </c>
      <c r="AF8" s="95">
        <f>IFERROR(VLOOKUP(E:E,'（居民）工资表-6月'!E:AF,28,0)+VLOOKUP(E:E,'（居民）工资表-6月'!E:AG,29,0),0)</f>
        <v>0</v>
      </c>
      <c r="AG8" s="95">
        <f t="shared" si="3"/>
        <v>280.14</v>
      </c>
      <c r="AH8" s="102">
        <f t="shared" si="4"/>
        <v>14057.74</v>
      </c>
      <c r="AI8" s="103"/>
      <c r="AJ8" s="102">
        <f t="shared" si="5"/>
        <v>14057.74</v>
      </c>
      <c r="AK8" s="104"/>
      <c r="AL8" s="102">
        <f t="shared" si="6"/>
        <v>14337.88</v>
      </c>
      <c r="AM8" s="104"/>
      <c r="AN8" s="104"/>
      <c r="AO8" s="104"/>
      <c r="AP8" s="104"/>
      <c r="AQ8" s="104"/>
      <c r="AR8" s="110" t="str">
        <f t="shared" si="7"/>
        <v>正确</v>
      </c>
      <c r="AS8" s="110" t="str">
        <f t="shared" si="8"/>
        <v>不</v>
      </c>
      <c r="AT8" s="110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171</v>
      </c>
      <c r="D9" s="37" t="s">
        <v>148</v>
      </c>
      <c r="E9" s="37" t="s">
        <v>172</v>
      </c>
      <c r="F9" s="38" t="s">
        <v>150</v>
      </c>
      <c r="G9" s="39">
        <v>18738169923</v>
      </c>
      <c r="H9" s="40"/>
      <c r="I9" s="40"/>
      <c r="J9" s="69"/>
      <c r="K9" s="40"/>
      <c r="L9" s="70">
        <v>12420</v>
      </c>
      <c r="M9" s="71">
        <v>254.32</v>
      </c>
      <c r="N9" s="71">
        <v>63.94</v>
      </c>
      <c r="O9" s="71">
        <v>9.54</v>
      </c>
      <c r="P9" s="71">
        <v>254.32</v>
      </c>
      <c r="Q9" s="89">
        <f t="shared" si="0"/>
        <v>582.12</v>
      </c>
      <c r="R9" s="70">
        <v>0</v>
      </c>
      <c r="S9" s="90">
        <f>L9+IFERROR(VLOOKUP($E:$E,'（居民）工资表-6月'!$E:$S,15,0),0)</f>
        <v>12420</v>
      </c>
      <c r="T9" s="91">
        <f>5000+IFERROR(VLOOKUP($E:$E,'（居民）工资表-6月'!$E:$T,16,0),0)</f>
        <v>5000</v>
      </c>
      <c r="U9" s="91">
        <f>Q9+IFERROR(VLOOKUP($E:$E,'（居民）工资表-6月'!$E:$U,17,0),0)</f>
        <v>582.12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3">
        <f t="shared" si="2"/>
        <v>6837.88</v>
      </c>
      <c r="AE9" s="94">
        <f>ROUND(MAX((AD9)*{0.03;0.1;0.2;0.25;0.3;0.35;0.45}-{0;2520;16920;31920;52920;85920;181920},0),2)</f>
        <v>205.14</v>
      </c>
      <c r="AF9" s="95">
        <f>IFERROR(VLOOKUP(E:E,'（居民）工资表-6月'!E:AF,28,0)+VLOOKUP(E:E,'（居民）工资表-6月'!E:AG,29,0),0)</f>
        <v>0</v>
      </c>
      <c r="AG9" s="95">
        <f t="shared" si="3"/>
        <v>205.14</v>
      </c>
      <c r="AH9" s="102">
        <f t="shared" si="4"/>
        <v>11632.74</v>
      </c>
      <c r="AI9" s="103"/>
      <c r="AJ9" s="102">
        <f t="shared" si="5"/>
        <v>11632.74</v>
      </c>
      <c r="AK9" s="104"/>
      <c r="AL9" s="102">
        <f t="shared" si="6"/>
        <v>11837.88</v>
      </c>
      <c r="AM9" s="104"/>
      <c r="AN9" s="104"/>
      <c r="AO9" s="104"/>
      <c r="AP9" s="104"/>
      <c r="AQ9" s="104"/>
      <c r="AR9" s="110" t="str">
        <f t="shared" si="7"/>
        <v>正确</v>
      </c>
      <c r="AS9" s="110" t="str">
        <f t="shared" si="8"/>
        <v>不</v>
      </c>
      <c r="AT9" s="110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173</v>
      </c>
      <c r="D10" s="37" t="s">
        <v>148</v>
      </c>
      <c r="E10" s="37" t="s">
        <v>174</v>
      </c>
      <c r="F10" s="38" t="s">
        <v>150</v>
      </c>
      <c r="G10" s="39" t="s">
        <v>175</v>
      </c>
      <c r="H10" s="40"/>
      <c r="I10" s="40"/>
      <c r="J10" s="69"/>
      <c r="K10" s="40"/>
      <c r="L10" s="70">
        <v>17420</v>
      </c>
      <c r="M10" s="71">
        <v>254.32</v>
      </c>
      <c r="N10" s="71">
        <v>63.94</v>
      </c>
      <c r="O10" s="71">
        <v>9.54</v>
      </c>
      <c r="P10" s="71">
        <v>254.32</v>
      </c>
      <c r="Q10" s="89">
        <f t="shared" si="0"/>
        <v>582.12</v>
      </c>
      <c r="R10" s="70">
        <v>0</v>
      </c>
      <c r="S10" s="90">
        <f>L10+IFERROR(VLOOKUP($E:$E,'（居民）工资表-6月'!$E:$S,15,0),0)</f>
        <v>17420</v>
      </c>
      <c r="T10" s="91">
        <f>5000+IFERROR(VLOOKUP($E:$E,'（居民）工资表-6月'!$E:$T,16,0),0)</f>
        <v>5000</v>
      </c>
      <c r="U10" s="91">
        <f>Q10+IFERROR(VLOOKUP($E:$E,'（居民）工资表-6月'!$E:$U,17,0),0)</f>
        <v>582.12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3">
        <f t="shared" si="2"/>
        <v>11837.88</v>
      </c>
      <c r="AE10" s="94">
        <f>ROUND(MAX((AD10)*{0.03;0.1;0.2;0.25;0.3;0.35;0.45}-{0;2520;16920;31920;52920;85920;181920},0),2)</f>
        <v>355.14</v>
      </c>
      <c r="AF10" s="95">
        <f>IFERROR(VLOOKUP(E:E,'（居民）工资表-6月'!E:AF,28,0)+VLOOKUP(E:E,'（居民）工资表-6月'!E:AG,29,0),0)</f>
        <v>0</v>
      </c>
      <c r="AG10" s="95">
        <f t="shared" si="3"/>
        <v>355.14</v>
      </c>
      <c r="AH10" s="102">
        <f t="shared" si="4"/>
        <v>16482.74</v>
      </c>
      <c r="AI10" s="103"/>
      <c r="AJ10" s="102">
        <f t="shared" si="5"/>
        <v>16482.74</v>
      </c>
      <c r="AK10" s="104"/>
      <c r="AL10" s="102">
        <f t="shared" si="6"/>
        <v>16837.88</v>
      </c>
      <c r="AM10" s="104"/>
      <c r="AN10" s="104"/>
      <c r="AO10" s="104"/>
      <c r="AP10" s="104"/>
      <c r="AQ10" s="104"/>
      <c r="AR10" s="110" t="str">
        <f t="shared" si="7"/>
        <v>正确</v>
      </c>
      <c r="AS10" s="110" t="str">
        <f t="shared" si="8"/>
        <v>不</v>
      </c>
      <c r="AT10" s="110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176</v>
      </c>
      <c r="D11" s="37" t="s">
        <v>148</v>
      </c>
      <c r="E11" s="37" t="s">
        <v>177</v>
      </c>
      <c r="F11" s="38" t="s">
        <v>150</v>
      </c>
      <c r="G11" s="39" t="s">
        <v>178</v>
      </c>
      <c r="H11" s="40"/>
      <c r="I11" s="40"/>
      <c r="J11" s="69"/>
      <c r="K11" s="40"/>
      <c r="L11" s="70">
        <v>18720</v>
      </c>
      <c r="M11" s="71">
        <v>254.32</v>
      </c>
      <c r="N11" s="71">
        <v>63.94</v>
      </c>
      <c r="O11" s="71">
        <v>9.54</v>
      </c>
      <c r="P11" s="71">
        <v>254.32</v>
      </c>
      <c r="Q11" s="89">
        <f t="shared" si="0"/>
        <v>582.12</v>
      </c>
      <c r="R11" s="70">
        <v>0</v>
      </c>
      <c r="S11" s="90">
        <f>L11+IFERROR(VLOOKUP($E:$E,'（居民）工资表-6月'!$E:$S,15,0),0)</f>
        <v>18720</v>
      </c>
      <c r="T11" s="91">
        <f>5000+IFERROR(VLOOKUP($E:$E,'（居民）工资表-6月'!$E:$T,16,0),0)</f>
        <v>5000</v>
      </c>
      <c r="U11" s="91">
        <f>Q11+IFERROR(VLOOKUP($E:$E,'（居民）工资表-6月'!$E:$U,17,0),0)</f>
        <v>582.12</v>
      </c>
      <c r="V11" s="70"/>
      <c r="W11" s="70">
        <v>4000</v>
      </c>
      <c r="X11" s="70"/>
      <c r="Y11" s="70">
        <v>6000</v>
      </c>
      <c r="Z11" s="70">
        <v>1600</v>
      </c>
      <c r="AA11" s="70"/>
      <c r="AB11" s="90">
        <f t="shared" si="1"/>
        <v>11600</v>
      </c>
      <c r="AC11" s="90">
        <f>R11+IFERROR(VLOOKUP($E:$E,'（居民）工资表-6月'!$E:$AC,25,0),0)</f>
        <v>0</v>
      </c>
      <c r="AD11" s="93">
        <f t="shared" si="2"/>
        <v>1537.88</v>
      </c>
      <c r="AE11" s="94">
        <f>ROUND(MAX((AD11)*{0.03;0.1;0.2;0.25;0.3;0.35;0.45}-{0;2520;16920;31920;52920;85920;181920},0),2)</f>
        <v>46.14</v>
      </c>
      <c r="AF11" s="95">
        <f>IFERROR(VLOOKUP(E:E,'（居民）工资表-6月'!E:AF,28,0)+VLOOKUP(E:E,'（居民）工资表-6月'!E:AG,29,0),0)</f>
        <v>0</v>
      </c>
      <c r="AG11" s="95">
        <f t="shared" si="3"/>
        <v>46.14</v>
      </c>
      <c r="AH11" s="102">
        <f t="shared" si="4"/>
        <v>18091.74</v>
      </c>
      <c r="AI11" s="103"/>
      <c r="AJ11" s="102">
        <f t="shared" si="5"/>
        <v>18091.74</v>
      </c>
      <c r="AK11" s="104"/>
      <c r="AL11" s="102">
        <f t="shared" si="6"/>
        <v>18137.88</v>
      </c>
      <c r="AM11" s="104"/>
      <c r="AN11" s="104"/>
      <c r="AO11" s="104"/>
      <c r="AP11" s="104"/>
      <c r="AQ11" s="104"/>
      <c r="AR11" s="110" t="str">
        <f t="shared" si="7"/>
        <v>正确</v>
      </c>
      <c r="AS11" s="110" t="str">
        <f t="shared" si="8"/>
        <v>不</v>
      </c>
      <c r="AT11" s="110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179</v>
      </c>
      <c r="D12" s="37" t="s">
        <v>148</v>
      </c>
      <c r="E12" s="37" t="s">
        <v>180</v>
      </c>
      <c r="F12" s="38" t="s">
        <v>150</v>
      </c>
      <c r="G12" s="39" t="s">
        <v>181</v>
      </c>
      <c r="H12" s="40"/>
      <c r="I12" s="40"/>
      <c r="J12" s="69"/>
      <c r="K12" s="40"/>
      <c r="L12" s="70">
        <v>13920</v>
      </c>
      <c r="M12" s="71">
        <v>254.32</v>
      </c>
      <c r="N12" s="71">
        <v>63.94</v>
      </c>
      <c r="O12" s="71">
        <v>9.54</v>
      </c>
      <c r="P12" s="71">
        <v>254.32</v>
      </c>
      <c r="Q12" s="89">
        <f t="shared" si="0"/>
        <v>582.12</v>
      </c>
      <c r="R12" s="70">
        <v>0</v>
      </c>
      <c r="S12" s="90">
        <f>L12+IFERROR(VLOOKUP($E:$E,'（居民）工资表-6月'!$E:$S,15,0),0)</f>
        <v>13920</v>
      </c>
      <c r="T12" s="91">
        <f>5000+IFERROR(VLOOKUP($E:$E,'（居民）工资表-6月'!$E:$T,16,0),0)</f>
        <v>5000</v>
      </c>
      <c r="U12" s="91">
        <f>Q12+IFERROR(VLOOKUP($E:$E,'（居民）工资表-6月'!$E:$U,17,0),0)</f>
        <v>582.12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3">
        <f t="shared" si="2"/>
        <v>8337.88</v>
      </c>
      <c r="AE12" s="94">
        <f>ROUND(MAX((AD12)*{0.03;0.1;0.2;0.25;0.3;0.35;0.45}-{0;2520;16920;31920;52920;85920;181920},0),2)</f>
        <v>250.14</v>
      </c>
      <c r="AF12" s="95">
        <f>IFERROR(VLOOKUP(E:E,'（居民）工资表-6月'!E:AF,28,0)+VLOOKUP(E:E,'（居民）工资表-6月'!E:AG,29,0),0)</f>
        <v>0</v>
      </c>
      <c r="AG12" s="95">
        <f t="shared" si="3"/>
        <v>250.14</v>
      </c>
      <c r="AH12" s="102">
        <f t="shared" si="4"/>
        <v>13087.74</v>
      </c>
      <c r="AI12" s="103"/>
      <c r="AJ12" s="102">
        <f t="shared" si="5"/>
        <v>13087.74</v>
      </c>
      <c r="AK12" s="104"/>
      <c r="AL12" s="102">
        <f t="shared" si="6"/>
        <v>13337.88</v>
      </c>
      <c r="AM12" s="104"/>
      <c r="AN12" s="104"/>
      <c r="AO12" s="104"/>
      <c r="AP12" s="104"/>
      <c r="AQ12" s="104"/>
      <c r="AR12" s="110" t="str">
        <f t="shared" si="7"/>
        <v>正确</v>
      </c>
      <c r="AS12" s="110" t="str">
        <f t="shared" si="8"/>
        <v>不</v>
      </c>
      <c r="AT12" s="110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182</v>
      </c>
      <c r="D13" s="37" t="s">
        <v>148</v>
      </c>
      <c r="E13" s="37" t="s">
        <v>183</v>
      </c>
      <c r="F13" s="38" t="s">
        <v>150</v>
      </c>
      <c r="G13" s="39">
        <v>15001138812</v>
      </c>
      <c r="H13" s="40"/>
      <c r="I13" s="40"/>
      <c r="J13" s="69"/>
      <c r="K13" s="40"/>
      <c r="L13" s="70">
        <v>10420</v>
      </c>
      <c r="M13" s="71">
        <v>254.32</v>
      </c>
      <c r="N13" s="71">
        <v>63.94</v>
      </c>
      <c r="O13" s="71">
        <v>9.54</v>
      </c>
      <c r="P13" s="71">
        <v>254.32</v>
      </c>
      <c r="Q13" s="89">
        <f t="shared" si="0"/>
        <v>582.12</v>
      </c>
      <c r="R13" s="70">
        <v>0</v>
      </c>
      <c r="S13" s="90">
        <f>L13+IFERROR(VLOOKUP($E:$E,'（居民）工资表-6月'!$E:$S,15,0),0)</f>
        <v>10420</v>
      </c>
      <c r="T13" s="91">
        <f>5000+IFERROR(VLOOKUP($E:$E,'（居民）工资表-6月'!$E:$T,16,0),0)</f>
        <v>5000</v>
      </c>
      <c r="U13" s="91">
        <f>Q13+IFERROR(VLOOKUP($E:$E,'（居民）工资表-6月'!$E:$U,17,0),0)</f>
        <v>582.12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3">
        <f t="shared" si="2"/>
        <v>4837.88</v>
      </c>
      <c r="AE13" s="94">
        <f>ROUND(MAX((AD13)*{0.03;0.1;0.2;0.25;0.3;0.35;0.45}-{0;2520;16920;31920;52920;85920;181920},0),2)</f>
        <v>145.14</v>
      </c>
      <c r="AF13" s="95">
        <f>IFERROR(VLOOKUP(E:E,'（居民）工资表-6月'!E:AF,28,0)+VLOOKUP(E:E,'（居民）工资表-6月'!E:AG,29,0),0)</f>
        <v>0</v>
      </c>
      <c r="AG13" s="95">
        <f t="shared" si="3"/>
        <v>145.14</v>
      </c>
      <c r="AH13" s="102">
        <f t="shared" si="4"/>
        <v>9692.74</v>
      </c>
      <c r="AI13" s="103"/>
      <c r="AJ13" s="102">
        <f t="shared" si="5"/>
        <v>9692.74</v>
      </c>
      <c r="AK13" s="104"/>
      <c r="AL13" s="102">
        <f t="shared" si="6"/>
        <v>9837.88</v>
      </c>
      <c r="AM13" s="104"/>
      <c r="AN13" s="104"/>
      <c r="AO13" s="104"/>
      <c r="AP13" s="104"/>
      <c r="AQ13" s="104"/>
      <c r="AR13" s="110" t="str">
        <f t="shared" si="7"/>
        <v>正确</v>
      </c>
      <c r="AS13" s="110" t="str">
        <f t="shared" si="8"/>
        <v>不</v>
      </c>
      <c r="AT13" s="110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184</v>
      </c>
      <c r="D14" s="37" t="s">
        <v>148</v>
      </c>
      <c r="E14" s="37" t="s">
        <v>185</v>
      </c>
      <c r="F14" s="38" t="s">
        <v>150</v>
      </c>
      <c r="G14" s="39">
        <v>15333903368</v>
      </c>
      <c r="H14" s="40"/>
      <c r="I14" s="40"/>
      <c r="J14" s="69"/>
      <c r="K14" s="40"/>
      <c r="L14" s="70">
        <v>15420</v>
      </c>
      <c r="M14" s="71">
        <v>254.32</v>
      </c>
      <c r="N14" s="71">
        <v>63.94</v>
      </c>
      <c r="O14" s="71">
        <v>9.54</v>
      </c>
      <c r="P14" s="71">
        <v>254.32</v>
      </c>
      <c r="Q14" s="89">
        <f t="shared" si="0"/>
        <v>582.12</v>
      </c>
      <c r="R14" s="70">
        <v>0</v>
      </c>
      <c r="S14" s="90">
        <f>L14+IFERROR(VLOOKUP($E:$E,'（居民）工资表-6月'!$E:$S,15,0),0)</f>
        <v>15420</v>
      </c>
      <c r="T14" s="91">
        <f>5000+IFERROR(VLOOKUP($E:$E,'（居民）工资表-6月'!$E:$T,16,0),0)</f>
        <v>5000</v>
      </c>
      <c r="U14" s="91">
        <f>Q14+IFERROR(VLOOKUP($E:$E,'（居民）工资表-6月'!$E:$U,17,0),0)</f>
        <v>582.12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3">
        <f t="shared" si="2"/>
        <v>9837.88</v>
      </c>
      <c r="AE14" s="94">
        <f>ROUND(MAX((AD14)*{0.03;0.1;0.2;0.25;0.3;0.35;0.45}-{0;2520;16920;31920;52920;85920;181920},0),2)</f>
        <v>295.14</v>
      </c>
      <c r="AF14" s="95">
        <f>IFERROR(VLOOKUP(E:E,'（居民）工资表-6月'!E:AF,28,0)+VLOOKUP(E:E,'（居民）工资表-6月'!E:AG,29,0),0)</f>
        <v>0</v>
      </c>
      <c r="AG14" s="95">
        <f t="shared" si="3"/>
        <v>295.14</v>
      </c>
      <c r="AH14" s="102">
        <f t="shared" si="4"/>
        <v>14542.74</v>
      </c>
      <c r="AI14" s="103"/>
      <c r="AJ14" s="102">
        <f t="shared" si="5"/>
        <v>14542.74</v>
      </c>
      <c r="AK14" s="104"/>
      <c r="AL14" s="102">
        <f t="shared" si="6"/>
        <v>14837.88</v>
      </c>
      <c r="AM14" s="104"/>
      <c r="AN14" s="104"/>
      <c r="AO14" s="104"/>
      <c r="AP14" s="104"/>
      <c r="AQ14" s="104"/>
      <c r="AR14" s="110" t="str">
        <f t="shared" si="7"/>
        <v>正确</v>
      </c>
      <c r="AS14" s="110" t="str">
        <f t="shared" si="8"/>
        <v>不</v>
      </c>
      <c r="AT14" s="110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186</v>
      </c>
      <c r="D15" s="37" t="s">
        <v>148</v>
      </c>
      <c r="E15" s="37" t="s">
        <v>187</v>
      </c>
      <c r="F15" s="38" t="s">
        <v>150</v>
      </c>
      <c r="G15" s="39">
        <v>18009593554</v>
      </c>
      <c r="H15" s="40"/>
      <c r="I15" s="40"/>
      <c r="J15" s="69"/>
      <c r="K15" s="40"/>
      <c r="L15" s="70">
        <v>11820</v>
      </c>
      <c r="M15" s="71">
        <v>280.96</v>
      </c>
      <c r="N15" s="71">
        <v>83.24</v>
      </c>
      <c r="O15" s="71">
        <v>17.56</v>
      </c>
      <c r="P15" s="71">
        <v>195</v>
      </c>
      <c r="Q15" s="89">
        <f t="shared" si="0"/>
        <v>576.76</v>
      </c>
      <c r="R15" s="70">
        <v>0</v>
      </c>
      <c r="S15" s="90">
        <f>L15+IFERROR(VLOOKUP($E:$E,'（居民）工资表-6月'!$E:$S,15,0),0)</f>
        <v>11820</v>
      </c>
      <c r="T15" s="91">
        <f>5000+IFERROR(VLOOKUP($E:$E,'（居民）工资表-6月'!$E:$T,16,0),0)</f>
        <v>5000</v>
      </c>
      <c r="U15" s="91">
        <f>Q15+IFERROR(VLOOKUP($E:$E,'（居民）工资表-6月'!$E:$U,17,0),0)</f>
        <v>576.76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3">
        <f t="shared" si="2"/>
        <v>6243.24</v>
      </c>
      <c r="AE15" s="94">
        <f>ROUND(MAX((AD15)*{0.03;0.1;0.2;0.25;0.3;0.35;0.45}-{0;2520;16920;31920;52920;85920;181920},0),2)</f>
        <v>187.3</v>
      </c>
      <c r="AF15" s="95">
        <f>IFERROR(VLOOKUP(E:E,'（居民）工资表-6月'!E:AF,28,0)+VLOOKUP(E:E,'（居民）工资表-6月'!E:AG,29,0),0)</f>
        <v>0</v>
      </c>
      <c r="AG15" s="95">
        <f t="shared" si="3"/>
        <v>187.3</v>
      </c>
      <c r="AH15" s="102">
        <f t="shared" si="4"/>
        <v>11055.94</v>
      </c>
      <c r="AI15" s="103"/>
      <c r="AJ15" s="102">
        <f t="shared" si="5"/>
        <v>11055.94</v>
      </c>
      <c r="AK15" s="104"/>
      <c r="AL15" s="102">
        <f t="shared" si="6"/>
        <v>11243.24</v>
      </c>
      <c r="AM15" s="104"/>
      <c r="AN15" s="104"/>
      <c r="AO15" s="104"/>
      <c r="AP15" s="104"/>
      <c r="AQ15" s="104"/>
      <c r="AR15" s="110" t="str">
        <f t="shared" si="7"/>
        <v>正确</v>
      </c>
      <c r="AS15" s="110" t="str">
        <f t="shared" si="8"/>
        <v>不</v>
      </c>
      <c r="AT15" s="110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188</v>
      </c>
      <c r="D16" s="37" t="s">
        <v>148</v>
      </c>
      <c r="E16" s="37" t="s">
        <v>189</v>
      </c>
      <c r="F16" s="38" t="s">
        <v>150</v>
      </c>
      <c r="G16" s="39">
        <v>17795512929</v>
      </c>
      <c r="H16" s="40"/>
      <c r="I16" s="40"/>
      <c r="J16" s="69"/>
      <c r="K16" s="40"/>
      <c r="L16" s="70">
        <v>11120</v>
      </c>
      <c r="M16" s="71">
        <v>280.96</v>
      </c>
      <c r="N16" s="71">
        <v>83.24</v>
      </c>
      <c r="O16" s="71">
        <v>17.56</v>
      </c>
      <c r="P16" s="71">
        <v>195</v>
      </c>
      <c r="Q16" s="89">
        <f t="shared" si="0"/>
        <v>576.76</v>
      </c>
      <c r="R16" s="70">
        <v>0</v>
      </c>
      <c r="S16" s="90">
        <f>L16+IFERROR(VLOOKUP($E:$E,'（居民）工资表-6月'!$E:$S,15,0),0)</f>
        <v>11120</v>
      </c>
      <c r="T16" s="91">
        <f>5000+IFERROR(VLOOKUP($E:$E,'（居民）工资表-6月'!$E:$T,16,0),0)</f>
        <v>5000</v>
      </c>
      <c r="U16" s="91">
        <f>Q16+IFERROR(VLOOKUP($E:$E,'（居民）工资表-6月'!$E:$U,17,0),0)</f>
        <v>576.76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3">
        <f t="shared" si="2"/>
        <v>5543.24</v>
      </c>
      <c r="AE16" s="94">
        <f>ROUND(MAX((AD16)*{0.03;0.1;0.2;0.25;0.3;0.35;0.45}-{0;2520;16920;31920;52920;85920;181920},0),2)</f>
        <v>166.3</v>
      </c>
      <c r="AF16" s="95">
        <f>IFERROR(VLOOKUP(E:E,'（居民）工资表-6月'!E:AF,28,0)+VLOOKUP(E:E,'（居民）工资表-6月'!E:AG,29,0),0)</f>
        <v>0</v>
      </c>
      <c r="AG16" s="95">
        <f t="shared" si="3"/>
        <v>166.3</v>
      </c>
      <c r="AH16" s="102">
        <f t="shared" si="4"/>
        <v>10376.94</v>
      </c>
      <c r="AI16" s="103"/>
      <c r="AJ16" s="102">
        <f t="shared" si="5"/>
        <v>10376.94</v>
      </c>
      <c r="AK16" s="104"/>
      <c r="AL16" s="102">
        <f t="shared" si="6"/>
        <v>10543.24</v>
      </c>
      <c r="AM16" s="104"/>
      <c r="AN16" s="104"/>
      <c r="AO16" s="104"/>
      <c r="AP16" s="104"/>
      <c r="AQ16" s="104"/>
      <c r="AR16" s="110" t="str">
        <f t="shared" si="7"/>
        <v>正确</v>
      </c>
      <c r="AS16" s="110" t="str">
        <f>IF(SUMPRODUCT(N(E$1:E$18=E16))&gt;1,"重复","不")</f>
        <v>不</v>
      </c>
      <c r="AT16" s="110" t="str">
        <f>IF(SUMPRODUCT(N(AO$1:AO$18=AO16))&gt;1,"重复","不")</f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190</v>
      </c>
      <c r="D17" s="37" t="s">
        <v>148</v>
      </c>
      <c r="E17" s="37" t="s">
        <v>191</v>
      </c>
      <c r="F17" s="38" t="s">
        <v>150</v>
      </c>
      <c r="G17" s="39">
        <v>18995128068</v>
      </c>
      <c r="H17" s="40"/>
      <c r="I17" s="40"/>
      <c r="J17" s="69"/>
      <c r="K17" s="40"/>
      <c r="L17" s="70">
        <v>11120</v>
      </c>
      <c r="M17" s="71">
        <v>280.96</v>
      </c>
      <c r="N17" s="71">
        <v>83.24</v>
      </c>
      <c r="O17" s="71">
        <v>17.56</v>
      </c>
      <c r="P17" s="71">
        <v>195</v>
      </c>
      <c r="Q17" s="89">
        <f t="shared" si="0"/>
        <v>576.76</v>
      </c>
      <c r="R17" s="70">
        <v>0</v>
      </c>
      <c r="S17" s="90">
        <f>L17+IFERROR(VLOOKUP($E:$E,'（居民）工资表-6月'!$E:$S,15,0),0)</f>
        <v>11120</v>
      </c>
      <c r="T17" s="91">
        <f>5000+IFERROR(VLOOKUP($E:$E,'（居民）工资表-6月'!$E:$T,16,0),0)</f>
        <v>5000</v>
      </c>
      <c r="U17" s="91">
        <f>Q17+IFERROR(VLOOKUP($E:$E,'（居民）工资表-6月'!$E:$U,17,0),0)</f>
        <v>576.76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3">
        <f t="shared" si="2"/>
        <v>5543.24</v>
      </c>
      <c r="AE17" s="94">
        <f>ROUND(MAX((AD17)*{0.03;0.1;0.2;0.25;0.3;0.35;0.45}-{0;2520;16920;31920;52920;85920;181920},0),2)</f>
        <v>166.3</v>
      </c>
      <c r="AF17" s="95">
        <f>IFERROR(VLOOKUP(E:E,'（居民）工资表-6月'!E:AF,28,0)+VLOOKUP(E:E,'（居民）工资表-6月'!E:AG,29,0),0)</f>
        <v>0</v>
      </c>
      <c r="AG17" s="95">
        <f t="shared" si="3"/>
        <v>166.3</v>
      </c>
      <c r="AH17" s="102">
        <f t="shared" si="4"/>
        <v>10376.94</v>
      </c>
      <c r="AI17" s="103"/>
      <c r="AJ17" s="102">
        <f t="shared" si="5"/>
        <v>10376.94</v>
      </c>
      <c r="AK17" s="104"/>
      <c r="AL17" s="102">
        <f t="shared" si="6"/>
        <v>10543.24</v>
      </c>
      <c r="AM17" s="104"/>
      <c r="AN17" s="104"/>
      <c r="AO17" s="104"/>
      <c r="AP17" s="104"/>
      <c r="AQ17" s="104"/>
      <c r="AR17" s="110" t="str">
        <f t="shared" si="7"/>
        <v>正确</v>
      </c>
      <c r="AS17" s="110" t="str">
        <f>IF(SUMPRODUCT(N(E$1:E$18=E17))&gt;1,"重复","不")</f>
        <v>不</v>
      </c>
      <c r="AT17" s="110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192</v>
      </c>
      <c r="D18" s="37" t="s">
        <v>148</v>
      </c>
      <c r="E18" s="336" t="s">
        <v>193</v>
      </c>
      <c r="F18" s="38" t="s">
        <v>150</v>
      </c>
      <c r="G18" s="39" t="s">
        <v>194</v>
      </c>
      <c r="H18" s="40"/>
      <c r="I18" s="40"/>
      <c r="J18" s="69"/>
      <c r="K18" s="40"/>
      <c r="L18" s="70">
        <v>2363.63</v>
      </c>
      <c r="M18" s="71">
        <f>274.4*2</f>
        <v>548.8</v>
      </c>
      <c r="N18" s="71">
        <f>68.6*2</f>
        <v>137.2</v>
      </c>
      <c r="O18" s="71">
        <v>34.3</v>
      </c>
      <c r="P18" s="71">
        <f>82.5*2</f>
        <v>165</v>
      </c>
      <c r="Q18" s="89">
        <f t="shared" si="0"/>
        <v>885.3</v>
      </c>
      <c r="R18" s="70">
        <v>0</v>
      </c>
      <c r="S18" s="90">
        <f>L18+IFERROR(VLOOKUP($E:$E,'（居民）工资表-6月'!$E:$S,15,0),0)</f>
        <v>2363.63</v>
      </c>
      <c r="T18" s="91">
        <f>5000+IFERROR(VLOOKUP($E:$E,'（居民）工资表-6月'!$E:$T,16,0),0)</f>
        <v>5000</v>
      </c>
      <c r="U18" s="91">
        <f>Q18+IFERROR(VLOOKUP($E:$E,'（居民）工资表-6月'!$E:$U,17,0),0)</f>
        <v>885.3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3">
        <f t="shared" si="2"/>
        <v>-3521.67</v>
      </c>
      <c r="AE18" s="94">
        <f>ROUND(MAX((AD18)*{0.03;0.1;0.2;0.25;0.3;0.35;0.45}-{0;2520;16920;31920;52920;85920;181920},0),2)</f>
        <v>0</v>
      </c>
      <c r="AF18" s="95">
        <f>IFERROR(VLOOKUP(E:E,'（居民）工资表-6月'!E:AF,28,0)+VLOOKUP(E:E,'（居民）工资表-6月'!E:AG,29,0),0)</f>
        <v>0</v>
      </c>
      <c r="AG18" s="95">
        <f t="shared" si="3"/>
        <v>0</v>
      </c>
      <c r="AH18" s="102">
        <f t="shared" si="4"/>
        <v>1478.33</v>
      </c>
      <c r="AI18" s="103"/>
      <c r="AJ18" s="102">
        <f t="shared" si="5"/>
        <v>1478.33</v>
      </c>
      <c r="AK18" s="104"/>
      <c r="AL18" s="102">
        <f t="shared" si="6"/>
        <v>1478.33</v>
      </c>
      <c r="AM18" s="104"/>
      <c r="AN18" s="104"/>
      <c r="AO18" s="104"/>
      <c r="AP18" s="104"/>
      <c r="AQ18" s="104"/>
      <c r="AR18" s="110" t="str">
        <f t="shared" si="7"/>
        <v>正确</v>
      </c>
      <c r="AS18" s="110" t="str">
        <f>IF(SUMPRODUCT(N(E$1:E$18=E18))&gt;1,"重复","不")</f>
        <v>不</v>
      </c>
      <c r="AT18" s="110" t="str">
        <f>IF(SUMPRODUCT(N(AO$1:AO$18=AO18))&gt;1,"重复","不")</f>
        <v>重复</v>
      </c>
    </row>
    <row r="19" s="13" customFormat="1" ht="18" customHeight="1" spans="1:46">
      <c r="A19" s="41"/>
      <c r="B19" s="42" t="s">
        <v>152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Q19" si="10">SUM(L4:L18)</f>
        <v>177213.63</v>
      </c>
      <c r="M19" s="74">
        <f t="shared" si="10"/>
        <v>4326.09</v>
      </c>
      <c r="N19" s="74">
        <f t="shared" si="10"/>
        <v>1171.64</v>
      </c>
      <c r="O19" s="74">
        <f t="shared" si="10"/>
        <v>187.88</v>
      </c>
      <c r="P19" s="74">
        <f t="shared" si="10"/>
        <v>3161.56</v>
      </c>
      <c r="Q19" s="74">
        <f t="shared" si="10"/>
        <v>8847.17</v>
      </c>
      <c r="R19" s="74">
        <f t="shared" ref="R19:AL19" si="11">SUM(R4:R18)</f>
        <v>0</v>
      </c>
      <c r="S19" s="74">
        <f t="shared" si="11"/>
        <v>177213.63</v>
      </c>
      <c r="T19" s="74">
        <f t="shared" si="11"/>
        <v>75000</v>
      </c>
      <c r="U19" s="74">
        <f t="shared" si="11"/>
        <v>8847.17</v>
      </c>
      <c r="V19" s="74">
        <f t="shared" si="11"/>
        <v>7000</v>
      </c>
      <c r="W19" s="74">
        <f t="shared" si="11"/>
        <v>4000</v>
      </c>
      <c r="X19" s="74">
        <f t="shared" si="11"/>
        <v>19000</v>
      </c>
      <c r="Y19" s="74">
        <f t="shared" si="11"/>
        <v>16500</v>
      </c>
      <c r="Z19" s="74">
        <f t="shared" si="11"/>
        <v>4400</v>
      </c>
      <c r="AA19" s="74">
        <f t="shared" si="11"/>
        <v>0</v>
      </c>
      <c r="AB19" s="74">
        <f t="shared" si="11"/>
        <v>50900</v>
      </c>
      <c r="AC19" s="74">
        <f t="shared" si="11"/>
        <v>0</v>
      </c>
      <c r="AD19" s="74">
        <f t="shared" si="11"/>
        <v>42466.46</v>
      </c>
      <c r="AE19" s="74">
        <f t="shared" si="11"/>
        <v>2218.02</v>
      </c>
      <c r="AF19" s="74">
        <f t="shared" si="11"/>
        <v>0</v>
      </c>
      <c r="AG19" s="74">
        <f t="shared" si="11"/>
        <v>2218.02</v>
      </c>
      <c r="AH19" s="74">
        <f t="shared" si="11"/>
        <v>166148.44</v>
      </c>
      <c r="AI19" s="120">
        <f t="shared" si="11"/>
        <v>0</v>
      </c>
      <c r="AJ19" s="74">
        <f t="shared" si="11"/>
        <v>166148.44</v>
      </c>
      <c r="AK19" s="74">
        <f t="shared" si="11"/>
        <v>0</v>
      </c>
      <c r="AL19" s="74">
        <f t="shared" si="11"/>
        <v>168366.46</v>
      </c>
      <c r="AM19" s="105"/>
      <c r="AN19" s="105"/>
      <c r="AO19" s="105"/>
      <c r="AP19" s="105"/>
      <c r="AQ19" s="105"/>
      <c r="AR19" s="45"/>
      <c r="AS19" s="45"/>
      <c r="AT19" s="111"/>
    </row>
    <row r="22" spans="30:30">
      <c r="AD22" s="96"/>
    </row>
    <row r="23" ht="18.75" customHeight="1" spans="2:30">
      <c r="B23" s="47" t="s">
        <v>127</v>
      </c>
      <c r="C23" s="47" t="s">
        <v>153</v>
      </c>
      <c r="D23" s="47" t="s">
        <v>57</v>
      </c>
      <c r="E23" s="47" t="s">
        <v>58</v>
      </c>
      <c r="AD23" s="10"/>
    </row>
    <row r="24" ht="18.75" customHeight="1" spans="2:5">
      <c r="B24" s="48">
        <f>AJ19</f>
        <v>166148.44</v>
      </c>
      <c r="C24" s="48">
        <f>AG19</f>
        <v>2218.02</v>
      </c>
      <c r="D24" s="48">
        <f>AK19</f>
        <v>0</v>
      </c>
      <c r="E24" s="48">
        <f>B24+C24+D24</f>
        <v>168366.46</v>
      </c>
    </row>
    <row r="25" spans="2:5">
      <c r="B25" s="49"/>
      <c r="C25" s="49"/>
      <c r="D25" s="49"/>
      <c r="E25" s="49" t="e">
        <f>#REF!</f>
        <v>#REF!</v>
      </c>
    </row>
    <row r="26" s="14" customFormat="1" spans="1:35">
      <c r="A26" s="50" t="s">
        <v>154</v>
      </c>
      <c r="B26" s="51" t="s">
        <v>155</v>
      </c>
      <c r="C26" s="52"/>
      <c r="D26" s="52"/>
      <c r="E26" s="52"/>
      <c r="G26" s="53"/>
      <c r="J26" s="75"/>
      <c r="M26" s="76"/>
      <c r="AI26" s="106"/>
    </row>
    <row r="27" s="14" customFormat="1" spans="1:35">
      <c r="A27" s="54"/>
      <c r="B27" s="55" t="s">
        <v>156</v>
      </c>
      <c r="C27" s="52"/>
      <c r="D27" s="52"/>
      <c r="E27" s="52"/>
      <c r="G27" s="53"/>
      <c r="J27" s="75"/>
      <c r="M27" s="76"/>
      <c r="AI27" s="106"/>
    </row>
    <row r="28" s="14" customFormat="1" spans="1:35">
      <c r="A28" s="51"/>
      <c r="B28" s="55" t="s">
        <v>157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06"/>
    </row>
    <row r="29" s="14" customFormat="1" customHeight="1" spans="1:35">
      <c r="A29" s="55"/>
      <c r="B29" s="55" t="s">
        <v>158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06"/>
    </row>
    <row r="30" s="14" customFormat="1" customHeight="1" spans="1:35">
      <c r="A30" s="55"/>
      <c r="B30" s="55" t="s">
        <v>159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06"/>
    </row>
    <row r="31" s="14" customFormat="1" customHeight="1" spans="1:35">
      <c r="A31" s="55"/>
      <c r="B31" s="55" t="s">
        <v>160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6"/>
    </row>
    <row r="33" ht="11.25" customHeight="1" spans="2:2">
      <c r="B33" s="58" t="s">
        <v>161</v>
      </c>
    </row>
    <row r="34" spans="2:2">
      <c r="B34" s="59" t="s">
        <v>162</v>
      </c>
    </row>
    <row r="35" spans="2:2">
      <c r="B35" s="59" t="s">
        <v>163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3" priority="2" stopIfTrue="1"/>
  </conditionalFormatting>
  <conditionalFormatting sqref="B26:B30">
    <cfRule type="duplicateValues" dxfId="3" priority="3" stopIfTrue="1"/>
  </conditionalFormatting>
  <conditionalFormatting sqref="B34:B35">
    <cfRule type="duplicateValues" dxfId="3" priority="1" stopIfTrue="1"/>
  </conditionalFormatting>
  <conditionalFormatting sqref="C23:C25">
    <cfRule type="duplicateValues" dxfId="3" priority="4" stopIfTrue="1"/>
    <cfRule type="expression" dxfId="4" priority="5" stopIfTrue="1">
      <formula>AND(COUNTIF($B$19:$B$65455,C23)+COUNTIF($B$1:$B$3,C23)&gt;1,NOT(ISBLANK(C23)))</formula>
    </cfRule>
    <cfRule type="expression" dxfId="4" priority="6" stopIfTrue="1">
      <formula>AND(COUNTIF($B$30:$B$65406,C23)+COUNTIF($B$1:$B$29,C23)&gt;1,NOT(ISBLANK(C23)))</formula>
    </cfRule>
    <cfRule type="expression" dxfId="4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148</v>
      </c>
      <c r="E4" s="37" t="s">
        <v>76</v>
      </c>
      <c r="F4" s="38" t="s">
        <v>150</v>
      </c>
      <c r="G4" s="39">
        <v>18035163638</v>
      </c>
      <c r="H4" s="40"/>
      <c r="I4" s="40"/>
      <c r="J4" s="69"/>
      <c r="K4" s="40"/>
      <c r="L4" s="70">
        <v>10560</v>
      </c>
      <c r="M4" s="71">
        <v>422.72</v>
      </c>
      <c r="N4" s="71">
        <v>66</v>
      </c>
      <c r="O4" s="71">
        <v>15.82</v>
      </c>
      <c r="P4" s="71">
        <v>180</v>
      </c>
      <c r="Q4" s="89">
        <f>ROUND(SUM(M4:P4),2)</f>
        <v>684.54</v>
      </c>
      <c r="R4" s="70">
        <v>0</v>
      </c>
      <c r="S4" s="90">
        <f>L4+IFERROR(VLOOKUP($E:$E,'（居民）工资表-7月'!$E:$S,15,0),0)</f>
        <v>20790</v>
      </c>
      <c r="T4" s="91">
        <f>5000+IFERROR(VLOOKUP($E:$E,'（居民）工资表-7月'!$E:$T,16,0),0)</f>
        <v>10000</v>
      </c>
      <c r="U4" s="91">
        <f>Q4+IFERROR(VLOOKUP($E:$E,'（居民）工资表-7月'!$E:$U,17,0),0)</f>
        <v>1204.44</v>
      </c>
      <c r="V4" s="70">
        <v>8000</v>
      </c>
      <c r="W4" s="70"/>
      <c r="X4" s="70">
        <v>8000</v>
      </c>
      <c r="Y4" s="70"/>
      <c r="Z4" s="70">
        <v>3200</v>
      </c>
      <c r="AA4" s="70"/>
      <c r="AB4" s="90">
        <f>ROUND(SUM(V4:AA4),2)</f>
        <v>19200</v>
      </c>
      <c r="AC4" s="90">
        <f>R4+IFERROR(VLOOKUP($E:$E,'（居民）工资表-7月'!$E:$AC,25,0),0)</f>
        <v>0</v>
      </c>
      <c r="AD4" s="93">
        <f>ROUND(S4-T4-U4-AB4-AC4,2)</f>
        <v>-9614.44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9875.46</v>
      </c>
      <c r="AI4" s="103"/>
      <c r="AJ4" s="102">
        <f>AH4+AI4</f>
        <v>9875.46</v>
      </c>
      <c r="AK4" s="104"/>
      <c r="AL4" s="102">
        <f>AJ4+AG4+AK4</f>
        <v>9875.46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IF(SUMPRODUCT(N(E$1:E$18=E4))&gt;1,"重复","不")</f>
        <v>不</v>
      </c>
      <c r="AT4" s="110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148</v>
      </c>
      <c r="E5" s="37" t="s">
        <v>94</v>
      </c>
      <c r="F5" s="38" t="s">
        <v>150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72.06</v>
      </c>
      <c r="O5" s="71">
        <v>10.08</v>
      </c>
      <c r="P5" s="71">
        <v>82</v>
      </c>
      <c r="Q5" s="89">
        <f>ROUND(SUM(M5:P5),2)</f>
        <v>432.95</v>
      </c>
      <c r="R5" s="70">
        <v>0</v>
      </c>
      <c r="S5" s="90">
        <f>L5+IFERROR(VLOOKUP($E:$E,'（居民）工资表-7月'!$E:$S,15,0),0)</f>
        <v>14000</v>
      </c>
      <c r="T5" s="91">
        <f>5000+IFERROR(VLOOKUP($E:$E,'（居民）工资表-7月'!$E:$T,16,0),0)</f>
        <v>10000</v>
      </c>
      <c r="U5" s="91">
        <f>Q5+IFERROR(VLOOKUP($E:$E,'（居民）工资表-7月'!$E:$U,17,0),0)</f>
        <v>865.9</v>
      </c>
      <c r="V5" s="70"/>
      <c r="W5" s="70"/>
      <c r="X5" s="70">
        <v>8000</v>
      </c>
      <c r="Y5" s="70"/>
      <c r="Z5" s="70"/>
      <c r="AA5" s="70"/>
      <c r="AB5" s="90">
        <f>ROUND(SUM(V5:AA5),2)</f>
        <v>8000</v>
      </c>
      <c r="AC5" s="90">
        <f>R5+IFERROR(VLOOKUP($E:$E,'（居民）工资表-7月'!$E:$AC,25,0),0)</f>
        <v>0</v>
      </c>
      <c r="AD5" s="93">
        <f>ROUND(S5-T5-U5-AB5-AC5,2)</f>
        <v>-4865.9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>IF((AE5-AF5)&lt;0,0,AE5-AF5)</f>
        <v>0</v>
      </c>
      <c r="AH5" s="102">
        <f>ROUND(IF((L5-Q5-AG5)&lt;0,0,(L5-Q5-AG5)),2)</f>
        <v>6567.05</v>
      </c>
      <c r="AI5" s="103"/>
      <c r="AJ5" s="102">
        <f>AH5+AI5</f>
        <v>6567.05</v>
      </c>
      <c r="AK5" s="104"/>
      <c r="AL5" s="102">
        <f>AJ5+AG5+AK5</f>
        <v>6567.05</v>
      </c>
      <c r="AM5" s="104"/>
      <c r="AN5" s="104"/>
      <c r="AO5" s="104"/>
      <c r="AP5" s="104"/>
      <c r="AQ5" s="104"/>
      <c r="AR5" s="11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0" t="str">
        <f>IF(SUMPRODUCT(N(E$1:E$18=E5))&gt;1,"重复","不")</f>
        <v>不</v>
      </c>
      <c r="AT5" s="110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164</v>
      </c>
      <c r="D6" s="37" t="s">
        <v>148</v>
      </c>
      <c r="E6" s="336" t="s">
        <v>165</v>
      </c>
      <c r="F6" s="38" t="s">
        <v>166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153.42</v>
      </c>
      <c r="O6" s="71">
        <v>4.6</v>
      </c>
      <c r="P6" s="71">
        <v>115</v>
      </c>
      <c r="Q6" s="89">
        <f t="shared" ref="Q6:Q19" si="0">ROUND(SUM(M6:P6),2)</f>
        <v>640.06</v>
      </c>
      <c r="R6" s="70">
        <v>0</v>
      </c>
      <c r="S6" s="90">
        <f>L6+IFERROR(VLOOKUP($E:$E,'（居民）工资表-7月'!$E:$S,15,0),0)</f>
        <v>11400</v>
      </c>
      <c r="T6" s="91">
        <f>5000+IFERROR(VLOOKUP($E:$E,'（居民）工资表-7月'!$E:$T,16,0),0)</f>
        <v>10000</v>
      </c>
      <c r="U6" s="91">
        <f>Q6+IFERROR(VLOOKUP($E:$E,'（居民）工资表-7月'!$E:$U,17,0),0)</f>
        <v>1261.84</v>
      </c>
      <c r="V6" s="70"/>
      <c r="W6" s="70"/>
      <c r="X6" s="70"/>
      <c r="Y6" s="70">
        <v>12000</v>
      </c>
      <c r="Z6" s="70"/>
      <c r="AA6" s="70"/>
      <c r="AB6" s="90">
        <f t="shared" ref="AB6:AB19" si="1">ROUND(SUM(V6:AA6),2)</f>
        <v>12000</v>
      </c>
      <c r="AC6" s="90">
        <f>R6+IFERROR(VLOOKUP($E:$E,'（居民）工资表-7月'!$E:$AC,25,0),0)</f>
        <v>0</v>
      </c>
      <c r="AD6" s="93">
        <f t="shared" ref="AD6:AD19" si="2">ROUND(S6-T6-U6-AB6-AC6,2)</f>
        <v>-11861.84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ref="AG6:AG19" si="3">IF((AE6-AF6)&lt;0,0,AE6-AF6)</f>
        <v>0</v>
      </c>
      <c r="AH6" s="102">
        <f t="shared" ref="AH6:AH19" si="4">ROUND(IF((L6-Q6-AG6)&lt;0,0,(L6-Q6-AG6)),2)</f>
        <v>5059.94</v>
      </c>
      <c r="AI6" s="103"/>
      <c r="AJ6" s="102">
        <f t="shared" ref="AJ6:AJ19" si="5">AH6+AI6</f>
        <v>5059.94</v>
      </c>
      <c r="AK6" s="104"/>
      <c r="AL6" s="102">
        <f t="shared" ref="AL6:AL19" si="6">AJ6+AG6+AK6</f>
        <v>5059.94</v>
      </c>
      <c r="AM6" s="104"/>
      <c r="AN6" s="104"/>
      <c r="AO6" s="104"/>
      <c r="AP6" s="104"/>
      <c r="AQ6" s="104"/>
      <c r="AR6" s="110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0" t="str">
        <f t="shared" ref="AS6:AS16" si="8">IF(SUMPRODUCT(N(E$1:E$18=E6))&gt;1,"重复","不")</f>
        <v>不</v>
      </c>
      <c r="AT6" s="110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146</v>
      </c>
      <c r="C7" s="37" t="s">
        <v>167</v>
      </c>
      <c r="D7" s="37" t="s">
        <v>148</v>
      </c>
      <c r="E7" s="37" t="s">
        <v>168</v>
      </c>
      <c r="F7" s="38" t="s">
        <v>150</v>
      </c>
      <c r="G7" s="39">
        <v>18037463616</v>
      </c>
      <c r="H7" s="40"/>
      <c r="I7" s="40"/>
      <c r="J7" s="69"/>
      <c r="K7" s="40"/>
      <c r="L7" s="70">
        <v>14320</v>
      </c>
      <c r="M7" s="71">
        <v>309.52</v>
      </c>
      <c r="N7" s="71">
        <v>77.38</v>
      </c>
      <c r="O7" s="71">
        <v>11.61</v>
      </c>
      <c r="P7" s="71">
        <v>254.32</v>
      </c>
      <c r="Q7" s="89">
        <f t="shared" si="0"/>
        <v>652.83</v>
      </c>
      <c r="R7" s="70">
        <v>0</v>
      </c>
      <c r="S7" s="90">
        <f>L7+IFERROR(VLOOKUP($E:$E,'（居民）工资表-7月'!$E:$S,15,0),0)</f>
        <v>28940</v>
      </c>
      <c r="T7" s="91">
        <f>5000+IFERROR(VLOOKUP($E:$E,'（居民）工资表-7月'!$E:$T,16,0),0)</f>
        <v>10000</v>
      </c>
      <c r="U7" s="91">
        <f>Q7+IFERROR(VLOOKUP($E:$E,'（居民）工资表-7月'!$E:$U,17,0),0)</f>
        <v>1234.95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3">
        <f t="shared" si="2"/>
        <v>17705.05</v>
      </c>
      <c r="AE7" s="94">
        <f>ROUND(MAX((AD7)*{0.03;0.1;0.2;0.25;0.3;0.35;0.45}-{0;2520;16920;31920;52920;85920;181920},0),2)</f>
        <v>531.15</v>
      </c>
      <c r="AF7" s="95">
        <f>IFERROR(VLOOKUP(E:E,'（居民）工资表-7月'!E:AF,28,0)+VLOOKUP(E:E,'（居民）工资表-7月'!E:AG,29,0),0)</f>
        <v>121.14</v>
      </c>
      <c r="AG7" s="95">
        <f t="shared" si="3"/>
        <v>410.01</v>
      </c>
      <c r="AH7" s="102">
        <f t="shared" si="4"/>
        <v>13257.16</v>
      </c>
      <c r="AI7" s="103"/>
      <c r="AJ7" s="102">
        <f t="shared" si="5"/>
        <v>13257.16</v>
      </c>
      <c r="AK7" s="104"/>
      <c r="AL7" s="102">
        <f t="shared" si="6"/>
        <v>13667.17</v>
      </c>
      <c r="AM7" s="104"/>
      <c r="AN7" s="104"/>
      <c r="AO7" s="104"/>
      <c r="AP7" s="104"/>
      <c r="AQ7" s="104"/>
      <c r="AR7" s="110" t="str">
        <f t="shared" si="7"/>
        <v>正确</v>
      </c>
      <c r="AS7" s="110" t="str">
        <f t="shared" si="8"/>
        <v>不</v>
      </c>
      <c r="AT7" s="110" t="str">
        <f t="shared" si="9"/>
        <v>重复</v>
      </c>
    </row>
    <row r="8" s="12" customFormat="1" ht="18" customHeight="1" spans="1:46">
      <c r="A8" s="36">
        <v>5</v>
      </c>
      <c r="B8" s="37" t="s">
        <v>146</v>
      </c>
      <c r="C8" s="37" t="s">
        <v>169</v>
      </c>
      <c r="D8" s="37" t="s">
        <v>148</v>
      </c>
      <c r="E8" s="336" t="s">
        <v>170</v>
      </c>
      <c r="F8" s="38" t="s">
        <v>150</v>
      </c>
      <c r="G8" s="39">
        <v>18500634358</v>
      </c>
      <c r="H8" s="40"/>
      <c r="I8" s="40"/>
      <c r="J8" s="69"/>
      <c r="K8" s="40"/>
      <c r="L8" s="70">
        <v>14620</v>
      </c>
      <c r="M8" s="71">
        <v>309.52</v>
      </c>
      <c r="N8" s="71">
        <v>77.38</v>
      </c>
      <c r="O8" s="71">
        <v>11.61</v>
      </c>
      <c r="P8" s="71">
        <v>254.32</v>
      </c>
      <c r="Q8" s="89">
        <f t="shared" si="0"/>
        <v>652.83</v>
      </c>
      <c r="R8" s="70">
        <v>0</v>
      </c>
      <c r="S8" s="90">
        <f>L8+IFERROR(VLOOKUP($E:$E,'（居民）工资表-7月'!$E:$S,15,0),0)</f>
        <v>29540</v>
      </c>
      <c r="T8" s="91">
        <f>5000+IFERROR(VLOOKUP($E:$E,'（居民）工资表-7月'!$E:$T,16,0),0)</f>
        <v>10000</v>
      </c>
      <c r="U8" s="91">
        <f>Q8+IFERROR(VLOOKUP($E:$E,'（居民）工资表-7月'!$E:$U,17,0),0)</f>
        <v>1234.95</v>
      </c>
      <c r="V8" s="70"/>
      <c r="W8" s="70"/>
      <c r="X8" s="70">
        <v>5000</v>
      </c>
      <c r="Y8" s="70"/>
      <c r="Z8" s="70"/>
      <c r="AA8" s="70"/>
      <c r="AB8" s="90">
        <f t="shared" si="1"/>
        <v>5000</v>
      </c>
      <c r="AC8" s="90">
        <f>R8+IFERROR(VLOOKUP($E:$E,'（居民）工资表-7月'!$E:$AC,25,0),0)</f>
        <v>0</v>
      </c>
      <c r="AD8" s="93">
        <f t="shared" si="2"/>
        <v>13305.05</v>
      </c>
      <c r="AE8" s="94">
        <f>ROUND(MAX((AD8)*{0.03;0.1;0.2;0.25;0.3;0.35;0.45}-{0;2520;16920;31920;52920;85920;181920},0),2)</f>
        <v>399.15</v>
      </c>
      <c r="AF8" s="95">
        <f>IFERROR(VLOOKUP(E:E,'（居民）工资表-7月'!E:AF,28,0)+VLOOKUP(E:E,'（居民）工资表-7月'!E:AG,29,0),0)</f>
        <v>280.14</v>
      </c>
      <c r="AG8" s="95">
        <f t="shared" si="3"/>
        <v>119.01</v>
      </c>
      <c r="AH8" s="102">
        <f t="shared" si="4"/>
        <v>13848.16</v>
      </c>
      <c r="AI8" s="103"/>
      <c r="AJ8" s="102">
        <f t="shared" si="5"/>
        <v>13848.16</v>
      </c>
      <c r="AK8" s="104"/>
      <c r="AL8" s="102">
        <f t="shared" si="6"/>
        <v>13967.17</v>
      </c>
      <c r="AM8" s="104"/>
      <c r="AN8" s="104"/>
      <c r="AO8" s="104"/>
      <c r="AP8" s="104"/>
      <c r="AQ8" s="104"/>
      <c r="AR8" s="110" t="str">
        <f t="shared" si="7"/>
        <v>正确</v>
      </c>
      <c r="AS8" s="110" t="str">
        <f t="shared" si="8"/>
        <v>不</v>
      </c>
      <c r="AT8" s="110" t="str">
        <f t="shared" si="9"/>
        <v>重复</v>
      </c>
    </row>
    <row r="9" s="12" customFormat="1" ht="18" customHeight="1" spans="1:46">
      <c r="A9" s="36">
        <v>6</v>
      </c>
      <c r="B9" s="37" t="s">
        <v>146</v>
      </c>
      <c r="C9" s="37" t="s">
        <v>171</v>
      </c>
      <c r="D9" s="37" t="s">
        <v>148</v>
      </c>
      <c r="E9" s="37" t="s">
        <v>172</v>
      </c>
      <c r="F9" s="38" t="s">
        <v>150</v>
      </c>
      <c r="G9" s="39">
        <v>18738169923</v>
      </c>
      <c r="H9" s="40"/>
      <c r="I9" s="40"/>
      <c r="J9" s="69"/>
      <c r="K9" s="40"/>
      <c r="L9" s="70">
        <v>12120</v>
      </c>
      <c r="M9" s="71">
        <v>309.52</v>
      </c>
      <c r="N9" s="71">
        <v>77.38</v>
      </c>
      <c r="O9" s="71">
        <v>11.61</v>
      </c>
      <c r="P9" s="71">
        <v>254.32</v>
      </c>
      <c r="Q9" s="89">
        <f t="shared" si="0"/>
        <v>652.83</v>
      </c>
      <c r="R9" s="70">
        <v>0</v>
      </c>
      <c r="S9" s="90">
        <f>L9+IFERROR(VLOOKUP($E:$E,'（居民）工资表-7月'!$E:$S,15,0),0)</f>
        <v>24540</v>
      </c>
      <c r="T9" s="91">
        <f>5000+IFERROR(VLOOKUP($E:$E,'（居民）工资表-7月'!$E:$T,16,0),0)</f>
        <v>10000</v>
      </c>
      <c r="U9" s="91">
        <f>Q9+IFERROR(VLOOKUP($E:$E,'（居民）工资表-7月'!$E:$U,17,0),0)</f>
        <v>1234.95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3">
        <f t="shared" si="2"/>
        <v>13305.05</v>
      </c>
      <c r="AE9" s="94">
        <f>ROUND(MAX((AD9)*{0.03;0.1;0.2;0.25;0.3;0.35;0.45}-{0;2520;16920;31920;52920;85920;181920},0),2)</f>
        <v>399.15</v>
      </c>
      <c r="AF9" s="95">
        <f>IFERROR(VLOOKUP(E:E,'（居民）工资表-7月'!E:AF,28,0)+VLOOKUP(E:E,'（居民）工资表-7月'!E:AG,29,0),0)</f>
        <v>205.14</v>
      </c>
      <c r="AG9" s="95">
        <f t="shared" si="3"/>
        <v>194.01</v>
      </c>
      <c r="AH9" s="102">
        <f t="shared" si="4"/>
        <v>11273.16</v>
      </c>
      <c r="AI9" s="103"/>
      <c r="AJ9" s="102">
        <f t="shared" si="5"/>
        <v>11273.16</v>
      </c>
      <c r="AK9" s="104"/>
      <c r="AL9" s="102">
        <f t="shared" si="6"/>
        <v>11467.17</v>
      </c>
      <c r="AM9" s="104"/>
      <c r="AN9" s="104"/>
      <c r="AO9" s="104"/>
      <c r="AP9" s="104"/>
      <c r="AQ9" s="104"/>
      <c r="AR9" s="110" t="str">
        <f t="shared" si="7"/>
        <v>正确</v>
      </c>
      <c r="AS9" s="110" t="str">
        <f t="shared" si="8"/>
        <v>不</v>
      </c>
      <c r="AT9" s="110" t="str">
        <f t="shared" si="9"/>
        <v>重复</v>
      </c>
    </row>
    <row r="10" s="12" customFormat="1" ht="18" customHeight="1" spans="1:46">
      <c r="A10" s="36">
        <v>7</v>
      </c>
      <c r="B10" s="37" t="s">
        <v>146</v>
      </c>
      <c r="C10" s="37" t="s">
        <v>173</v>
      </c>
      <c r="D10" s="37" t="s">
        <v>148</v>
      </c>
      <c r="E10" s="37" t="s">
        <v>174</v>
      </c>
      <c r="F10" s="38" t="s">
        <v>150</v>
      </c>
      <c r="G10" s="39" t="s">
        <v>175</v>
      </c>
      <c r="H10" s="40"/>
      <c r="I10" s="40"/>
      <c r="J10" s="69"/>
      <c r="K10" s="40"/>
      <c r="L10" s="70">
        <v>17120</v>
      </c>
      <c r="M10" s="71">
        <v>309.52</v>
      </c>
      <c r="N10" s="71">
        <v>77.38</v>
      </c>
      <c r="O10" s="71">
        <v>11.61</v>
      </c>
      <c r="P10" s="71">
        <v>254.32</v>
      </c>
      <c r="Q10" s="89">
        <f t="shared" si="0"/>
        <v>652.83</v>
      </c>
      <c r="R10" s="70">
        <v>0</v>
      </c>
      <c r="S10" s="90">
        <f>L10+IFERROR(VLOOKUP($E:$E,'（居民）工资表-7月'!$E:$S,15,0),0)</f>
        <v>34540</v>
      </c>
      <c r="T10" s="91">
        <f>5000+IFERROR(VLOOKUP($E:$E,'（居民）工资表-7月'!$E:$T,16,0),0)</f>
        <v>10000</v>
      </c>
      <c r="U10" s="91">
        <f>Q10+IFERROR(VLOOKUP($E:$E,'（居民）工资表-7月'!$E:$U,17,0),0)</f>
        <v>1234.95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3">
        <f t="shared" si="2"/>
        <v>23305.05</v>
      </c>
      <c r="AE10" s="94">
        <f>ROUND(MAX((AD10)*{0.03;0.1;0.2;0.25;0.3;0.35;0.45}-{0;2520;16920;31920;52920;85920;181920},0),2)</f>
        <v>699.15</v>
      </c>
      <c r="AF10" s="95">
        <f>IFERROR(VLOOKUP(E:E,'（居民）工资表-7月'!E:AF,28,0)+VLOOKUP(E:E,'（居民）工资表-7月'!E:AG,29,0),0)</f>
        <v>355.14</v>
      </c>
      <c r="AG10" s="95">
        <f t="shared" si="3"/>
        <v>344.01</v>
      </c>
      <c r="AH10" s="102">
        <f t="shared" si="4"/>
        <v>16123.16</v>
      </c>
      <c r="AI10" s="103"/>
      <c r="AJ10" s="102">
        <f t="shared" si="5"/>
        <v>16123.16</v>
      </c>
      <c r="AK10" s="104"/>
      <c r="AL10" s="102">
        <f t="shared" si="6"/>
        <v>16467.17</v>
      </c>
      <c r="AM10" s="104"/>
      <c r="AN10" s="104"/>
      <c r="AO10" s="104"/>
      <c r="AP10" s="104"/>
      <c r="AQ10" s="104"/>
      <c r="AR10" s="110" t="str">
        <f t="shared" si="7"/>
        <v>正确</v>
      </c>
      <c r="AS10" s="110" t="str">
        <f t="shared" si="8"/>
        <v>不</v>
      </c>
      <c r="AT10" s="110" t="str">
        <f t="shared" si="9"/>
        <v>重复</v>
      </c>
    </row>
    <row r="11" s="12" customFormat="1" ht="18" customHeight="1" spans="1:46">
      <c r="A11" s="36">
        <v>8</v>
      </c>
      <c r="B11" s="37" t="s">
        <v>146</v>
      </c>
      <c r="C11" s="37" t="s">
        <v>176</v>
      </c>
      <c r="D11" s="37" t="s">
        <v>148</v>
      </c>
      <c r="E11" s="37" t="s">
        <v>177</v>
      </c>
      <c r="F11" s="38" t="s">
        <v>150</v>
      </c>
      <c r="G11" s="39" t="s">
        <v>178</v>
      </c>
      <c r="H11" s="40"/>
      <c r="I11" s="40"/>
      <c r="J11" s="69"/>
      <c r="K11" s="40"/>
      <c r="L11" s="70">
        <v>18420</v>
      </c>
      <c r="M11" s="71">
        <v>309.52</v>
      </c>
      <c r="N11" s="71">
        <v>77.38</v>
      </c>
      <c r="O11" s="71">
        <v>11.61</v>
      </c>
      <c r="P11" s="71">
        <v>254.32</v>
      </c>
      <c r="Q11" s="89">
        <f t="shared" si="0"/>
        <v>652.83</v>
      </c>
      <c r="R11" s="70">
        <v>0</v>
      </c>
      <c r="S11" s="90">
        <f>L11+IFERROR(VLOOKUP($E:$E,'（居民）工资表-7月'!$E:$S,15,0),0)</f>
        <v>37140</v>
      </c>
      <c r="T11" s="91">
        <f>5000+IFERROR(VLOOKUP($E:$E,'（居民）工资表-7月'!$E:$T,16,0),0)</f>
        <v>10000</v>
      </c>
      <c r="U11" s="91">
        <f>Q11+IFERROR(VLOOKUP($E:$E,'（居民）工资表-7月'!$E:$U,17,0),0)</f>
        <v>1234.95</v>
      </c>
      <c r="V11" s="70"/>
      <c r="W11" s="70">
        <v>5000</v>
      </c>
      <c r="X11" s="70"/>
      <c r="Y11" s="70">
        <v>7500</v>
      </c>
      <c r="Z11" s="70">
        <v>2000</v>
      </c>
      <c r="AA11" s="70"/>
      <c r="AB11" s="90">
        <f t="shared" si="1"/>
        <v>14500</v>
      </c>
      <c r="AC11" s="90">
        <f>R11+IFERROR(VLOOKUP($E:$E,'（居民）工资表-7月'!$E:$AC,25,0),0)</f>
        <v>0</v>
      </c>
      <c r="AD11" s="93">
        <f t="shared" si="2"/>
        <v>11405.05</v>
      </c>
      <c r="AE11" s="94">
        <f>ROUND(MAX((AD11)*{0.03;0.1;0.2;0.25;0.3;0.35;0.45}-{0;2520;16920;31920;52920;85920;181920},0),2)</f>
        <v>342.15</v>
      </c>
      <c r="AF11" s="95">
        <f>IFERROR(VLOOKUP(E:E,'（居民）工资表-7月'!E:AF,28,0)+VLOOKUP(E:E,'（居民）工资表-7月'!E:AG,29,0),0)</f>
        <v>46.14</v>
      </c>
      <c r="AG11" s="95">
        <f t="shared" si="3"/>
        <v>296.01</v>
      </c>
      <c r="AH11" s="102">
        <f t="shared" si="4"/>
        <v>17471.16</v>
      </c>
      <c r="AI11" s="103"/>
      <c r="AJ11" s="102">
        <f t="shared" si="5"/>
        <v>17471.16</v>
      </c>
      <c r="AK11" s="104"/>
      <c r="AL11" s="102">
        <f t="shared" si="6"/>
        <v>17767.17</v>
      </c>
      <c r="AM11" s="104"/>
      <c r="AN11" s="104"/>
      <c r="AO11" s="104"/>
      <c r="AP11" s="104"/>
      <c r="AQ11" s="104"/>
      <c r="AR11" s="110" t="str">
        <f t="shared" si="7"/>
        <v>正确</v>
      </c>
      <c r="AS11" s="110" t="str">
        <f t="shared" si="8"/>
        <v>不</v>
      </c>
      <c r="AT11" s="110" t="str">
        <f t="shared" si="9"/>
        <v>重复</v>
      </c>
    </row>
    <row r="12" s="12" customFormat="1" ht="18" customHeight="1" spans="1:46">
      <c r="A12" s="36">
        <v>9</v>
      </c>
      <c r="B12" s="37" t="s">
        <v>146</v>
      </c>
      <c r="C12" s="37" t="s">
        <v>179</v>
      </c>
      <c r="D12" s="37" t="s">
        <v>148</v>
      </c>
      <c r="E12" s="37" t="s">
        <v>180</v>
      </c>
      <c r="F12" s="38" t="s">
        <v>150</v>
      </c>
      <c r="G12" s="39" t="s">
        <v>181</v>
      </c>
      <c r="H12" s="40"/>
      <c r="I12" s="40"/>
      <c r="J12" s="69"/>
      <c r="K12" s="40"/>
      <c r="L12" s="70">
        <v>13620</v>
      </c>
      <c r="M12" s="71">
        <v>309.52</v>
      </c>
      <c r="N12" s="71">
        <v>77.38</v>
      </c>
      <c r="O12" s="71">
        <v>11.61</v>
      </c>
      <c r="P12" s="71">
        <v>254.32</v>
      </c>
      <c r="Q12" s="89">
        <f t="shared" si="0"/>
        <v>652.83</v>
      </c>
      <c r="R12" s="70">
        <v>0</v>
      </c>
      <c r="S12" s="90">
        <f>L12+IFERROR(VLOOKUP($E:$E,'（居民）工资表-7月'!$E:$S,15,0),0)</f>
        <v>27540</v>
      </c>
      <c r="T12" s="91">
        <f>5000+IFERROR(VLOOKUP($E:$E,'（居民）工资表-7月'!$E:$T,16,0),0)</f>
        <v>10000</v>
      </c>
      <c r="U12" s="91">
        <f>Q12+IFERROR(VLOOKUP($E:$E,'（居民）工资表-7月'!$E:$U,17,0),0)</f>
        <v>1234.95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3">
        <f t="shared" si="2"/>
        <v>16305.05</v>
      </c>
      <c r="AE12" s="94">
        <f>ROUND(MAX((AD12)*{0.03;0.1;0.2;0.25;0.3;0.35;0.45}-{0;2520;16920;31920;52920;85920;181920},0),2)</f>
        <v>489.15</v>
      </c>
      <c r="AF12" s="95">
        <f>IFERROR(VLOOKUP(E:E,'（居民）工资表-7月'!E:AF,28,0)+VLOOKUP(E:E,'（居民）工资表-7月'!E:AG,29,0),0)</f>
        <v>250.14</v>
      </c>
      <c r="AG12" s="95">
        <f t="shared" si="3"/>
        <v>239.01</v>
      </c>
      <c r="AH12" s="102">
        <f t="shared" si="4"/>
        <v>12728.16</v>
      </c>
      <c r="AI12" s="103"/>
      <c r="AJ12" s="102">
        <f t="shared" si="5"/>
        <v>12728.16</v>
      </c>
      <c r="AK12" s="104"/>
      <c r="AL12" s="102">
        <f t="shared" si="6"/>
        <v>12967.17</v>
      </c>
      <c r="AM12" s="104"/>
      <c r="AN12" s="104"/>
      <c r="AO12" s="104"/>
      <c r="AP12" s="104"/>
      <c r="AQ12" s="104"/>
      <c r="AR12" s="110" t="str">
        <f t="shared" si="7"/>
        <v>正确</v>
      </c>
      <c r="AS12" s="110" t="str">
        <f t="shared" si="8"/>
        <v>不</v>
      </c>
      <c r="AT12" s="110" t="str">
        <f t="shared" si="9"/>
        <v>重复</v>
      </c>
    </row>
    <row r="13" s="12" customFormat="1" ht="18" customHeight="1" spans="1:46">
      <c r="A13" s="36">
        <v>10</v>
      </c>
      <c r="B13" s="37" t="s">
        <v>146</v>
      </c>
      <c r="C13" s="37" t="s">
        <v>182</v>
      </c>
      <c r="D13" s="37" t="s">
        <v>148</v>
      </c>
      <c r="E13" s="37" t="s">
        <v>183</v>
      </c>
      <c r="F13" s="38" t="s">
        <v>150</v>
      </c>
      <c r="G13" s="39">
        <v>15001138812</v>
      </c>
      <c r="H13" s="40"/>
      <c r="I13" s="40"/>
      <c r="J13" s="69"/>
      <c r="K13" s="40"/>
      <c r="L13" s="70">
        <v>10120</v>
      </c>
      <c r="M13" s="71">
        <v>309.52</v>
      </c>
      <c r="N13" s="71">
        <v>77.38</v>
      </c>
      <c r="O13" s="71">
        <v>11.61</v>
      </c>
      <c r="P13" s="71">
        <v>254.32</v>
      </c>
      <c r="Q13" s="89">
        <f t="shared" si="0"/>
        <v>652.83</v>
      </c>
      <c r="R13" s="70">
        <v>0</v>
      </c>
      <c r="S13" s="90">
        <f>L13+IFERROR(VLOOKUP($E:$E,'（居民）工资表-7月'!$E:$S,15,0),0)</f>
        <v>20540</v>
      </c>
      <c r="T13" s="91">
        <f>5000+IFERROR(VLOOKUP($E:$E,'（居民）工资表-7月'!$E:$T,16,0),0)</f>
        <v>10000</v>
      </c>
      <c r="U13" s="91">
        <f>Q13+IFERROR(VLOOKUP($E:$E,'（居民）工资表-7月'!$E:$U,17,0),0)</f>
        <v>1234.95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3">
        <f t="shared" si="2"/>
        <v>9305.05</v>
      </c>
      <c r="AE13" s="94">
        <f>ROUND(MAX((AD13)*{0.03;0.1;0.2;0.25;0.3;0.35;0.45}-{0;2520;16920;31920;52920;85920;181920},0),2)</f>
        <v>279.15</v>
      </c>
      <c r="AF13" s="95">
        <f>IFERROR(VLOOKUP(E:E,'（居民）工资表-7月'!E:AF,28,0)+VLOOKUP(E:E,'（居民）工资表-7月'!E:AG,29,0),0)</f>
        <v>145.14</v>
      </c>
      <c r="AG13" s="95">
        <f t="shared" si="3"/>
        <v>134.01</v>
      </c>
      <c r="AH13" s="102">
        <f t="shared" si="4"/>
        <v>9333.16</v>
      </c>
      <c r="AI13" s="103"/>
      <c r="AJ13" s="102">
        <f t="shared" si="5"/>
        <v>9333.16</v>
      </c>
      <c r="AK13" s="104"/>
      <c r="AL13" s="102">
        <f t="shared" si="6"/>
        <v>9467.17</v>
      </c>
      <c r="AM13" s="104"/>
      <c r="AN13" s="104"/>
      <c r="AO13" s="104"/>
      <c r="AP13" s="104"/>
      <c r="AQ13" s="104"/>
      <c r="AR13" s="110" t="str">
        <f t="shared" si="7"/>
        <v>正确</v>
      </c>
      <c r="AS13" s="110" t="str">
        <f t="shared" si="8"/>
        <v>不</v>
      </c>
      <c r="AT13" s="110" t="str">
        <f t="shared" si="9"/>
        <v>重复</v>
      </c>
    </row>
    <row r="14" s="12" customFormat="1" ht="18" customHeight="1" spans="1:46">
      <c r="A14" s="36">
        <v>11</v>
      </c>
      <c r="B14" s="37" t="s">
        <v>146</v>
      </c>
      <c r="C14" s="37" t="s">
        <v>184</v>
      </c>
      <c r="D14" s="37" t="s">
        <v>148</v>
      </c>
      <c r="E14" s="37" t="s">
        <v>185</v>
      </c>
      <c r="F14" s="38" t="s">
        <v>150</v>
      </c>
      <c r="G14" s="39">
        <v>15333903368</v>
      </c>
      <c r="H14" s="40"/>
      <c r="I14" s="40"/>
      <c r="J14" s="69"/>
      <c r="K14" s="40"/>
      <c r="L14" s="70">
        <v>15120</v>
      </c>
      <c r="M14" s="71">
        <v>309.52</v>
      </c>
      <c r="N14" s="71">
        <v>77.38</v>
      </c>
      <c r="O14" s="71">
        <v>11.61</v>
      </c>
      <c r="P14" s="71">
        <v>254.32</v>
      </c>
      <c r="Q14" s="89">
        <f t="shared" si="0"/>
        <v>652.83</v>
      </c>
      <c r="R14" s="70">
        <v>0</v>
      </c>
      <c r="S14" s="90">
        <f>L14+IFERROR(VLOOKUP($E:$E,'（居民）工资表-7月'!$E:$S,15,0),0)</f>
        <v>30540</v>
      </c>
      <c r="T14" s="91">
        <f>5000+IFERROR(VLOOKUP($E:$E,'（居民）工资表-7月'!$E:$T,16,0),0)</f>
        <v>10000</v>
      </c>
      <c r="U14" s="91">
        <f>Q14+IFERROR(VLOOKUP($E:$E,'（居民）工资表-7月'!$E:$U,17,0),0)</f>
        <v>1234.95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3">
        <f t="shared" si="2"/>
        <v>19305.05</v>
      </c>
      <c r="AE14" s="94">
        <f>ROUND(MAX((AD14)*{0.03;0.1;0.2;0.25;0.3;0.35;0.45}-{0;2520;16920;31920;52920;85920;181920},0),2)</f>
        <v>579.15</v>
      </c>
      <c r="AF14" s="95">
        <f>IFERROR(VLOOKUP(E:E,'（居民）工资表-7月'!E:AF,28,0)+VLOOKUP(E:E,'（居民）工资表-7月'!E:AG,29,0),0)</f>
        <v>295.14</v>
      </c>
      <c r="AG14" s="95">
        <f t="shared" si="3"/>
        <v>284.01</v>
      </c>
      <c r="AH14" s="102">
        <f t="shared" si="4"/>
        <v>14183.16</v>
      </c>
      <c r="AI14" s="103"/>
      <c r="AJ14" s="102">
        <f t="shared" si="5"/>
        <v>14183.16</v>
      </c>
      <c r="AK14" s="104"/>
      <c r="AL14" s="102">
        <f t="shared" si="6"/>
        <v>14467.17</v>
      </c>
      <c r="AM14" s="104"/>
      <c r="AN14" s="104"/>
      <c r="AO14" s="104"/>
      <c r="AP14" s="104"/>
      <c r="AQ14" s="104"/>
      <c r="AR14" s="110" t="str">
        <f t="shared" si="7"/>
        <v>正确</v>
      </c>
      <c r="AS14" s="110" t="str">
        <f t="shared" si="8"/>
        <v>不</v>
      </c>
      <c r="AT14" s="110" t="str">
        <f t="shared" si="9"/>
        <v>重复</v>
      </c>
    </row>
    <row r="15" s="12" customFormat="1" ht="18" customHeight="1" spans="1:46">
      <c r="A15" s="36">
        <v>12</v>
      </c>
      <c r="B15" s="37" t="s">
        <v>146</v>
      </c>
      <c r="C15" s="37" t="s">
        <v>186</v>
      </c>
      <c r="D15" s="37" t="s">
        <v>148</v>
      </c>
      <c r="E15" s="37" t="s">
        <v>187</v>
      </c>
      <c r="F15" s="38" t="s">
        <v>150</v>
      </c>
      <c r="G15" s="39">
        <v>18009593554</v>
      </c>
      <c r="H15" s="40"/>
      <c r="I15" s="40"/>
      <c r="J15" s="69"/>
      <c r="K15" s="40"/>
      <c r="L15" s="70">
        <v>11141</v>
      </c>
      <c r="M15" s="71">
        <v>280.96</v>
      </c>
      <c r="N15" s="71">
        <v>83.24</v>
      </c>
      <c r="O15" s="71">
        <v>17.56</v>
      </c>
      <c r="P15" s="71">
        <v>195</v>
      </c>
      <c r="Q15" s="89">
        <f t="shared" si="0"/>
        <v>576.76</v>
      </c>
      <c r="R15" s="70">
        <v>0</v>
      </c>
      <c r="S15" s="90">
        <f>L15+IFERROR(VLOOKUP($E:$E,'（居民）工资表-7月'!$E:$S,15,0),0)</f>
        <v>22961</v>
      </c>
      <c r="T15" s="91">
        <f>5000+IFERROR(VLOOKUP($E:$E,'（居民）工资表-7月'!$E:$T,16,0),0)</f>
        <v>10000</v>
      </c>
      <c r="U15" s="91">
        <f>Q15+IFERROR(VLOOKUP($E:$E,'（居民）工资表-7月'!$E:$U,17,0),0)</f>
        <v>1153.52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3">
        <f t="shared" si="2"/>
        <v>11807.48</v>
      </c>
      <c r="AE15" s="94">
        <f>ROUND(MAX((AD15)*{0.03;0.1;0.2;0.25;0.3;0.35;0.45}-{0;2520;16920;31920;52920;85920;181920},0),2)</f>
        <v>354.22</v>
      </c>
      <c r="AF15" s="95">
        <f>IFERROR(VLOOKUP(E:E,'（居民）工资表-7月'!E:AF,28,0)+VLOOKUP(E:E,'（居民）工资表-7月'!E:AG,29,0),0)</f>
        <v>187.3</v>
      </c>
      <c r="AG15" s="95">
        <f t="shared" si="3"/>
        <v>166.92</v>
      </c>
      <c r="AH15" s="102">
        <f t="shared" si="4"/>
        <v>10397.32</v>
      </c>
      <c r="AI15" s="103"/>
      <c r="AJ15" s="102">
        <f t="shared" si="5"/>
        <v>10397.32</v>
      </c>
      <c r="AK15" s="104"/>
      <c r="AL15" s="102">
        <f t="shared" si="6"/>
        <v>10564.24</v>
      </c>
      <c r="AM15" s="104"/>
      <c r="AN15" s="104"/>
      <c r="AO15" s="104"/>
      <c r="AP15" s="104"/>
      <c r="AQ15" s="104"/>
      <c r="AR15" s="110" t="str">
        <f t="shared" si="7"/>
        <v>正确</v>
      </c>
      <c r="AS15" s="110" t="str">
        <f t="shared" si="8"/>
        <v>不</v>
      </c>
      <c r="AT15" s="110" t="str">
        <f t="shared" si="9"/>
        <v>重复</v>
      </c>
    </row>
    <row r="16" s="12" customFormat="1" ht="18" customHeight="1" spans="1:46">
      <c r="A16" s="36">
        <v>13</v>
      </c>
      <c r="B16" s="37" t="s">
        <v>146</v>
      </c>
      <c r="C16" s="37" t="s">
        <v>188</v>
      </c>
      <c r="D16" s="37" t="s">
        <v>148</v>
      </c>
      <c r="E16" s="37" t="s">
        <v>189</v>
      </c>
      <c r="F16" s="38" t="s">
        <v>150</v>
      </c>
      <c r="G16" s="39">
        <v>17795512929</v>
      </c>
      <c r="H16" s="40"/>
      <c r="I16" s="40"/>
      <c r="J16" s="69"/>
      <c r="K16" s="40"/>
      <c r="L16" s="70">
        <v>11120</v>
      </c>
      <c r="M16" s="71">
        <v>280.96</v>
      </c>
      <c r="N16" s="71">
        <v>83.24</v>
      </c>
      <c r="O16" s="71">
        <v>17.56</v>
      </c>
      <c r="P16" s="71">
        <v>195</v>
      </c>
      <c r="Q16" s="89">
        <f t="shared" si="0"/>
        <v>576.76</v>
      </c>
      <c r="R16" s="70">
        <v>0</v>
      </c>
      <c r="S16" s="90">
        <f>L16+IFERROR(VLOOKUP($E:$E,'（居民）工资表-7月'!$E:$S,15,0),0)</f>
        <v>22240</v>
      </c>
      <c r="T16" s="91">
        <f>5000+IFERROR(VLOOKUP($E:$E,'（居民）工资表-7月'!$E:$T,16,0),0)</f>
        <v>10000</v>
      </c>
      <c r="U16" s="91">
        <f>Q16+IFERROR(VLOOKUP($E:$E,'（居民）工资表-7月'!$E:$U,17,0),0)</f>
        <v>1153.52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3">
        <f t="shared" si="2"/>
        <v>11086.48</v>
      </c>
      <c r="AE16" s="94">
        <f>ROUND(MAX((AD16)*{0.03;0.1;0.2;0.25;0.3;0.35;0.45}-{0;2520;16920;31920;52920;85920;181920},0),2)</f>
        <v>332.59</v>
      </c>
      <c r="AF16" s="95">
        <f>IFERROR(VLOOKUP(E:E,'（居民）工资表-7月'!E:AF,28,0)+VLOOKUP(E:E,'（居民）工资表-7月'!E:AG,29,0),0)</f>
        <v>166.3</v>
      </c>
      <c r="AG16" s="95">
        <f t="shared" si="3"/>
        <v>166.29</v>
      </c>
      <c r="AH16" s="102">
        <f t="shared" si="4"/>
        <v>10376.95</v>
      </c>
      <c r="AI16" s="103"/>
      <c r="AJ16" s="102">
        <f t="shared" si="5"/>
        <v>10376.95</v>
      </c>
      <c r="AK16" s="104"/>
      <c r="AL16" s="102">
        <f t="shared" si="6"/>
        <v>10543.24</v>
      </c>
      <c r="AM16" s="104"/>
      <c r="AN16" s="104"/>
      <c r="AO16" s="104"/>
      <c r="AP16" s="104"/>
      <c r="AQ16" s="104"/>
      <c r="AR16" s="110" t="str">
        <f t="shared" si="7"/>
        <v>正确</v>
      </c>
      <c r="AS16" s="110" t="str">
        <f t="shared" si="8"/>
        <v>不</v>
      </c>
      <c r="AT16" s="110" t="str">
        <f t="shared" si="9"/>
        <v>重复</v>
      </c>
    </row>
    <row r="17" s="12" customFormat="1" ht="18" customHeight="1" spans="1:46">
      <c r="A17" s="36">
        <v>14</v>
      </c>
      <c r="B17" s="37" t="s">
        <v>146</v>
      </c>
      <c r="C17" s="37" t="s">
        <v>190</v>
      </c>
      <c r="D17" s="37" t="s">
        <v>148</v>
      </c>
      <c r="E17" s="37" t="s">
        <v>191</v>
      </c>
      <c r="F17" s="38" t="s">
        <v>150</v>
      </c>
      <c r="G17" s="39">
        <v>18995128068</v>
      </c>
      <c r="H17" s="40"/>
      <c r="I17" s="40"/>
      <c r="J17" s="69"/>
      <c r="K17" s="40"/>
      <c r="L17" s="70">
        <v>11799</v>
      </c>
      <c r="M17" s="71">
        <v>280.96</v>
      </c>
      <c r="N17" s="71">
        <v>83.24</v>
      </c>
      <c r="O17" s="71">
        <v>17.56</v>
      </c>
      <c r="P17" s="71">
        <v>195</v>
      </c>
      <c r="Q17" s="89">
        <f t="shared" si="0"/>
        <v>576.76</v>
      </c>
      <c r="R17" s="70">
        <v>0</v>
      </c>
      <c r="S17" s="90">
        <f>L17+IFERROR(VLOOKUP($E:$E,'（居民）工资表-7月'!$E:$S,15,0),0)</f>
        <v>22919</v>
      </c>
      <c r="T17" s="91">
        <f>5000+IFERROR(VLOOKUP($E:$E,'（居民）工资表-7月'!$E:$T,16,0),0)</f>
        <v>10000</v>
      </c>
      <c r="U17" s="91">
        <f>Q17+IFERROR(VLOOKUP($E:$E,'（居民）工资表-7月'!$E:$U,17,0),0)</f>
        <v>1153.52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3">
        <f t="shared" si="2"/>
        <v>11765.48</v>
      </c>
      <c r="AE17" s="94">
        <f>ROUND(MAX((AD17)*{0.03;0.1;0.2;0.25;0.3;0.35;0.45}-{0;2520;16920;31920;52920;85920;181920},0),2)</f>
        <v>352.96</v>
      </c>
      <c r="AF17" s="95">
        <f>IFERROR(VLOOKUP(E:E,'（居民）工资表-7月'!E:AF,28,0)+VLOOKUP(E:E,'（居民）工资表-7月'!E:AG,29,0),0)</f>
        <v>166.3</v>
      </c>
      <c r="AG17" s="95">
        <f t="shared" si="3"/>
        <v>186.66</v>
      </c>
      <c r="AH17" s="102">
        <f t="shared" si="4"/>
        <v>11035.58</v>
      </c>
      <c r="AI17" s="103"/>
      <c r="AJ17" s="102">
        <f t="shared" si="5"/>
        <v>11035.58</v>
      </c>
      <c r="AK17" s="104"/>
      <c r="AL17" s="102">
        <f t="shared" si="6"/>
        <v>11222.24</v>
      </c>
      <c r="AM17" s="104"/>
      <c r="AN17" s="104"/>
      <c r="AO17" s="104"/>
      <c r="AP17" s="104"/>
      <c r="AQ17" s="104"/>
      <c r="AR17" s="110" t="str">
        <f t="shared" si="7"/>
        <v>正确</v>
      </c>
      <c r="AS17" s="110" t="str">
        <f>IF(SUMPRODUCT(N(E$1:E$18=E17))&gt;1,"重复","不")</f>
        <v>不</v>
      </c>
      <c r="AT17" s="110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146</v>
      </c>
      <c r="C18" s="37" t="s">
        <v>192</v>
      </c>
      <c r="D18" s="37" t="s">
        <v>148</v>
      </c>
      <c r="E18" s="336" t="s">
        <v>193</v>
      </c>
      <c r="F18" s="38" t="s">
        <v>150</v>
      </c>
      <c r="G18" s="39" t="s">
        <v>194</v>
      </c>
      <c r="H18" s="40"/>
      <c r="I18" s="40"/>
      <c r="J18" s="69"/>
      <c r="K18" s="40"/>
      <c r="L18" s="70">
        <v>4844</v>
      </c>
      <c r="M18" s="71">
        <v>274.4</v>
      </c>
      <c r="N18" s="71">
        <v>68.6</v>
      </c>
      <c r="O18" s="71">
        <v>17.15</v>
      </c>
      <c r="P18" s="71">
        <v>82.5</v>
      </c>
      <c r="Q18" s="89">
        <f t="shared" si="0"/>
        <v>442.65</v>
      </c>
      <c r="R18" s="70">
        <v>0</v>
      </c>
      <c r="S18" s="90">
        <f>L18+IFERROR(VLOOKUP($E:$E,'（居民）工资表-7月'!$E:$S,15,0),0)</f>
        <v>7207.63</v>
      </c>
      <c r="T18" s="91">
        <f>5000+IFERROR(VLOOKUP($E:$E,'（居民）工资表-7月'!$E:$T,16,0),0)</f>
        <v>10000</v>
      </c>
      <c r="U18" s="91">
        <f>Q18+IFERROR(VLOOKUP($E:$E,'（居民）工资表-7月'!$E:$U,17,0),0)</f>
        <v>1327.95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3">
        <f t="shared" si="2"/>
        <v>-4120.32</v>
      </c>
      <c r="AE18" s="94">
        <f>ROUND(MAX((AD18)*{0.03;0.1;0.2;0.25;0.3;0.35;0.45}-{0;2520;16920;31920;52920;85920;181920},0),2)</f>
        <v>0</v>
      </c>
      <c r="AF18" s="95">
        <f>IFERROR(VLOOKUP(E:E,'（居民）工资表-7月'!E:AF,28,0)+VLOOKUP(E:E,'（居民）工资表-7月'!E:AG,29,0),0)</f>
        <v>0</v>
      </c>
      <c r="AG18" s="95">
        <f t="shared" si="3"/>
        <v>0</v>
      </c>
      <c r="AH18" s="102">
        <f t="shared" si="4"/>
        <v>4401.35</v>
      </c>
      <c r="AI18" s="103"/>
      <c r="AJ18" s="102">
        <f t="shared" si="5"/>
        <v>4401.35</v>
      </c>
      <c r="AK18" s="104"/>
      <c r="AL18" s="102">
        <f t="shared" si="6"/>
        <v>4401.35</v>
      </c>
      <c r="AM18" s="104"/>
      <c r="AN18" s="104"/>
      <c r="AO18" s="104"/>
      <c r="AP18" s="104"/>
      <c r="AQ18" s="104"/>
      <c r="AR18" s="110" t="str">
        <f t="shared" si="7"/>
        <v>正确</v>
      </c>
      <c r="AS18" s="110" t="str">
        <f>IF(SUMPRODUCT(N(E$1:E$18=E18))&gt;1,"重复","不")</f>
        <v>不</v>
      </c>
      <c r="AT18" s="110" t="str">
        <f>IF(SUMPRODUCT(N(AO$1:AO$18=AO18))&gt;1,"重复","不")</f>
        <v>重复</v>
      </c>
    </row>
    <row r="19" s="12" customFormat="1" ht="18" customHeight="1" spans="1:46">
      <c r="A19" s="36">
        <v>15</v>
      </c>
      <c r="B19" s="37" t="s">
        <v>146</v>
      </c>
      <c r="C19" s="37" t="s">
        <v>195</v>
      </c>
      <c r="D19" s="37" t="s">
        <v>148</v>
      </c>
      <c r="E19" s="336" t="s">
        <v>196</v>
      </c>
      <c r="F19" s="38" t="s">
        <v>150</v>
      </c>
      <c r="G19" s="39" t="s">
        <v>197</v>
      </c>
      <c r="H19" s="40"/>
      <c r="I19" s="40"/>
      <c r="J19" s="69"/>
      <c r="K19" s="40"/>
      <c r="L19" s="70">
        <v>228.57</v>
      </c>
      <c r="M19" s="71">
        <v>228.57</v>
      </c>
      <c r="N19" s="71">
        <v>0</v>
      </c>
      <c r="O19" s="71">
        <v>0</v>
      </c>
      <c r="P19" s="71">
        <v>0</v>
      </c>
      <c r="Q19" s="89">
        <f t="shared" si="0"/>
        <v>228.57</v>
      </c>
      <c r="R19" s="70">
        <v>0</v>
      </c>
      <c r="S19" s="90">
        <f>L19+IFERROR(VLOOKUP($E:$E,'（居民）工资表-7月'!$E:$S,15,0),0)</f>
        <v>228.57</v>
      </c>
      <c r="T19" s="91">
        <f>5000+IFERROR(VLOOKUP($E:$E,'（居民）工资表-7月'!$E:$T,16,0),0)</f>
        <v>5000</v>
      </c>
      <c r="U19" s="91">
        <f>Q19+IFERROR(VLOOKUP($E:$E,'（居民）工资表-7月'!$E:$U,17,0),0)</f>
        <v>228.57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R19+IFERROR(VLOOKUP($E:$E,'（居民）工资表-7月'!$E:$AC,25,0),0)</f>
        <v>0</v>
      </c>
      <c r="AD19" s="93">
        <f t="shared" si="2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IFERROR(VLOOKUP(E:E,'（居民）工资表-7月'!E:AF,28,0)+VLOOKUP(E:E,'（居民）工资表-7月'!E:AG,29,0),0)</f>
        <v>0</v>
      </c>
      <c r="AG19" s="95">
        <f t="shared" si="3"/>
        <v>0</v>
      </c>
      <c r="AH19" s="102">
        <f t="shared" si="4"/>
        <v>0</v>
      </c>
      <c r="AI19" s="103"/>
      <c r="AJ19" s="102">
        <f t="shared" si="5"/>
        <v>0</v>
      </c>
      <c r="AK19" s="104"/>
      <c r="AL19" s="102">
        <f t="shared" si="6"/>
        <v>0</v>
      </c>
      <c r="AM19" s="104"/>
      <c r="AN19" s="104"/>
      <c r="AO19" s="104"/>
      <c r="AP19" s="104"/>
      <c r="AQ19" s="104"/>
      <c r="AR19" s="110" t="str">
        <f t="shared" si="7"/>
        <v>正确</v>
      </c>
      <c r="AS19" s="110" t="str">
        <f>IF(SUMPRODUCT(N(E$1:E$18=E19))&gt;1,"重复","不")</f>
        <v>不</v>
      </c>
      <c r="AT19" s="110" t="str">
        <f>IF(SUMPRODUCT(N(AO$1:AO$18=AO19))&gt;1,"重复","不")</f>
        <v>重复</v>
      </c>
    </row>
    <row r="20" s="13" customFormat="1" ht="18" customHeight="1" spans="1:46">
      <c r="A20" s="41"/>
      <c r="B20" s="42" t="s">
        <v>152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177852.57</v>
      </c>
      <c r="M20" s="74">
        <f t="shared" ref="M20:AL20" si="10">SUM(M4:M19)</f>
        <v>4880.58</v>
      </c>
      <c r="N20" s="74">
        <f t="shared" si="10"/>
        <v>1228.84</v>
      </c>
      <c r="O20" s="74">
        <f t="shared" si="10"/>
        <v>193.21</v>
      </c>
      <c r="P20" s="74">
        <f t="shared" si="10"/>
        <v>3079.06</v>
      </c>
      <c r="Q20" s="74">
        <f t="shared" si="10"/>
        <v>9381.69</v>
      </c>
      <c r="R20" s="74">
        <f t="shared" si="10"/>
        <v>0</v>
      </c>
      <c r="S20" s="74">
        <f t="shared" si="10"/>
        <v>355066.2</v>
      </c>
      <c r="T20" s="74">
        <f t="shared" si="10"/>
        <v>155000</v>
      </c>
      <c r="U20" s="74">
        <f t="shared" si="10"/>
        <v>18228.86</v>
      </c>
      <c r="V20" s="74">
        <f t="shared" si="10"/>
        <v>8000</v>
      </c>
      <c r="W20" s="74">
        <f t="shared" si="10"/>
        <v>5000</v>
      </c>
      <c r="X20" s="74">
        <f t="shared" si="10"/>
        <v>21000</v>
      </c>
      <c r="Y20" s="74">
        <f t="shared" si="10"/>
        <v>19500</v>
      </c>
      <c r="Z20" s="74">
        <f t="shared" si="10"/>
        <v>5200</v>
      </c>
      <c r="AA20" s="74">
        <f t="shared" si="10"/>
        <v>0</v>
      </c>
      <c r="AB20" s="74">
        <f t="shared" si="10"/>
        <v>58700</v>
      </c>
      <c r="AC20" s="74">
        <f t="shared" si="10"/>
        <v>0</v>
      </c>
      <c r="AD20" s="74">
        <f t="shared" si="10"/>
        <v>123137.34</v>
      </c>
      <c r="AE20" s="74">
        <f t="shared" si="10"/>
        <v>4757.97</v>
      </c>
      <c r="AF20" s="74">
        <f t="shared" si="10"/>
        <v>2218.02</v>
      </c>
      <c r="AG20" s="74">
        <f t="shared" si="10"/>
        <v>2539.95</v>
      </c>
      <c r="AH20" s="74">
        <f t="shared" si="10"/>
        <v>165930.93</v>
      </c>
      <c r="AI20" s="74">
        <f t="shared" si="10"/>
        <v>0</v>
      </c>
      <c r="AJ20" s="74">
        <f t="shared" si="10"/>
        <v>165930.93</v>
      </c>
      <c r="AK20" s="74">
        <f t="shared" si="10"/>
        <v>0</v>
      </c>
      <c r="AL20" s="74">
        <f t="shared" si="10"/>
        <v>168470.88</v>
      </c>
      <c r="AM20" s="105"/>
      <c r="AN20" s="105"/>
      <c r="AO20" s="105"/>
      <c r="AP20" s="105"/>
      <c r="AQ20" s="105"/>
      <c r="AR20" s="45"/>
      <c r="AS20" s="45"/>
      <c r="AT20" s="111"/>
    </row>
    <row r="23" spans="30:30">
      <c r="AD23" s="96"/>
    </row>
    <row r="24" ht="18.75" customHeight="1" spans="2:30">
      <c r="B24" s="47" t="s">
        <v>127</v>
      </c>
      <c r="C24" s="47" t="s">
        <v>153</v>
      </c>
      <c r="D24" s="47" t="s">
        <v>57</v>
      </c>
      <c r="E24" s="47" t="s">
        <v>58</v>
      </c>
      <c r="AD24" s="10"/>
    </row>
    <row r="25" ht="18.75" customHeight="1" spans="2:5">
      <c r="B25" s="48">
        <f>AJ20</f>
        <v>165930.93</v>
      </c>
      <c r="C25" s="48">
        <f>AG20</f>
        <v>2539.95</v>
      </c>
      <c r="D25" s="48">
        <f>AK20</f>
        <v>0</v>
      </c>
      <c r="E25" s="48">
        <f>B25+C25+D25</f>
        <v>168470.88</v>
      </c>
    </row>
    <row r="26" spans="2:5">
      <c r="B26" s="49"/>
      <c r="C26" s="49"/>
      <c r="D26" s="49"/>
      <c r="E26" s="49"/>
    </row>
    <row r="27" s="14" customFormat="1" spans="1:35">
      <c r="A27" s="50" t="s">
        <v>154</v>
      </c>
      <c r="B27" s="51" t="s">
        <v>155</v>
      </c>
      <c r="C27" s="52"/>
      <c r="D27" s="52"/>
      <c r="E27" s="52"/>
      <c r="G27" s="53"/>
      <c r="J27" s="75"/>
      <c r="M27" s="76"/>
      <c r="AI27" s="106"/>
    </row>
    <row r="28" s="14" customFormat="1" spans="1:35">
      <c r="A28" s="54"/>
      <c r="B28" s="55" t="s">
        <v>156</v>
      </c>
      <c r="C28" s="52"/>
      <c r="D28" s="52"/>
      <c r="E28" s="52"/>
      <c r="G28" s="53"/>
      <c r="J28" s="75"/>
      <c r="M28" s="76"/>
      <c r="AI28" s="106"/>
    </row>
    <row r="29" s="14" customFormat="1" spans="1:35">
      <c r="A29" s="51"/>
      <c r="B29" s="55" t="s">
        <v>157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06"/>
    </row>
    <row r="30" s="14" customFormat="1" customHeight="1" spans="1:35">
      <c r="A30" s="55"/>
      <c r="B30" s="55" t="s">
        <v>158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06"/>
    </row>
    <row r="31" s="14" customFormat="1" customHeight="1" spans="1:35">
      <c r="A31" s="55"/>
      <c r="B31" s="55" t="s">
        <v>159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06"/>
    </row>
    <row r="32" s="14" customFormat="1" customHeight="1" spans="1:35">
      <c r="A32" s="55"/>
      <c r="B32" s="55" t="s">
        <v>160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06"/>
    </row>
    <row r="34" ht="11.25" customHeight="1" spans="2:2">
      <c r="B34" s="58" t="s">
        <v>161</v>
      </c>
    </row>
    <row r="35" spans="2:2">
      <c r="B35" s="59" t="s">
        <v>162</v>
      </c>
    </row>
    <row r="36" spans="2:2">
      <c r="B36" s="59" t="s">
        <v>163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3" priority="2" stopIfTrue="1"/>
  </conditionalFormatting>
  <conditionalFormatting sqref="B27:B31">
    <cfRule type="duplicateValues" dxfId="3" priority="3" stopIfTrue="1"/>
  </conditionalFormatting>
  <conditionalFormatting sqref="B35:B36">
    <cfRule type="duplicateValues" dxfId="3" priority="1" stopIfTrue="1"/>
  </conditionalFormatting>
  <conditionalFormatting sqref="C24:C26">
    <cfRule type="duplicateValues" dxfId="3" priority="4" stopIfTrue="1"/>
    <cfRule type="expression" dxfId="4" priority="5" stopIfTrue="1">
      <formula>AND(COUNTIF($B$20:$B$65456,C24)+COUNTIF($B$1:$B$3,C24)&gt;1,NOT(ISBLANK(C24)))</formula>
    </cfRule>
    <cfRule type="expression" dxfId="4" priority="6" stopIfTrue="1">
      <formula>AND(COUNTIF($B$31:$B$65407,C24)+COUNTIF($B$1:$B$30,C24)&gt;1,NOT(ISBLANK(C24)))</formula>
    </cfRule>
    <cfRule type="expression" dxfId="4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9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75</v>
      </c>
      <c r="D4" s="37" t="s">
        <v>148</v>
      </c>
      <c r="E4" s="37" t="s">
        <v>76</v>
      </c>
      <c r="F4" s="38" t="s">
        <v>150</v>
      </c>
      <c r="G4" s="39">
        <v>18035163638</v>
      </c>
      <c r="H4" s="40"/>
      <c r="I4" s="40"/>
      <c r="J4" s="69"/>
      <c r="K4" s="40"/>
      <c r="L4" s="70">
        <v>10560</v>
      </c>
      <c r="M4" s="71">
        <v>283.84</v>
      </c>
      <c r="N4" s="71">
        <v>66</v>
      </c>
      <c r="O4" s="71">
        <v>10.64</v>
      </c>
      <c r="P4" s="71">
        <v>180</v>
      </c>
      <c r="Q4" s="89">
        <f t="shared" ref="Q4:Q11" si="0">ROUND(SUM(M4:P4),2)</f>
        <v>540.48</v>
      </c>
      <c r="R4" s="70">
        <v>0</v>
      </c>
      <c r="S4" s="90">
        <f>L4+IFERROR(VLOOKUP($E:$E,'（居民）工资表-8月'!$E:$S,15,0),0)</f>
        <v>31350</v>
      </c>
      <c r="T4" s="91">
        <f>5000+IFERROR(VLOOKUP($E:$E,'（居民）工资表-8月'!$E:$T,16,0),0)</f>
        <v>15000</v>
      </c>
      <c r="U4" s="91">
        <f>Q4+IFERROR(VLOOKUP($E:$E,'（居民）工资表-8月'!$E:$U,17,0),0)</f>
        <v>1744.92</v>
      </c>
      <c r="V4" s="70">
        <v>9000</v>
      </c>
      <c r="X4" s="70"/>
      <c r="Y4" s="70">
        <v>9000</v>
      </c>
      <c r="Z4" s="70">
        <v>3600</v>
      </c>
      <c r="AA4" s="70"/>
      <c r="AB4" s="90">
        <f t="shared" ref="AB4:AB11" si="1">ROUND(SUM(V4:AA4),2)</f>
        <v>21600</v>
      </c>
      <c r="AC4" s="90">
        <f>R4+IFERROR(VLOOKUP($E:$E,'（居民）工资表-8月'!$E:$AC,25,0),0)</f>
        <v>0</v>
      </c>
      <c r="AD4" s="93">
        <f t="shared" ref="AD4:AD11" si="2">ROUND(S4-T4-U4-AB4-AC4,2)</f>
        <v>-6994.92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AE4-AF4</f>
        <v>0</v>
      </c>
      <c r="AH4" s="102">
        <f t="shared" ref="AH4:AH11" si="3">ROUND(IF((L4-Q4-AG4)&lt;0,0,(L4-Q4-AG4)),2)</f>
        <v>10019.52</v>
      </c>
      <c r="AI4" s="103"/>
      <c r="AJ4" s="102">
        <f t="shared" ref="AJ4:AJ11" si="4">AH4+AI4</f>
        <v>10019.52</v>
      </c>
      <c r="AK4" s="104"/>
      <c r="AL4" s="102">
        <f t="shared" ref="AL4:AL11" si="5">AJ4+AG4+AK4</f>
        <v>10019.52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IF(SUMPRODUCT(N(E$1:E$8=E4))&gt;1,"重复","不")</f>
        <v>不</v>
      </c>
      <c r="AT4" s="110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146</v>
      </c>
      <c r="C5" s="37" t="s">
        <v>93</v>
      </c>
      <c r="D5" s="37" t="s">
        <v>148</v>
      </c>
      <c r="E5" s="37" t="s">
        <v>94</v>
      </c>
      <c r="F5" s="38" t="s">
        <v>150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72.06</v>
      </c>
      <c r="O5" s="71">
        <v>10.08</v>
      </c>
      <c r="P5" s="71">
        <v>82</v>
      </c>
      <c r="Q5" s="89">
        <f t="shared" si="0"/>
        <v>432.95</v>
      </c>
      <c r="R5" s="70">
        <v>0</v>
      </c>
      <c r="S5" s="90">
        <f>L5+IFERROR(VLOOKUP($E:$E,'（居民）工资表-8月'!$E:$S,15,0),0)</f>
        <v>21000</v>
      </c>
      <c r="T5" s="91">
        <f>5000+IFERROR(VLOOKUP($E:$E,'（居民）工资表-8月'!$E:$T,16,0),0)</f>
        <v>15000</v>
      </c>
      <c r="U5" s="91">
        <f>Q5+IFERROR(VLOOKUP($E:$E,'（居民）工资表-8月'!$E:$U,17,0),0)</f>
        <v>1298.85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R5+IFERROR(VLOOKUP($E:$E,'（居民）工资表-8月'!$E:$AC,25,0),0)</f>
        <v>0</v>
      </c>
      <c r="AD5" s="93">
        <f t="shared" si="2"/>
        <v>4701.15</v>
      </c>
      <c r="AE5" s="94">
        <f>ROUND(MAX((AD5)*{0.03;0.1;0.2;0.25;0.3;0.35;0.45}-{0;2520;16920;31920;52920;85920;181920},0),2)</f>
        <v>141.03</v>
      </c>
      <c r="AF5" s="95">
        <f>IFERROR(VLOOKUP(E:E,'（居民）工资表-8月'!E:AF,28,0)+VLOOKUP(E:E,'（居民）工资表-8月'!E:AG,29,0),0)</f>
        <v>0</v>
      </c>
      <c r="AG5" s="95">
        <f t="shared" ref="AG5:AG11" si="6">AE5-AF5</f>
        <v>141.03</v>
      </c>
      <c r="AH5" s="102">
        <f t="shared" si="3"/>
        <v>6426.02</v>
      </c>
      <c r="AI5" s="103"/>
      <c r="AJ5" s="102">
        <f t="shared" si="4"/>
        <v>6426.02</v>
      </c>
      <c r="AK5" s="104"/>
      <c r="AL5" s="102">
        <f t="shared" si="5"/>
        <v>6567.05</v>
      </c>
      <c r="AM5" s="104"/>
      <c r="AN5" s="104"/>
      <c r="AO5" s="104"/>
      <c r="AP5" s="104"/>
      <c r="AQ5" s="104"/>
      <c r="AR5" s="110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0" t="str">
        <f>IF(SUMPRODUCT(N(E$1:E$8=E5))&gt;1,"重复","不")</f>
        <v>不</v>
      </c>
      <c r="AT5" s="110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146</v>
      </c>
      <c r="C6" s="37" t="s">
        <v>164</v>
      </c>
      <c r="D6" s="37" t="s">
        <v>148</v>
      </c>
      <c r="E6" s="37" t="s">
        <v>165</v>
      </c>
      <c r="F6" s="38" t="s">
        <v>166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144.28</v>
      </c>
      <c r="O6" s="71">
        <v>4.6</v>
      </c>
      <c r="P6" s="71">
        <v>115</v>
      </c>
      <c r="Q6" s="89">
        <f t="shared" si="0"/>
        <v>630.92</v>
      </c>
      <c r="R6" s="70">
        <v>0</v>
      </c>
      <c r="S6" s="90">
        <f>L6+IFERROR(VLOOKUP($E:$E,'（居民）工资表-8月'!$E:$S,15,0),0)</f>
        <v>17100</v>
      </c>
      <c r="T6" s="91">
        <f>5000+IFERROR(VLOOKUP($E:$E,'（居民）工资表-8月'!$E:$T,16,0),0)</f>
        <v>15000</v>
      </c>
      <c r="U6" s="91">
        <f>Q6+IFERROR(VLOOKUP($E:$E,'（居民）工资表-8月'!$E:$U,17,0),0)</f>
        <v>1892.76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3">
        <f t="shared" si="2"/>
        <v>207.24</v>
      </c>
      <c r="AE6" s="94">
        <f>ROUND(MAX((AD6)*{0.03;0.1;0.2;0.25;0.3;0.35;0.45}-{0;2520;16920;31920;52920;85920;181920},0),2)</f>
        <v>6.22</v>
      </c>
      <c r="AF6" s="95">
        <f>IFERROR(VLOOKUP(E:E,'（居民）工资表-8月'!E:AF,28,0)+VLOOKUP(E:E,'（居民）工资表-8月'!E:AG,29,0),0)</f>
        <v>0</v>
      </c>
      <c r="AG6" s="95">
        <f t="shared" si="6"/>
        <v>6.22</v>
      </c>
      <c r="AH6" s="102">
        <f t="shared" si="3"/>
        <v>5062.86</v>
      </c>
      <c r="AI6" s="103"/>
      <c r="AJ6" s="102">
        <f t="shared" si="4"/>
        <v>5062.86</v>
      </c>
      <c r="AK6" s="104"/>
      <c r="AL6" s="102">
        <f t="shared" si="5"/>
        <v>5069.08</v>
      </c>
      <c r="AM6" s="104"/>
      <c r="AN6" s="104"/>
      <c r="AO6" s="104"/>
      <c r="AP6" s="104"/>
      <c r="AQ6" s="104"/>
      <c r="AR6" s="110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0" t="str">
        <f>IF(SUMPRODUCT(N(E$1:E$8=E6))&gt;1,"重复","不")</f>
        <v>不</v>
      </c>
      <c r="AT6" s="110" t="str">
        <f>IF(SUMPRODUCT(N(AO$1:AO$8=AO6))&gt;1,"重复","不")</f>
        <v>重复</v>
      </c>
    </row>
    <row r="7" s="12" customFormat="1" ht="19" customHeight="1" spans="1:46">
      <c r="A7" s="36">
        <v>4</v>
      </c>
      <c r="B7" s="37" t="s">
        <v>146</v>
      </c>
      <c r="C7" s="37" t="s">
        <v>192</v>
      </c>
      <c r="D7" s="37" t="s">
        <v>148</v>
      </c>
      <c r="E7" s="336" t="s">
        <v>193</v>
      </c>
      <c r="F7" s="38" t="s">
        <v>150</v>
      </c>
      <c r="G7" s="39" t="s">
        <v>194</v>
      </c>
      <c r="H7" s="40"/>
      <c r="I7" s="40"/>
      <c r="J7" s="69"/>
      <c r="K7" s="40"/>
      <c r="L7" s="70">
        <v>4069.57</v>
      </c>
      <c r="M7" s="71">
        <v>0</v>
      </c>
      <c r="N7" s="71">
        <v>0</v>
      </c>
      <c r="O7" s="71">
        <v>0</v>
      </c>
      <c r="P7" s="71">
        <v>0</v>
      </c>
      <c r="Q7" s="89">
        <f t="shared" si="0"/>
        <v>0</v>
      </c>
      <c r="R7" s="70">
        <v>0</v>
      </c>
      <c r="S7" s="90">
        <f>L7+IFERROR(VLOOKUP($E:$E,'（居民）工资表-8月'!$E:$S,15,0),0)</f>
        <v>11277.2</v>
      </c>
      <c r="T7" s="91">
        <f>5000+IFERROR(VLOOKUP($E:$E,'（居民）工资表-8月'!$E:$T,16,0),0)</f>
        <v>15000</v>
      </c>
      <c r="U7" s="91">
        <f>Q7+IFERROR(VLOOKUP($E:$E,'（居民）工资表-8月'!$E:$U,17,0),0)</f>
        <v>1327.95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3">
        <f t="shared" si="2"/>
        <v>-5050.75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6"/>
        <v>0</v>
      </c>
      <c r="AH7" s="102">
        <f t="shared" si="3"/>
        <v>4069.57</v>
      </c>
      <c r="AI7" s="103"/>
      <c r="AJ7" s="102">
        <f t="shared" si="4"/>
        <v>4069.57</v>
      </c>
      <c r="AK7" s="104"/>
      <c r="AL7" s="102">
        <f t="shared" si="5"/>
        <v>4069.57</v>
      </c>
      <c r="AM7" s="104"/>
      <c r="AN7" s="104"/>
      <c r="AO7" s="104"/>
      <c r="AP7" s="104"/>
      <c r="AQ7" s="104"/>
      <c r="AR7" s="110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0" t="str">
        <f>IF(SUMPRODUCT(N(E$1:E$8=E7))&gt;1,"重复","不")</f>
        <v>不</v>
      </c>
      <c r="AT7" s="110" t="str">
        <f>IF(SUMPRODUCT(N(AO$1:AO$8=AO7))&gt;1,"重复","不")</f>
        <v>重复</v>
      </c>
    </row>
    <row r="8" s="12" customFormat="1" ht="19" customHeight="1" spans="1:46">
      <c r="A8" s="36">
        <v>5</v>
      </c>
      <c r="B8" s="37" t="s">
        <v>146</v>
      </c>
      <c r="C8" s="37" t="s">
        <v>195</v>
      </c>
      <c r="D8" s="37" t="s">
        <v>148</v>
      </c>
      <c r="E8" s="336" t="s">
        <v>196</v>
      </c>
      <c r="F8" s="38" t="s">
        <v>150</v>
      </c>
      <c r="G8" s="39" t="s">
        <v>197</v>
      </c>
      <c r="H8" s="40"/>
      <c r="I8" s="40"/>
      <c r="J8" s="69"/>
      <c r="K8" s="40"/>
      <c r="L8" s="70">
        <v>4142.27</v>
      </c>
      <c r="M8" s="71">
        <v>274.4</v>
      </c>
      <c r="N8" s="71">
        <v>76.6</v>
      </c>
      <c r="O8" s="71">
        <v>17.15</v>
      </c>
      <c r="P8" s="71">
        <v>75</v>
      </c>
      <c r="Q8" s="89">
        <f t="shared" si="0"/>
        <v>443.15</v>
      </c>
      <c r="R8" s="70">
        <v>0</v>
      </c>
      <c r="S8" s="90">
        <f>L8+IFERROR(VLOOKUP($E:$E,'（居民）工资表-8月'!$E:$S,15,0),0)</f>
        <v>4370.84</v>
      </c>
      <c r="T8" s="91">
        <f>5000+IFERROR(VLOOKUP($E:$E,'（居民）工资表-8月'!$E:$T,16,0),0)</f>
        <v>10000</v>
      </c>
      <c r="U8" s="91">
        <f>Q8+IFERROR(VLOOKUP($E:$E,'（居民）工资表-8月'!$E:$U,17,0),0)</f>
        <v>671.72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3">
        <f t="shared" si="2"/>
        <v>-6300.88</v>
      </c>
      <c r="AE8" s="94">
        <f>ROUND(MAX((AD8)*{0.03;0.1;0.2;0.25;0.3;0.35;0.45}-{0;2520;16920;31920;52920;85920;181920},0),2)</f>
        <v>0</v>
      </c>
      <c r="AF8" s="95">
        <f>IFERROR(VLOOKUP(E:E,'（居民）工资表-8月'!E:AF,28,0)+VLOOKUP(E:E,'（居民）工资表-8月'!E:AG,29,0),0)</f>
        <v>0</v>
      </c>
      <c r="AG8" s="95">
        <f t="shared" si="6"/>
        <v>0</v>
      </c>
      <c r="AH8" s="102">
        <f t="shared" si="3"/>
        <v>3699.12</v>
      </c>
      <c r="AI8" s="103"/>
      <c r="AJ8" s="102">
        <f t="shared" si="4"/>
        <v>3699.12</v>
      </c>
      <c r="AK8" s="104"/>
      <c r="AL8" s="102">
        <f t="shared" si="5"/>
        <v>3699.12</v>
      </c>
      <c r="AM8" s="104"/>
      <c r="AN8" s="104"/>
      <c r="AO8" s="104"/>
      <c r="AP8" s="104"/>
      <c r="AQ8" s="104"/>
      <c r="AR8" s="110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0" t="str">
        <f>IF(SUMPRODUCT(N(E$1:E$8=E8))&gt;1,"重复","不")</f>
        <v>不</v>
      </c>
      <c r="AT8" s="110" t="str">
        <f>IF(SUMPRODUCT(N(AO$1:AO$8=AO8))&gt;1,"重复","不")</f>
        <v>重复</v>
      </c>
    </row>
    <row r="9" s="12" customFormat="1" ht="19" customHeight="1" spans="1:46">
      <c r="A9" s="36">
        <v>6</v>
      </c>
      <c r="B9" s="37" t="s">
        <v>146</v>
      </c>
      <c r="C9" s="37" t="s">
        <v>198</v>
      </c>
      <c r="D9" s="37" t="s">
        <v>148</v>
      </c>
      <c r="E9" s="336" t="s">
        <v>199</v>
      </c>
      <c r="F9" s="38" t="s">
        <v>150</v>
      </c>
      <c r="G9" s="39">
        <v>19356875630</v>
      </c>
      <c r="H9" s="40"/>
      <c r="I9" s="40"/>
      <c r="J9" s="69"/>
      <c r="K9" s="40"/>
      <c r="L9" s="70">
        <v>4973.92</v>
      </c>
      <c r="M9" s="71">
        <v>823.2</v>
      </c>
      <c r="N9" s="71">
        <v>223.8</v>
      </c>
      <c r="O9" s="71">
        <v>51.45</v>
      </c>
      <c r="P9" s="71">
        <v>510</v>
      </c>
      <c r="Q9" s="89">
        <f t="shared" si="0"/>
        <v>1608.45</v>
      </c>
      <c r="R9" s="70">
        <v>0</v>
      </c>
      <c r="S9" s="90">
        <f>L9+IFERROR(VLOOKUP($E:$E,'（居民）工资表-8月'!$E:$S,15,0),0)</f>
        <v>4973.92</v>
      </c>
      <c r="T9" s="91">
        <f>5000+IFERROR(VLOOKUP($E:$E,'（居民）工资表-8月'!$E:$T,16,0),0)</f>
        <v>5000</v>
      </c>
      <c r="U9" s="91">
        <f>Q9+IFERROR(VLOOKUP($E:$E,'（居民）工资表-8月'!$E:$U,17,0),0)</f>
        <v>1608.45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3">
        <f t="shared" si="2"/>
        <v>-1634.53</v>
      </c>
      <c r="AE9" s="94">
        <f>ROUND(MAX((AD9)*{0.03;0.1;0.2;0.25;0.3;0.35;0.45}-{0;2520;16920;31920;52920;85920;181920},0),2)</f>
        <v>0</v>
      </c>
      <c r="AF9" s="95">
        <f>IFERROR(VLOOKUP(E:E,'（居民）工资表-8月'!E:AF,28,0)+VLOOKUP(E:E,'（居民）工资表-8月'!E:AG,29,0),0)</f>
        <v>0</v>
      </c>
      <c r="AG9" s="95">
        <f t="shared" si="6"/>
        <v>0</v>
      </c>
      <c r="AH9" s="102">
        <f t="shared" si="3"/>
        <v>3365.47</v>
      </c>
      <c r="AI9" s="103"/>
      <c r="AJ9" s="102">
        <f t="shared" si="4"/>
        <v>3365.47</v>
      </c>
      <c r="AK9" s="104"/>
      <c r="AL9" s="102">
        <f t="shared" si="5"/>
        <v>3365.47</v>
      </c>
      <c r="AM9" s="104"/>
      <c r="AN9" s="104"/>
      <c r="AO9" s="104"/>
      <c r="AP9" s="104"/>
      <c r="AQ9" s="104"/>
      <c r="AR9" s="110"/>
      <c r="AS9" s="110"/>
      <c r="AT9" s="110"/>
    </row>
    <row r="10" s="12" customFormat="1" ht="19" customHeight="1" spans="1:46">
      <c r="A10" s="36">
        <v>7</v>
      </c>
      <c r="B10" s="37" t="s">
        <v>146</v>
      </c>
      <c r="C10" s="37" t="s">
        <v>200</v>
      </c>
      <c r="D10" s="37" t="s">
        <v>148</v>
      </c>
      <c r="E10" s="336" t="s">
        <v>201</v>
      </c>
      <c r="F10" s="38" t="s">
        <v>150</v>
      </c>
      <c r="G10" s="39">
        <v>13973652684</v>
      </c>
      <c r="H10" s="40"/>
      <c r="I10" s="40"/>
      <c r="J10" s="69"/>
      <c r="K10" s="40"/>
      <c r="L10" s="70">
        <v>3617.39</v>
      </c>
      <c r="M10" s="71">
        <v>576.64</v>
      </c>
      <c r="N10" s="71">
        <v>147.04</v>
      </c>
      <c r="O10" s="71">
        <v>21.62</v>
      </c>
      <c r="P10" s="71">
        <v>200</v>
      </c>
      <c r="Q10" s="89">
        <f t="shared" si="0"/>
        <v>945.3</v>
      </c>
      <c r="R10" s="70">
        <v>0</v>
      </c>
      <c r="S10" s="90">
        <f>L10+IFERROR(VLOOKUP($E:$E,'（居民）工资表-8月'!$E:$S,15,0),0)</f>
        <v>3617.39</v>
      </c>
      <c r="T10" s="91">
        <f>5000+IFERROR(VLOOKUP($E:$E,'（居民）工资表-8月'!$E:$T,16,0),0)</f>
        <v>5000</v>
      </c>
      <c r="U10" s="91">
        <f>Q10+IFERROR(VLOOKUP($E:$E,'（居民）工资表-8月'!$E:$U,17,0),0)</f>
        <v>945.3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3">
        <f t="shared" si="2"/>
        <v>-2327.91</v>
      </c>
      <c r="AE10" s="94">
        <f>ROUND(MAX((AD10)*{0.03;0.1;0.2;0.25;0.3;0.35;0.45}-{0;2520;16920;31920;52920;85920;181920},0),2)</f>
        <v>0</v>
      </c>
      <c r="AF10" s="95">
        <f>IFERROR(VLOOKUP(E:E,'（居民）工资表-8月'!E:AF,28,0)+VLOOKUP(E:E,'（居民）工资表-8月'!E:AG,29,0),0)</f>
        <v>0</v>
      </c>
      <c r="AG10" s="95">
        <f t="shared" si="6"/>
        <v>0</v>
      </c>
      <c r="AH10" s="102">
        <f t="shared" si="3"/>
        <v>2672.09</v>
      </c>
      <c r="AI10" s="103"/>
      <c r="AJ10" s="102">
        <f t="shared" si="4"/>
        <v>2672.09</v>
      </c>
      <c r="AK10" s="104"/>
      <c r="AL10" s="102">
        <f t="shared" si="5"/>
        <v>2672.09</v>
      </c>
      <c r="AM10" s="104"/>
      <c r="AN10" s="104"/>
      <c r="AO10" s="104"/>
      <c r="AP10" s="104"/>
      <c r="AQ10" s="104"/>
      <c r="AR10" s="110"/>
      <c r="AS10" s="110"/>
      <c r="AT10" s="110"/>
    </row>
    <row r="11" s="12" customFormat="1" ht="19" customHeight="1" spans="1:46">
      <c r="A11" s="36">
        <v>8</v>
      </c>
      <c r="B11" s="37" t="s">
        <v>146</v>
      </c>
      <c r="C11" s="37" t="s">
        <v>202</v>
      </c>
      <c r="D11" s="37" t="s">
        <v>148</v>
      </c>
      <c r="E11" s="336" t="s">
        <v>203</v>
      </c>
      <c r="F11" s="38" t="s">
        <v>150</v>
      </c>
      <c r="G11" s="39" t="s">
        <v>204</v>
      </c>
      <c r="H11" s="40"/>
      <c r="I11" s="40"/>
      <c r="J11" s="69"/>
      <c r="K11" s="40"/>
      <c r="L11" s="70">
        <v>19565.22</v>
      </c>
      <c r="M11" s="71">
        <v>1043.2</v>
      </c>
      <c r="N11" s="71">
        <v>260.8</v>
      </c>
      <c r="O11" s="71">
        <v>65.2</v>
      </c>
      <c r="P11" s="71">
        <v>362.6</v>
      </c>
      <c r="Q11" s="89">
        <f t="shared" si="0"/>
        <v>1731.8</v>
      </c>
      <c r="R11" s="70">
        <v>0</v>
      </c>
      <c r="S11" s="90">
        <f>L11+IFERROR(VLOOKUP($E:$E,'（居民）工资表-8月'!$E:$S,15,0),0)</f>
        <v>19565.22</v>
      </c>
      <c r="T11" s="91">
        <f>5000+IFERROR(VLOOKUP($E:$E,'（居民）工资表-8月'!$E:$T,16,0),0)</f>
        <v>5000</v>
      </c>
      <c r="U11" s="91">
        <f>Q11+IFERROR(VLOOKUP($E:$E,'（居民）工资表-8月'!$E:$U,17,0),0)</f>
        <v>1731.8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3">
        <f t="shared" si="2"/>
        <v>12833.42</v>
      </c>
      <c r="AE11" s="94">
        <f>ROUND(MAX((AD11)*{0.03;0.1;0.2;0.25;0.3;0.35;0.45}-{0;2520;16920;31920;52920;85920;181920},0),2)</f>
        <v>385</v>
      </c>
      <c r="AF11" s="95">
        <f>IFERROR(VLOOKUP(E:E,'（居民）工资表-8月'!E:AF,28,0)+VLOOKUP(E:E,'（居民）工资表-8月'!E:AG,29,0),0)</f>
        <v>0</v>
      </c>
      <c r="AG11" s="95">
        <f t="shared" si="6"/>
        <v>385</v>
      </c>
      <c r="AH11" s="102">
        <f t="shared" si="3"/>
        <v>17448.42</v>
      </c>
      <c r="AI11" s="103"/>
      <c r="AJ11" s="102">
        <f t="shared" si="4"/>
        <v>17448.42</v>
      </c>
      <c r="AK11" s="104"/>
      <c r="AL11" s="102">
        <f t="shared" si="5"/>
        <v>17833.42</v>
      </c>
      <c r="AM11" s="104"/>
      <c r="AN11" s="104"/>
      <c r="AO11" s="104"/>
      <c r="AP11" s="104"/>
      <c r="AQ11" s="104"/>
      <c r="AR11" s="110"/>
      <c r="AS11" s="110"/>
      <c r="AT11" s="110"/>
    </row>
    <row r="12" s="12" customFormat="1" ht="19" customHeight="1" spans="1:46">
      <c r="A12" s="36"/>
      <c r="B12" s="37"/>
      <c r="C12" s="37"/>
      <c r="D12" s="37"/>
      <c r="E12" s="37"/>
      <c r="F12" s="38"/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/>
      <c r="R12" s="70"/>
      <c r="S12" s="90"/>
      <c r="T12" s="91"/>
      <c r="U12" s="91"/>
      <c r="V12" s="70"/>
      <c r="W12" s="70"/>
      <c r="X12" s="70"/>
      <c r="Y12" s="70"/>
      <c r="Z12" s="70"/>
      <c r="AA12" s="70"/>
      <c r="AB12" s="90"/>
      <c r="AC12" s="90"/>
      <c r="AD12" s="93"/>
      <c r="AE12" s="94"/>
      <c r="AF12" s="95"/>
      <c r="AG12" s="95"/>
      <c r="AH12" s="102"/>
      <c r="AI12" s="103"/>
      <c r="AJ12" s="102"/>
      <c r="AK12" s="104"/>
      <c r="AL12" s="102"/>
      <c r="AM12" s="104"/>
      <c r="AN12" s="104"/>
      <c r="AO12" s="104"/>
      <c r="AP12" s="104"/>
      <c r="AQ12" s="104"/>
      <c r="AR12" s="110"/>
      <c r="AS12" s="110"/>
      <c r="AT12" s="110"/>
    </row>
    <row r="13" s="13" customFormat="1" ht="19" customHeight="1" spans="1:46">
      <c r="A13" s="41"/>
      <c r="B13" s="42" t="s">
        <v>152</v>
      </c>
      <c r="C13" s="42"/>
      <c r="D13" s="43"/>
      <c r="E13" s="44"/>
      <c r="F13" s="45"/>
      <c r="G13" s="46"/>
      <c r="H13" s="45"/>
      <c r="I13" s="72"/>
      <c r="J13" s="73"/>
      <c r="K13" s="72"/>
      <c r="L13" s="74">
        <f>SUM(L4:L12)</f>
        <v>59628.37</v>
      </c>
      <c r="M13" s="74">
        <f t="shared" ref="M13:AL13" si="7">SUM(M4:M12)</f>
        <v>3637.13</v>
      </c>
      <c r="N13" s="74">
        <f t="shared" si="7"/>
        <v>990.58</v>
      </c>
      <c r="O13" s="74">
        <f t="shared" si="7"/>
        <v>180.74</v>
      </c>
      <c r="P13" s="74">
        <f t="shared" si="7"/>
        <v>1524.6</v>
      </c>
      <c r="Q13" s="74">
        <f t="shared" si="7"/>
        <v>6333.05</v>
      </c>
      <c r="R13" s="74">
        <f t="shared" si="7"/>
        <v>0</v>
      </c>
      <c r="S13" s="74">
        <f t="shared" si="7"/>
        <v>113254.57</v>
      </c>
      <c r="T13" s="74">
        <f t="shared" si="7"/>
        <v>85000</v>
      </c>
      <c r="U13" s="74">
        <f t="shared" si="7"/>
        <v>11221.75</v>
      </c>
      <c r="V13" s="74">
        <f t="shared" si="7"/>
        <v>9000</v>
      </c>
      <c r="W13" s="74">
        <f t="shared" si="7"/>
        <v>0</v>
      </c>
      <c r="X13" s="74">
        <f t="shared" si="7"/>
        <v>0</v>
      </c>
      <c r="Y13" s="74">
        <f t="shared" si="7"/>
        <v>9000</v>
      </c>
      <c r="Z13" s="74">
        <f t="shared" si="7"/>
        <v>3600</v>
      </c>
      <c r="AA13" s="74">
        <f t="shared" si="7"/>
        <v>0</v>
      </c>
      <c r="AB13" s="74">
        <f t="shared" si="7"/>
        <v>21600</v>
      </c>
      <c r="AC13" s="74">
        <f t="shared" si="7"/>
        <v>0</v>
      </c>
      <c r="AD13" s="74">
        <f t="shared" si="7"/>
        <v>-4567.18</v>
      </c>
      <c r="AE13" s="74">
        <f t="shared" si="7"/>
        <v>532.25</v>
      </c>
      <c r="AF13" s="74">
        <f t="shared" si="7"/>
        <v>0</v>
      </c>
      <c r="AG13" s="74">
        <f t="shared" si="7"/>
        <v>532.25</v>
      </c>
      <c r="AH13" s="74">
        <f t="shared" si="7"/>
        <v>52763.07</v>
      </c>
      <c r="AI13" s="74">
        <f t="shared" si="7"/>
        <v>0</v>
      </c>
      <c r="AJ13" s="74">
        <f t="shared" si="7"/>
        <v>52763.07</v>
      </c>
      <c r="AK13" s="74">
        <f t="shared" si="7"/>
        <v>0</v>
      </c>
      <c r="AL13" s="74">
        <f t="shared" si="7"/>
        <v>53295.32</v>
      </c>
      <c r="AM13" s="105"/>
      <c r="AN13" s="105"/>
      <c r="AO13" s="105"/>
      <c r="AP13" s="105"/>
      <c r="AQ13" s="105"/>
      <c r="AR13" s="45"/>
      <c r="AS13" s="45"/>
      <c r="AT13" s="111"/>
    </row>
    <row r="14" ht="19" customHeight="1"/>
    <row r="15" ht="19" customHeight="1"/>
    <row r="16" ht="19" customHeight="1" spans="30:30">
      <c r="AD16" s="96"/>
    </row>
    <row r="17" ht="19" customHeight="1" spans="2:30">
      <c r="B17" s="47" t="s">
        <v>127</v>
      </c>
      <c r="C17" s="47" t="s">
        <v>153</v>
      </c>
      <c r="D17" s="47" t="s">
        <v>57</v>
      </c>
      <c r="E17" s="47" t="s">
        <v>58</v>
      </c>
      <c r="AD17" s="10"/>
    </row>
    <row r="18" ht="19" customHeight="1" spans="2:5">
      <c r="B18" s="48">
        <f>AJ13</f>
        <v>52763.07</v>
      </c>
      <c r="C18" s="48">
        <f>AG13</f>
        <v>532.25</v>
      </c>
      <c r="D18" s="48">
        <f>AK13</f>
        <v>0</v>
      </c>
      <c r="E18" s="48">
        <f>B18+C18+D18</f>
        <v>53295.32</v>
      </c>
    </row>
    <row r="19" ht="19" customHeight="1" spans="2:5">
      <c r="B19" s="49"/>
      <c r="C19" s="49"/>
      <c r="D19" s="49"/>
      <c r="E19" s="49"/>
    </row>
    <row r="20" s="14" customFormat="1" ht="19" customHeight="1" spans="1:35">
      <c r="A20" s="50" t="s">
        <v>154</v>
      </c>
      <c r="B20" s="51" t="s">
        <v>155</v>
      </c>
      <c r="C20" s="52"/>
      <c r="D20" s="52"/>
      <c r="E20" s="52"/>
      <c r="G20" s="53"/>
      <c r="J20" s="75"/>
      <c r="M20" s="76"/>
      <c r="AI20" s="106"/>
    </row>
    <row r="21" s="14" customFormat="1" ht="19" customHeight="1" spans="1:35">
      <c r="A21" s="54"/>
      <c r="B21" s="55" t="s">
        <v>156</v>
      </c>
      <c r="C21" s="52"/>
      <c r="D21" s="52"/>
      <c r="E21" s="52"/>
      <c r="G21" s="53"/>
      <c r="J21" s="75"/>
      <c r="M21" s="76"/>
      <c r="AI21" s="106"/>
    </row>
    <row r="22" s="14" customFormat="1" spans="1:35">
      <c r="A22" s="51"/>
      <c r="B22" s="55" t="s">
        <v>157</v>
      </c>
      <c r="C22" s="56"/>
      <c r="D22" s="56"/>
      <c r="E22" s="56"/>
      <c r="F22" s="56"/>
      <c r="G22" s="56"/>
      <c r="H22" s="56"/>
      <c r="I22" s="56"/>
      <c r="J22" s="77"/>
      <c r="K22" s="56"/>
      <c r="L22" s="56"/>
      <c r="M22" s="78"/>
      <c r="N22" s="56"/>
      <c r="O22" s="56"/>
      <c r="P22" s="56"/>
      <c r="AI22" s="106"/>
    </row>
    <row r="23" s="14" customFormat="1" customHeight="1" spans="1:35">
      <c r="A23" s="55"/>
      <c r="B23" s="55" t="s">
        <v>158</v>
      </c>
      <c r="C23" s="57"/>
      <c r="D23" s="57"/>
      <c r="E23" s="57"/>
      <c r="F23" s="57"/>
      <c r="G23" s="57"/>
      <c r="H23" s="57"/>
      <c r="I23" s="79"/>
      <c r="J23" s="80"/>
      <c r="K23" s="79"/>
      <c r="L23" s="79"/>
      <c r="M23" s="81"/>
      <c r="N23" s="79"/>
      <c r="O23" s="79"/>
      <c r="P23" s="79"/>
      <c r="AI23" s="106"/>
    </row>
    <row r="24" s="14" customFormat="1" customHeight="1" spans="1:35">
      <c r="A24" s="55"/>
      <c r="B24" s="55" t="s">
        <v>159</v>
      </c>
      <c r="C24" s="57"/>
      <c r="D24" s="57"/>
      <c r="E24" s="57"/>
      <c r="F24" s="57"/>
      <c r="G24" s="57"/>
      <c r="H24" s="57"/>
      <c r="I24" s="57"/>
      <c r="J24" s="82"/>
      <c r="K24" s="57"/>
      <c r="L24" s="79"/>
      <c r="M24" s="81"/>
      <c r="N24" s="79"/>
      <c r="O24" s="79"/>
      <c r="P24" s="79"/>
      <c r="AI24" s="106"/>
    </row>
    <row r="25" s="14" customFormat="1" customHeight="1" spans="1:35">
      <c r="A25" s="55"/>
      <c r="B25" s="55" t="s">
        <v>160</v>
      </c>
      <c r="C25" s="57"/>
      <c r="D25" s="57"/>
      <c r="E25" s="57"/>
      <c r="F25" s="57"/>
      <c r="G25" s="57"/>
      <c r="H25" s="57"/>
      <c r="I25" s="79"/>
      <c r="J25" s="80"/>
      <c r="K25" s="79"/>
      <c r="L25" s="79"/>
      <c r="M25" s="81"/>
      <c r="N25" s="79"/>
      <c r="O25" s="79"/>
      <c r="P25" s="79"/>
      <c r="AI25" s="106"/>
    </row>
    <row r="27" ht="11.25" customHeight="1" spans="2:2">
      <c r="B27" s="58" t="s">
        <v>161</v>
      </c>
    </row>
    <row r="28" spans="2:2">
      <c r="B28" s="59" t="s">
        <v>162</v>
      </c>
    </row>
    <row r="29" spans="2:2">
      <c r="B29" s="59" t="s">
        <v>163</v>
      </c>
    </row>
  </sheetData>
  <autoFilter ref="A3:AT13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5">
    <cfRule type="duplicateValues" dxfId="3" priority="2" stopIfTrue="1"/>
  </conditionalFormatting>
  <conditionalFormatting sqref="B20:B24">
    <cfRule type="duplicateValues" dxfId="3" priority="3" stopIfTrue="1"/>
  </conditionalFormatting>
  <conditionalFormatting sqref="B28:B29">
    <cfRule type="duplicateValues" dxfId="3" priority="1" stopIfTrue="1"/>
  </conditionalFormatting>
  <conditionalFormatting sqref="C17:C19">
    <cfRule type="duplicateValues" dxfId="3" priority="4" stopIfTrue="1"/>
    <cfRule type="expression" dxfId="4" priority="5" stopIfTrue="1">
      <formula>AND(COUNTIF($B$13:$B$65449,C17)+COUNTIF($B$1:$B$3,C17)&gt;1,NOT(ISBLANK(C17)))</formula>
    </cfRule>
    <cfRule type="expression" dxfId="4" priority="6" stopIfTrue="1">
      <formula>AND(COUNTIF($B$24:$B$65400,C17)+COUNTIF($B$1:$B$23,C17)&gt;1,NOT(ISBLANK(C17)))</formula>
    </cfRule>
    <cfRule type="expression" dxfId="4" priority="7" stopIfTrue="1">
      <formula>AND(COUNTIF($B$13:$B$65438,C17)+COUNTIF($B$1:$B$3,C17)&gt;1,NOT(ISBLANK(C17)))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L4+IFERROR(VLOOKUP($E:$E,'（居民）工资表-9月'!$E:$S,15,0),0)</f>
        <v>13980</v>
      </c>
      <c r="T4" s="91">
        <f>5000+IFERROR(VLOOKUP($E:$E,'（居民）工资表-9月'!$E:$T,16,0),0)</f>
        <v>5000</v>
      </c>
      <c r="U4" s="91">
        <f>Q4+IFERROR(VLOOKUP($E:$E,'（居民）工资表-9月'!$E:$U,17,0),0)</f>
        <v>1353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7627</v>
      </c>
      <c r="AE4" s="94">
        <f>ROUND(MAX((AD4)*{0.03;0.1;0.2;0.25;0.3;0.35;0.45}-{0;2520;16920;31920;52920;85920;181920},0),2)</f>
        <v>228.81</v>
      </c>
      <c r="AF4" s="95">
        <f>IFERROR(VLOOKUP(E:E,'（居民）工资表-9月'!E:AF,28,0)+VLOOKUP(E:E,'（居民）工资表-9月'!E:AG,29,0),0)</f>
        <v>0</v>
      </c>
      <c r="AG4" s="95">
        <f>IF((AE4-AF4)&lt;0,0,AE4-AF4)</f>
        <v>228.81</v>
      </c>
      <c r="AH4" s="102">
        <f>ROUND(IF((L4-Q4-AG4)&lt;0,0,(L4-Q4-AG4)),2)</f>
        <v>12398.19</v>
      </c>
      <c r="AI4" s="103"/>
      <c r="AJ4" s="102">
        <f>AH4+AI4</f>
        <v>12398.19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3" customFormat="1" ht="18" customHeight="1" spans="1:46">
      <c r="A5" s="41"/>
      <c r="B5" s="42" t="s">
        <v>152</v>
      </c>
      <c r="C5" s="42"/>
      <c r="D5" s="43"/>
      <c r="E5" s="44"/>
      <c r="F5" s="45"/>
      <c r="G5" s="46"/>
      <c r="H5" s="45"/>
      <c r="I5" s="72"/>
      <c r="J5" s="73"/>
      <c r="K5" s="72"/>
      <c r="L5" s="74">
        <f>SUM(L4:L4)</f>
        <v>13980</v>
      </c>
      <c r="M5" s="74">
        <f t="shared" ref="M5:AL5" si="0">SUM(M4:M4)</f>
        <v>480</v>
      </c>
      <c r="N5" s="74">
        <f t="shared" si="0"/>
        <v>123</v>
      </c>
      <c r="O5" s="74">
        <f t="shared" si="0"/>
        <v>30</v>
      </c>
      <c r="P5" s="74">
        <f t="shared" si="0"/>
        <v>720</v>
      </c>
      <c r="Q5" s="74">
        <f t="shared" si="0"/>
        <v>1353</v>
      </c>
      <c r="R5" s="74">
        <f t="shared" si="0"/>
        <v>0</v>
      </c>
      <c r="S5" s="74">
        <f t="shared" si="0"/>
        <v>13980</v>
      </c>
      <c r="T5" s="74">
        <f t="shared" si="0"/>
        <v>5000</v>
      </c>
      <c r="U5" s="74">
        <f t="shared" si="0"/>
        <v>1353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7627</v>
      </c>
      <c r="AE5" s="74">
        <f t="shared" si="0"/>
        <v>228.81</v>
      </c>
      <c r="AF5" s="74">
        <f t="shared" si="0"/>
        <v>0</v>
      </c>
      <c r="AG5" s="74">
        <f t="shared" si="0"/>
        <v>228.81</v>
      </c>
      <c r="AH5" s="74">
        <f t="shared" si="0"/>
        <v>12398.19</v>
      </c>
      <c r="AI5" s="74">
        <f t="shared" si="0"/>
        <v>0</v>
      </c>
      <c r="AJ5" s="74">
        <f t="shared" si="0"/>
        <v>12398.19</v>
      </c>
      <c r="AK5" s="74">
        <f t="shared" si="0"/>
        <v>0</v>
      </c>
      <c r="AL5" s="74">
        <f t="shared" si="0"/>
        <v>12627</v>
      </c>
      <c r="AM5" s="105"/>
      <c r="AN5" s="105"/>
      <c r="AO5" s="105"/>
      <c r="AP5" s="105"/>
      <c r="AQ5" s="105"/>
      <c r="AR5" s="45"/>
      <c r="AS5" s="45"/>
      <c r="AT5" s="111"/>
    </row>
    <row r="8" spans="30:30">
      <c r="AD8" s="96"/>
    </row>
    <row r="9" ht="18.75" customHeight="1" spans="2:30">
      <c r="B9" s="47" t="s">
        <v>127</v>
      </c>
      <c r="C9" s="47" t="s">
        <v>153</v>
      </c>
      <c r="D9" s="47" t="s">
        <v>57</v>
      </c>
      <c r="E9" s="47" t="s">
        <v>58</v>
      </c>
      <c r="AD9" s="10"/>
    </row>
    <row r="10" ht="18.75" customHeight="1" spans="2:5">
      <c r="B10" s="48">
        <f>AJ5</f>
        <v>12398.19</v>
      </c>
      <c r="C10" s="48">
        <f>AG5</f>
        <v>228.81</v>
      </c>
      <c r="D10" s="48">
        <f>AK5</f>
        <v>0</v>
      </c>
      <c r="E10" s="48">
        <f>B10+C10+D10</f>
        <v>12627</v>
      </c>
    </row>
    <row r="11" spans="2:5">
      <c r="B11" s="49"/>
      <c r="C11" s="49"/>
      <c r="D11" s="49"/>
      <c r="E11" s="49"/>
    </row>
    <row r="12" s="14" customFormat="1" spans="1:35">
      <c r="A12" s="50" t="s">
        <v>154</v>
      </c>
      <c r="B12" s="51" t="s">
        <v>155</v>
      </c>
      <c r="C12" s="52"/>
      <c r="D12" s="52"/>
      <c r="E12" s="52"/>
      <c r="G12" s="53"/>
      <c r="J12" s="75"/>
      <c r="M12" s="76"/>
      <c r="AI12" s="106"/>
    </row>
    <row r="13" s="14" customFormat="1" spans="1:35">
      <c r="A13" s="54"/>
      <c r="B13" s="55" t="s">
        <v>156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1"/>
      <c r="B14" s="55" t="s">
        <v>157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6"/>
    </row>
    <row r="15" s="14" customFormat="1" customHeight="1" spans="1:35">
      <c r="A15" s="55"/>
      <c r="B15" s="55" t="s">
        <v>158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6"/>
    </row>
    <row r="16" s="14" customFormat="1" customHeight="1" spans="1:35">
      <c r="A16" s="55"/>
      <c r="B16" s="55" t="s">
        <v>159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160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6"/>
    </row>
    <row r="19" ht="11.25" customHeight="1" spans="2:2">
      <c r="B19" s="58" t="s">
        <v>161</v>
      </c>
    </row>
    <row r="20" spans="2:2">
      <c r="B20" s="59" t="s">
        <v>162</v>
      </c>
    </row>
    <row r="21" spans="2:2">
      <c r="B21" s="59" t="s">
        <v>163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"/>
  <sheetViews>
    <sheetView topLeftCell="J1" workbookViewId="0">
      <selection activeCell="L3" sqref="L3"/>
    </sheetView>
  </sheetViews>
  <sheetFormatPr defaultColWidth="9" defaultRowHeight="12" outlineLevelRow="2"/>
  <cols>
    <col min="1" max="1" width="4.875" style="123" hidden="1" customWidth="1"/>
    <col min="2" max="2" width="10.75" style="123" hidden="1" customWidth="1"/>
    <col min="3" max="3" width="10.625" style="123" hidden="1" customWidth="1"/>
    <col min="4" max="4" width="13.375" style="123" hidden="1" customWidth="1"/>
    <col min="5" max="5" width="9.625" style="123" hidden="1" customWidth="1"/>
    <col min="6" max="6" width="9.125" style="123" hidden="1" customWidth="1"/>
    <col min="7" max="7" width="7.875" style="123" hidden="1" customWidth="1"/>
    <col min="8" max="9" width="5" style="123" hidden="1" customWidth="1"/>
    <col min="10" max="10" width="8" style="123" customWidth="1"/>
    <col min="11" max="11" width="20.5" style="123" customWidth="1"/>
    <col min="12" max="12" width="11.625" style="123" customWidth="1"/>
    <col min="13" max="13" width="6.625" style="123" customWidth="1"/>
    <col min="14" max="14" width="5.875" style="123" customWidth="1"/>
    <col min="15" max="15" width="5.625" style="123" customWidth="1"/>
    <col min="16" max="16" width="7.625" style="123" customWidth="1"/>
    <col min="17" max="17" width="9.75" style="123" customWidth="1"/>
    <col min="18" max="18" width="6.625" style="123" customWidth="1"/>
    <col min="19" max="19" width="9.875" style="123" customWidth="1"/>
    <col min="20" max="20" width="7.875" style="123" customWidth="1"/>
    <col min="21" max="21" width="10.5" style="123" customWidth="1"/>
    <col min="22" max="22" width="7.875" style="123" customWidth="1"/>
    <col min="23" max="23" width="8" style="123" customWidth="1"/>
    <col min="24" max="24" width="7.125" style="123" customWidth="1"/>
    <col min="25" max="25" width="7.375" style="123" customWidth="1"/>
    <col min="26" max="26" width="7.5" style="123" customWidth="1"/>
    <col min="27" max="27" width="9.75" style="123" customWidth="1"/>
    <col min="28" max="28" width="12.75" style="123" customWidth="1"/>
    <col min="29" max="29" width="10" style="123" customWidth="1"/>
    <col min="30" max="30" width="9" style="123"/>
    <col min="31" max="31" width="15" style="123" customWidth="1"/>
    <col min="32" max="32" width="19.625" style="123" customWidth="1"/>
    <col min="33" max="33" width="9.375" style="123" customWidth="1"/>
    <col min="34" max="34" width="12.375" style="123" customWidth="1"/>
    <col min="35" max="35" width="9" style="123"/>
    <col min="36" max="36" width="12.25" style="123" customWidth="1"/>
    <col min="37" max="37" width="18.5" style="123" customWidth="1"/>
    <col min="38" max="38" width="14.25" style="123" customWidth="1"/>
    <col min="39" max="39" width="11.5" style="123" customWidth="1"/>
    <col min="40" max="40" width="13.875" style="123" customWidth="1"/>
    <col min="41" max="41" width="13.625" style="123" customWidth="1"/>
    <col min="42" max="16384" width="9" style="123"/>
  </cols>
  <sheetData>
    <row r="1" s="121" customFormat="1" ht="16.5" customHeight="1" spans="1:41">
      <c r="A1" s="124" t="s">
        <v>18</v>
      </c>
      <c r="B1" s="124" t="s">
        <v>205</v>
      </c>
      <c r="C1" s="125" t="s">
        <v>39</v>
      </c>
      <c r="D1" s="124" t="s">
        <v>206</v>
      </c>
      <c r="E1" s="124" t="s">
        <v>207</v>
      </c>
      <c r="F1" s="126" t="s">
        <v>36</v>
      </c>
      <c r="G1" s="124" t="s">
        <v>208</v>
      </c>
      <c r="H1" s="124" t="s">
        <v>38</v>
      </c>
      <c r="I1" s="124" t="s">
        <v>209</v>
      </c>
      <c r="J1" s="126" t="s">
        <v>40</v>
      </c>
      <c r="K1" s="126" t="s">
        <v>210</v>
      </c>
      <c r="L1" s="126" t="s">
        <v>211</v>
      </c>
      <c r="M1" s="126" t="s">
        <v>212</v>
      </c>
      <c r="N1" s="126" t="s">
        <v>213</v>
      </c>
      <c r="O1" s="126" t="s">
        <v>214</v>
      </c>
      <c r="P1" s="126" t="s">
        <v>215</v>
      </c>
      <c r="Q1" s="126" t="s">
        <v>216</v>
      </c>
      <c r="R1" s="126" t="s">
        <v>217</v>
      </c>
      <c r="S1" s="135" t="s">
        <v>218</v>
      </c>
      <c r="T1" s="136" t="s">
        <v>219</v>
      </c>
      <c r="U1" s="136"/>
      <c r="V1" s="136"/>
      <c r="W1" s="136"/>
      <c r="X1" s="136"/>
      <c r="Y1" s="136"/>
      <c r="Z1" s="135" t="s">
        <v>220</v>
      </c>
      <c r="AA1" s="141" t="s">
        <v>221</v>
      </c>
      <c r="AB1" s="141"/>
      <c r="AC1" s="141"/>
      <c r="AD1" s="124" t="s">
        <v>222</v>
      </c>
      <c r="AE1" s="124" t="s">
        <v>223</v>
      </c>
      <c r="AF1" s="124" t="s">
        <v>224</v>
      </c>
      <c r="AG1" s="124" t="s">
        <v>225</v>
      </c>
      <c r="AH1" s="124" t="s">
        <v>226</v>
      </c>
      <c r="AI1" s="124" t="s">
        <v>227</v>
      </c>
      <c r="AJ1" s="124" t="s">
        <v>23</v>
      </c>
      <c r="AK1" s="143" t="s">
        <v>228</v>
      </c>
      <c r="AL1" s="144" t="s">
        <v>229</v>
      </c>
      <c r="AM1" s="144" t="s">
        <v>230</v>
      </c>
      <c r="AN1" s="145" t="s">
        <v>231</v>
      </c>
      <c r="AO1" s="145" t="s">
        <v>232</v>
      </c>
    </row>
    <row r="2" s="122" customFormat="1" ht="28.5" customHeight="1" spans="1:41">
      <c r="A2" s="127"/>
      <c r="B2" s="127"/>
      <c r="C2" s="125"/>
      <c r="D2" s="127"/>
      <c r="E2" s="127"/>
      <c r="F2" s="128"/>
      <c r="G2" s="129"/>
      <c r="H2" s="130"/>
      <c r="I2" s="130"/>
      <c r="J2" s="131"/>
      <c r="K2" s="131"/>
      <c r="L2" s="131"/>
      <c r="M2" s="131"/>
      <c r="N2" s="128"/>
      <c r="O2" s="128"/>
      <c r="P2" s="128"/>
      <c r="Q2" s="128"/>
      <c r="R2" s="128"/>
      <c r="S2" s="137"/>
      <c r="T2" s="136" t="s">
        <v>233</v>
      </c>
      <c r="U2" s="136" t="s">
        <v>234</v>
      </c>
      <c r="V2" s="136" t="s">
        <v>235</v>
      </c>
      <c r="W2" s="136" t="s">
        <v>236</v>
      </c>
      <c r="X2" s="136" t="s">
        <v>237</v>
      </c>
      <c r="Y2" s="136" t="s">
        <v>238</v>
      </c>
      <c r="Z2" s="137"/>
      <c r="AA2" s="136" t="s">
        <v>239</v>
      </c>
      <c r="AB2" s="136" t="s">
        <v>240</v>
      </c>
      <c r="AC2" s="136" t="s">
        <v>241</v>
      </c>
      <c r="AD2" s="127"/>
      <c r="AE2" s="127"/>
      <c r="AF2" s="127"/>
      <c r="AG2" s="127"/>
      <c r="AH2" s="127"/>
      <c r="AI2" s="127"/>
      <c r="AJ2" s="127"/>
      <c r="AK2" s="143"/>
      <c r="AL2" s="144"/>
      <c r="AM2" s="144"/>
      <c r="AN2" s="145"/>
      <c r="AO2" s="146"/>
    </row>
    <row r="3" s="123" customFormat="1" ht="14.25" spans="6:29">
      <c r="F3" s="123" t="s">
        <v>242</v>
      </c>
      <c r="J3" s="132" t="s">
        <v>195</v>
      </c>
      <c r="K3" s="337" t="s">
        <v>196</v>
      </c>
      <c r="L3" s="133" t="s">
        <v>197</v>
      </c>
      <c r="N3" s="123" t="s">
        <v>243</v>
      </c>
      <c r="O3" s="123" t="s">
        <v>244</v>
      </c>
      <c r="P3" s="134" t="s">
        <v>245</v>
      </c>
      <c r="Q3" s="138">
        <v>44765</v>
      </c>
      <c r="R3" s="123" t="s">
        <v>243</v>
      </c>
      <c r="S3" s="139" t="s">
        <v>246</v>
      </c>
      <c r="T3" s="123">
        <v>202208</v>
      </c>
      <c r="U3" s="140">
        <v>3430</v>
      </c>
      <c r="V3" s="140">
        <v>3430</v>
      </c>
      <c r="W3" s="140">
        <v>3430</v>
      </c>
      <c r="X3" s="140">
        <v>3430</v>
      </c>
      <c r="Z3" s="123" t="s">
        <v>246</v>
      </c>
      <c r="AA3" s="123">
        <v>202208</v>
      </c>
      <c r="AB3" s="142">
        <v>0.1</v>
      </c>
      <c r="AC3" s="140">
        <v>1700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dataValidations count="3"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  <dataValidation type="list" allowBlank="1" showInputMessage="1" showErrorMessage="1" sqref="H3:H64365">
      <formula1>#REF!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99</v>
      </c>
      <c r="B1" s="21"/>
      <c r="C1" s="22"/>
      <c r="D1" s="23"/>
      <c r="E1" s="24"/>
      <c r="F1" s="24"/>
      <c r="G1" s="25"/>
      <c r="J1" s="60"/>
      <c r="L1" s="61"/>
      <c r="M1" s="62" t="s">
        <v>100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7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101</v>
      </c>
      <c r="C2" s="28" t="s">
        <v>102</v>
      </c>
      <c r="D2" s="28" t="s">
        <v>103</v>
      </c>
      <c r="E2" s="29" t="s">
        <v>104</v>
      </c>
      <c r="F2" s="30" t="s">
        <v>105</v>
      </c>
      <c r="G2" s="29" t="s">
        <v>106</v>
      </c>
      <c r="H2" s="29" t="s">
        <v>107</v>
      </c>
      <c r="I2" s="29" t="s">
        <v>108</v>
      </c>
      <c r="J2" s="63" t="s">
        <v>109</v>
      </c>
      <c r="K2" s="29" t="s">
        <v>110</v>
      </c>
      <c r="L2" s="29" t="s">
        <v>111</v>
      </c>
      <c r="M2" s="64" t="s">
        <v>112</v>
      </c>
      <c r="N2" s="65"/>
      <c r="O2" s="65"/>
      <c r="P2" s="66"/>
      <c r="Q2" s="30" t="s">
        <v>113</v>
      </c>
      <c r="R2" s="29" t="s">
        <v>114</v>
      </c>
      <c r="S2" s="30" t="s">
        <v>115</v>
      </c>
      <c r="T2" s="84" t="s">
        <v>116</v>
      </c>
      <c r="U2" s="30" t="s">
        <v>117</v>
      </c>
      <c r="V2" s="85" t="s">
        <v>118</v>
      </c>
      <c r="W2" s="86"/>
      <c r="X2" s="86"/>
      <c r="Y2" s="86"/>
      <c r="Z2" s="86"/>
      <c r="AA2" s="92"/>
      <c r="AB2" s="30" t="s">
        <v>119</v>
      </c>
      <c r="AC2" s="30" t="s">
        <v>120</v>
      </c>
      <c r="AD2" s="84" t="s">
        <v>121</v>
      </c>
      <c r="AE2" s="84" t="s">
        <v>122</v>
      </c>
      <c r="AF2" s="84" t="s">
        <v>123</v>
      </c>
      <c r="AG2" s="84" t="s">
        <v>124</v>
      </c>
      <c r="AH2" s="98" t="s">
        <v>125</v>
      </c>
      <c r="AI2" s="99" t="s">
        <v>126</v>
      </c>
      <c r="AJ2" s="98" t="s">
        <v>127</v>
      </c>
      <c r="AK2" s="28" t="s">
        <v>57</v>
      </c>
      <c r="AL2" s="98" t="s">
        <v>128</v>
      </c>
      <c r="AM2" s="29" t="s">
        <v>129</v>
      </c>
      <c r="AN2" s="29" t="s">
        <v>130</v>
      </c>
      <c r="AO2" s="108" t="s">
        <v>131</v>
      </c>
      <c r="AP2" s="29" t="s">
        <v>132</v>
      </c>
      <c r="AQ2" s="29" t="s">
        <v>133</v>
      </c>
      <c r="AR2" s="30" t="s">
        <v>134</v>
      </c>
      <c r="AS2" s="30" t="s">
        <v>135</v>
      </c>
      <c r="AT2" s="30" t="s">
        <v>136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137</v>
      </c>
      <c r="N3" s="68" t="s">
        <v>138</v>
      </c>
      <c r="O3" s="68" t="s">
        <v>139</v>
      </c>
      <c r="P3" s="68" t="s">
        <v>70</v>
      </c>
      <c r="Q3" s="35"/>
      <c r="R3" s="34"/>
      <c r="S3" s="35"/>
      <c r="T3" s="87"/>
      <c r="U3" s="35"/>
      <c r="V3" s="88" t="s">
        <v>140</v>
      </c>
      <c r="W3" s="88" t="s">
        <v>141</v>
      </c>
      <c r="X3" s="88" t="s">
        <v>142</v>
      </c>
      <c r="Y3" s="88" t="s">
        <v>143</v>
      </c>
      <c r="Z3" s="88" t="s">
        <v>144</v>
      </c>
      <c r="AA3" s="88" t="s">
        <v>145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09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146</v>
      </c>
      <c r="C4" s="37" t="s">
        <v>147</v>
      </c>
      <c r="D4" s="37" t="s">
        <v>148</v>
      </c>
      <c r="E4" s="37" t="s">
        <v>149</v>
      </c>
      <c r="F4" s="38" t="s">
        <v>150</v>
      </c>
      <c r="G4" s="39" t="s">
        <v>151</v>
      </c>
      <c r="H4" s="40"/>
      <c r="I4" s="40"/>
      <c r="J4" s="69"/>
      <c r="K4" s="40"/>
      <c r="L4" s="70">
        <v>13980</v>
      </c>
      <c r="M4" s="71">
        <v>480</v>
      </c>
      <c r="N4" s="71">
        <v>123</v>
      </c>
      <c r="O4" s="71">
        <v>30</v>
      </c>
      <c r="P4" s="71">
        <v>720</v>
      </c>
      <c r="Q4" s="89">
        <f>ROUND(SUM(M4:P4),2)</f>
        <v>1353</v>
      </c>
      <c r="R4" s="70">
        <v>0</v>
      </c>
      <c r="S4" s="90">
        <f>L4+IFERROR(VLOOKUP($E:$E,'（居民）工资表-10月'!$E:$S,15,0),0)</f>
        <v>27960</v>
      </c>
      <c r="T4" s="91">
        <f>5000+IFERROR(VLOOKUP($E:$E,'（居民）工资表-10月'!$E:$T,16,0),0)</f>
        <v>10000</v>
      </c>
      <c r="U4" s="91">
        <f>Q4+IFERROR(VLOOKUP($E:$E,'（居民）工资表-10月'!$E:$U,17,0),0)</f>
        <v>2706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15254</v>
      </c>
      <c r="AE4" s="94">
        <f>ROUND(MAX((AD4)*{0.03;0.1;0.2;0.25;0.3;0.35;0.45}-{0;2520;16920;31920;52920;85920;181920},0),2)</f>
        <v>457.62</v>
      </c>
      <c r="AF4" s="95">
        <f>IFERROR(VLOOKUP(E:E,'（居民）工资表-10月'!E:AF,28,0)+VLOOKUP(E:E,'（居民）工资表-10月'!E:AG,29,0),0)</f>
        <v>228.81</v>
      </c>
      <c r="AG4" s="95">
        <f>IF((AE4-AF4)&lt;0,0,AE4-AF4)</f>
        <v>228.81</v>
      </c>
      <c r="AH4" s="102">
        <f>ROUND(IF((L4-Q4-AG4)&lt;0,0,(L4-Q4-AG4)),2)</f>
        <v>12398.19</v>
      </c>
      <c r="AI4" s="103"/>
      <c r="AJ4" s="102">
        <f>AH4+AI4</f>
        <v>12398.19</v>
      </c>
      <c r="AK4" s="104"/>
      <c r="AL4" s="102">
        <f>AJ4+AG4+AK4</f>
        <v>12627</v>
      </c>
      <c r="AM4" s="104"/>
      <c r="AN4" s="104"/>
      <c r="AO4" s="104"/>
      <c r="AP4" s="104"/>
      <c r="AQ4" s="104"/>
      <c r="AR4" s="110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0" t="str">
        <f>IF(SUMPRODUCT(N(E$1:E$4=E4))&gt;1,"重复","不")</f>
        <v>不</v>
      </c>
      <c r="AT4" s="110" t="str">
        <f>IF(SUMPRODUCT(N(AO$1:AO$4=AO4))&gt;1,"重复","不")</f>
        <v>重复</v>
      </c>
    </row>
    <row r="5" s="13" customFormat="1" ht="18" customHeight="1" spans="1:46">
      <c r="A5" s="41"/>
      <c r="B5" s="42" t="s">
        <v>152</v>
      </c>
      <c r="C5" s="42"/>
      <c r="D5" s="43"/>
      <c r="E5" s="44"/>
      <c r="F5" s="45"/>
      <c r="G5" s="46"/>
      <c r="H5" s="45"/>
      <c r="I5" s="72"/>
      <c r="J5" s="73"/>
      <c r="K5" s="72"/>
      <c r="L5" s="74">
        <f>SUM(L4:L4)</f>
        <v>13980</v>
      </c>
      <c r="M5" s="74">
        <f t="shared" ref="M5:AL5" si="0">SUM(M4:M4)</f>
        <v>480</v>
      </c>
      <c r="N5" s="74">
        <f t="shared" si="0"/>
        <v>123</v>
      </c>
      <c r="O5" s="74">
        <f t="shared" si="0"/>
        <v>30</v>
      </c>
      <c r="P5" s="74">
        <f t="shared" si="0"/>
        <v>720</v>
      </c>
      <c r="Q5" s="74">
        <f t="shared" si="0"/>
        <v>1353</v>
      </c>
      <c r="R5" s="74">
        <f t="shared" si="0"/>
        <v>0</v>
      </c>
      <c r="S5" s="74">
        <f t="shared" si="0"/>
        <v>27960</v>
      </c>
      <c r="T5" s="74">
        <f t="shared" si="0"/>
        <v>10000</v>
      </c>
      <c r="U5" s="74">
        <f t="shared" si="0"/>
        <v>2706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15254</v>
      </c>
      <c r="AE5" s="74">
        <f t="shared" si="0"/>
        <v>457.62</v>
      </c>
      <c r="AF5" s="74">
        <f t="shared" si="0"/>
        <v>228.81</v>
      </c>
      <c r="AG5" s="74">
        <f t="shared" si="0"/>
        <v>228.81</v>
      </c>
      <c r="AH5" s="74">
        <f t="shared" si="0"/>
        <v>12398.19</v>
      </c>
      <c r="AI5" s="74">
        <f t="shared" si="0"/>
        <v>0</v>
      </c>
      <c r="AJ5" s="74">
        <f t="shared" si="0"/>
        <v>12398.19</v>
      </c>
      <c r="AK5" s="74">
        <f t="shared" si="0"/>
        <v>0</v>
      </c>
      <c r="AL5" s="74">
        <f t="shared" si="0"/>
        <v>12627</v>
      </c>
      <c r="AM5" s="105"/>
      <c r="AN5" s="105"/>
      <c r="AO5" s="105"/>
      <c r="AP5" s="105"/>
      <c r="AQ5" s="105"/>
      <c r="AR5" s="45"/>
      <c r="AS5" s="45"/>
      <c r="AT5" s="111"/>
    </row>
    <row r="8" spans="30:30">
      <c r="AD8" s="96"/>
    </row>
    <row r="9" ht="18.75" customHeight="1" spans="2:30">
      <c r="B9" s="47" t="s">
        <v>127</v>
      </c>
      <c r="C9" s="47" t="s">
        <v>153</v>
      </c>
      <c r="D9" s="47" t="s">
        <v>57</v>
      </c>
      <c r="E9" s="47" t="s">
        <v>58</v>
      </c>
      <c r="AD9" s="10"/>
    </row>
    <row r="10" ht="18.75" customHeight="1" spans="2:5">
      <c r="B10" s="48">
        <f>AJ5</f>
        <v>12398.19</v>
      </c>
      <c r="C10" s="48">
        <f>AG5</f>
        <v>228.81</v>
      </c>
      <c r="D10" s="48">
        <f>AK5</f>
        <v>0</v>
      </c>
      <c r="E10" s="48">
        <f>B10+C10+D10</f>
        <v>12627</v>
      </c>
    </row>
    <row r="11" spans="2:5">
      <c r="B11" s="49"/>
      <c r="C11" s="49"/>
      <c r="D11" s="49"/>
      <c r="E11" s="49"/>
    </row>
    <row r="12" s="14" customFormat="1" spans="1:35">
      <c r="A12" s="50" t="s">
        <v>154</v>
      </c>
      <c r="B12" s="51" t="s">
        <v>155</v>
      </c>
      <c r="C12" s="52"/>
      <c r="D12" s="52"/>
      <c r="E12" s="52"/>
      <c r="G12" s="53"/>
      <c r="J12" s="75"/>
      <c r="M12" s="76"/>
      <c r="AI12" s="106"/>
    </row>
    <row r="13" s="14" customFormat="1" spans="1:35">
      <c r="A13" s="54"/>
      <c r="B13" s="55" t="s">
        <v>156</v>
      </c>
      <c r="C13" s="52"/>
      <c r="D13" s="52"/>
      <c r="E13" s="52"/>
      <c r="G13" s="53"/>
      <c r="J13" s="75"/>
      <c r="M13" s="76"/>
      <c r="AI13" s="106"/>
    </row>
    <row r="14" s="14" customFormat="1" spans="1:35">
      <c r="A14" s="51"/>
      <c r="B14" s="55" t="s">
        <v>157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6"/>
    </row>
    <row r="15" s="14" customFormat="1" customHeight="1" spans="1:35">
      <c r="A15" s="55"/>
      <c r="B15" s="55" t="s">
        <v>158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6"/>
    </row>
    <row r="16" s="14" customFormat="1" customHeight="1" spans="1:35">
      <c r="A16" s="55"/>
      <c r="B16" s="55" t="s">
        <v>159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6"/>
    </row>
    <row r="17" s="14" customFormat="1" customHeight="1" spans="1:35">
      <c r="A17" s="55"/>
      <c r="B17" s="55" t="s">
        <v>160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6"/>
    </row>
    <row r="19" ht="11.25" customHeight="1" spans="2:2">
      <c r="B19" s="58" t="s">
        <v>161</v>
      </c>
    </row>
    <row r="20" spans="2:2">
      <c r="B20" s="59" t="s">
        <v>162</v>
      </c>
    </row>
    <row r="21" spans="2:2">
      <c r="B21" s="59" t="s">
        <v>163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3" priority="2" stopIfTrue="1"/>
  </conditionalFormatting>
  <conditionalFormatting sqref="B12:B16">
    <cfRule type="duplicateValues" dxfId="3" priority="3" stopIfTrue="1"/>
  </conditionalFormatting>
  <conditionalFormatting sqref="B20:B21">
    <cfRule type="duplicateValues" dxfId="3" priority="1" stopIfTrue="1"/>
  </conditionalFormatting>
  <conditionalFormatting sqref="C9:C11">
    <cfRule type="duplicateValues" dxfId="3" priority="4" stopIfTrue="1"/>
    <cfRule type="expression" dxfId="4" priority="5" stopIfTrue="1">
      <formula>AND(COUNTIF($B$5:$B$65441,C9)+COUNTIF($B$1:$B$3,C9)&gt;1,NOT(ISBLANK(C9)))</formula>
    </cfRule>
    <cfRule type="expression" dxfId="4" priority="6" stopIfTrue="1">
      <formula>AND(COUNTIF($B$16:$B$65392,C9)+COUNTIF($B$1:$B$15,C9)&gt;1,NOT(ISBLANK(C9)))</formula>
    </cfRule>
    <cfRule type="expression" dxfId="4" priority="7" stopIfTrue="1">
      <formula>AND(COUNTIF($B$5:$B$65430,C9)+COUNTIF($B$1:$B$3,C9)&gt;1,NOT(ISBLANK(C9)))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增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2023-05-30T02:48:11Z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2052-11.1.0.14309</vt:lpwstr>
  </property>
  <property fmtid="{D5CDD505-2E9C-101B-9397-08002B2CF9AE}" pid="4" name="ICV">
    <vt:lpwstr>F1A0CCEBD7C744A79DDECDEDB8F0F4BC</vt:lpwstr>
  </property>
  <property fmtid="{D5CDD505-2E9C-101B-9397-08002B2CF9AE}" pid="5" name="KSOReadingLayout">
    <vt:bool>true</vt:bool>
  </property>
</Properties>
</file>