
<file path=[Content_Types].xml><?xml version="1.0" encoding="utf-8"?>
<Types xmlns="http://schemas.openxmlformats.org/package/2006/content-types">
  <Default Extension="xml" ContentType="application/xml"/>
  <Default Extension="vml" ContentType="application/vnd.openxmlformats-officedocument.vmlDrawi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609" firstSheet="1" activeTab="1"/>
  </bookViews>
  <sheets>
    <sheet name="社保" sheetId="27" state="hidden" r:id="rId1"/>
    <sheet name="付款通知" sheetId="26" r:id="rId2"/>
    <sheet name="社保1" sheetId="28" r:id="rId3"/>
    <sheet name="（居民）工资表-5月" sheetId="18" state="hidden" r:id="rId4"/>
    <sheet name="（居民）工资表-6月" sheetId="19" r:id="rId5"/>
    <sheet name="（居民）工资表-7月" sheetId="20" state="hidden" r:id="rId6"/>
    <sheet name="（居民）工资表-8月" sheetId="21" state="hidden" r:id="rId7"/>
    <sheet name="（居民）工资表-9月" sheetId="22" state="hidden" r:id="rId8"/>
    <sheet name="（居民）工资表-10月" sheetId="23" state="hidden" r:id="rId9"/>
    <sheet name="（居民）工资表-11月" sheetId="24" state="hidden" r:id="rId10"/>
    <sheet name="（居民）工资表-1月" sheetId="1" state="hidden" r:id="rId11"/>
    <sheet name="（居民）工资表-12月" sheetId="25" state="hidden" r:id="rId12"/>
    <sheet name="（居民）工资表-2月" sheetId="15" state="hidden" r:id="rId13"/>
    <sheet name="（居民）工资表-3月" sheetId="16" state="hidden" r:id="rId14"/>
    <sheet name="（居民）工资表-4月" sheetId="17" state="hidden" r:id="rId15"/>
    <sheet name="Sheet1" sheetId="14" state="hidden" r:id="rId16"/>
  </sheets>
  <externalReferences>
    <externalReference r:id="rId18"/>
  </externalReferences>
  <definedNames>
    <definedName name="_xlnm._FilterDatabase" localSheetId="3" hidden="1">'（居民）工资表-5月'!$A$3:$AT$20</definedName>
    <definedName name="_xlnm._FilterDatabase" localSheetId="4" hidden="1">'（居民）工资表-6月'!$A$3:$AT$20</definedName>
    <definedName name="_xlnm._FilterDatabase" localSheetId="5" hidden="1">'（居民）工资表-7月'!$A$3:$AT$19</definedName>
    <definedName name="_xlnm._FilterDatabase" localSheetId="6" hidden="1">'（居民）工资表-8月'!$A$3:$AT$20</definedName>
    <definedName name="_xlnm._FilterDatabase" localSheetId="7" hidden="1">'（居民）工资表-9月'!$A$3:$AT$13</definedName>
    <definedName name="_xlnm._FilterDatabase" localSheetId="8" hidden="1">'（居民）工资表-10月'!$A$3:$AT$12</definedName>
    <definedName name="_xlnm._FilterDatabase" localSheetId="9" hidden="1">'（居民）工资表-11月'!$A$3:$AT$13</definedName>
    <definedName name="_xlnm._FilterDatabase" localSheetId="11" hidden="1">'（居民）工资表-12月'!$A$3:$AT$17</definedName>
    <definedName name="_xlnm._FilterDatabase" localSheetId="12" hidden="1">'（居民）工资表-2月'!$A$3:$AT$22</definedName>
    <definedName name="_xlnm._FilterDatabase" localSheetId="13" hidden="1">'（居民）工资表-3月'!$A$3:$AT$21</definedName>
    <definedName name="_xlnm._FilterDatabase" localSheetId="14" hidden="1">'（居民）工资表-4月'!$A$3:$AT$20</definedName>
    <definedName name="_xlnm._FilterDatabase" localSheetId="10" hidden="1">'（居民）工资表-1月'!$A$3:$AV$20</definedName>
    <definedName name="_xlnm._FilterDatabase" localSheetId="2" hidden="1">社保1!$A$2:$BH$17</definedName>
    <definedName name="_xlnm.Print_Area" localSheetId="8">'（居民）工资表-10月'!$A$1:$AT$18</definedName>
    <definedName name="_xlnm.Print_Area" localSheetId="9">'（居民）工资表-11月'!$A$1:$AT$19</definedName>
    <definedName name="_xlnm.Print_Area" localSheetId="11">'（居民）工资表-12月'!$A$1:$AT$23</definedName>
    <definedName name="_xlnm.Print_Area" localSheetId="10">'（居民）工资表-1月'!$A$1:$AT$26</definedName>
    <definedName name="_xlnm.Print_Area" localSheetId="12">'（居民）工资表-2月'!$A$1:$AT$27</definedName>
    <definedName name="_xlnm.Print_Area" localSheetId="13">'（居民）工资表-3月'!$A$1:$AT$27</definedName>
    <definedName name="_xlnm.Print_Area" localSheetId="14">'（居民）工资表-4月'!$A$1:$AT$26</definedName>
    <definedName name="_xlnm.Print_Area" localSheetId="3">'（居民）工资表-5月'!$A$1:$AT$26</definedName>
    <definedName name="_xlnm.Print_Area" localSheetId="4">'（居民）工资表-6月'!$A$1:$AT$26</definedName>
    <definedName name="_xlnm.Print_Area" localSheetId="5">'（居民）工资表-7月'!$A$1:$AT$25</definedName>
    <definedName name="_xlnm.Print_Area" localSheetId="6">'（居民）工资表-8月'!$A$1:$AT$26</definedName>
    <definedName name="_xlnm.Print_Area" localSheetId="7">'（居民）工资表-9月'!$A$1:$AT$19</definedName>
  </definedNames>
  <calcPr calcId="144525"/>
</workbook>
</file>

<file path=xl/comments1.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10.xml><?xml version="1.0" encoding="utf-8"?>
<comments xmlns="http://schemas.openxmlformats.org/spreadsheetml/2006/main">
  <authors>
    <author>xbany</author>
    <author>AutoBVT</author>
    <author>lenovo</author>
    <author>Administrator</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 ref="M5" authorId="3">
      <text>
        <r>
          <rPr>
            <b/>
            <sz val="9"/>
            <rFont val="宋体"/>
            <charset val="134"/>
          </rPr>
          <t>Administrator:</t>
        </r>
        <r>
          <rPr>
            <sz val="9"/>
            <rFont val="宋体"/>
            <charset val="134"/>
          </rPr>
          <t xml:space="preserve">
个人费用调整，且补扣个人费用</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作者</author>
  </authors>
  <commentList>
    <comment ref="F17" authorId="0">
      <text>
        <r>
          <rPr>
            <sz val="9"/>
            <rFont val="宋体"/>
            <charset val="134"/>
          </rPr>
          <t>作者:
含补缴人数</t>
        </r>
      </text>
    </comment>
  </commentList>
</comments>
</file>

<file path=xl/comments3.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sharedStrings.xml><?xml version="1.0" encoding="utf-8"?>
<sst xmlns="http://schemas.openxmlformats.org/spreadsheetml/2006/main" count="2309" uniqueCount="279">
  <si>
    <t>序号</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</si>
  <si>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</si>
  <si>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</si>
  <si>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</si>
  <si>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</si>
  <si>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</si>
  <si>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</si>
  <si>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</si>
  <si>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</si>
  <si>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</si>
  <si>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</si>
  <si>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</si>
  <si>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</si>
  <si>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</si>
  <si>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</si>
  <si>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</si>
  <si>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</si>
  <si>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</si>
  <si>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</si>
  <si>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</si>
  <si>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</si>
  <si>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</si>
  <si>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</si>
  <si>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</si>
  <si>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备注</t>
  </si>
  <si>
    <t>缴纳基数</t>
  </si>
  <si>
    <t>公司比例</t>
  </si>
  <si>
    <t>公司金额</t>
  </si>
  <si>
    <t>个人比例</t>
  </si>
  <si>
    <t>个人金额</t>
  </si>
  <si>
    <t>比例</t>
  </si>
  <si>
    <t>金额</t>
  </si>
  <si>
    <t>公司</t>
  </si>
  <si>
    <t>个人</t>
  </si>
  <si>
    <t>社保公司</t>
  </si>
  <si>
    <t>社保个人</t>
  </si>
  <si>
    <t>公积金公司</t>
  </si>
  <si>
    <t>公积金个人</t>
  </si>
  <si>
    <t>小计</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</si>
  <si>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</si>
  <si>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</si>
  <si>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</si>
  <si>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</si>
  <si>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</si>
  <si>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</si>
  <si>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</si>
  <si>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</si>
  <si>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</si>
  <si>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</si>
  <si>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</si>
  <si>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</si>
  <si>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</si>
  <si>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</si>
  <si>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</si>
  <si>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</si>
  <si>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</si>
  <si>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</si>
  <si>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</si>
  <si>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</si>
  <si>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</si>
  <si>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</si>
  <si>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</si>
  <si>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</si>
  <si>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</si>
  <si>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</si>
  <si>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</si>
  <si>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</si>
  <si>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付款通知书</t>
  </si>
  <si>
    <t>尊敬的客户：北京创联致信科技有限公司</t>
  </si>
  <si>
    <t>根据贵公司与我公司所签订的服务协议，请贵公司在2023年6月2日之前按照下列表格内容支付相关款项.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</si>
  <si>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</si>
  <si>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</si>
  <si>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</si>
  <si>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</si>
  <si>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</si>
  <si>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</si>
  <si>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</si>
  <si>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</si>
  <si>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</si>
  <si>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</si>
  <si>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charset val="134"/>
      </rPr>
      <t>工资保证金</t>
    </r>
    <r>
      <rPr>
        <sz val="10"/>
        <color indexed="8"/>
        <rFont val="宋体"/>
        <charset val="134"/>
      </rPr>
      <t>(+)</t>
    </r>
    <r>
      <rPr>
        <sz val="10"/>
        <color indexed="8"/>
        <rFont val="宋体"/>
        <charset val="134"/>
      </rPr>
      <t>：</t>
    </r>
  </si>
  <si>
    <t>本期减免服务费(+)：</t>
  </si>
  <si>
    <r>
      <rPr>
        <sz val="10"/>
        <color indexed="8"/>
        <rFont val="宋体"/>
        <charset val="134"/>
      </rPr>
      <t>上期预收款</t>
    </r>
    <r>
      <rPr>
        <sz val="10"/>
        <color indexed="8"/>
        <rFont val="宋体"/>
        <charset val="134"/>
      </rPr>
      <t>(-)</t>
    </r>
    <r>
      <rPr>
        <sz val="10"/>
        <color indexed="8"/>
        <rFont val="宋体"/>
        <charset val="134"/>
      </rPr>
      <t>：</t>
    </r>
  </si>
  <si>
    <r>
      <rPr>
        <sz val="10"/>
        <color indexed="8"/>
        <rFont val="宋体"/>
        <charset val="134"/>
      </rPr>
      <t>自划金额</t>
    </r>
    <r>
      <rPr>
        <sz val="10"/>
        <color indexed="8"/>
        <rFont val="宋体"/>
        <charset val="134"/>
      </rPr>
      <t>(-)</t>
    </r>
    <r>
      <rPr>
        <sz val="10"/>
        <color indexed="8"/>
        <rFont val="宋体"/>
        <charset val="134"/>
      </rPr>
      <t>：</t>
    </r>
  </si>
  <si>
    <t>gggggggggggggggggggggggggggggghhhhhhhhhhhhhhhhhhhhhhhhhhhhhhhhhhhhhhhhhhhhhhhhhhhhhh</t>
  </si>
  <si>
    <t>费用列项</t>
  </si>
  <si>
    <t>费用明细</t>
  </si>
  <si>
    <t>人次</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</si>
  <si>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</si>
  <si>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</si>
  <si>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工资(应税工资:实发+个税+残障金)</t>
  </si>
  <si>
    <t>社   保(企业+个人)</t>
  </si>
  <si>
    <t>正常月</t>
  </si>
  <si>
    <t>公积金(企业+个人)</t>
  </si>
  <si>
    <t>人事管理费用</t>
  </si>
  <si>
    <t>服务费（含税）</t>
  </si>
  <si>
    <t>税金</t>
  </si>
  <si>
    <t>合计:</t>
  </si>
  <si>
    <t>开票金额:</t>
  </si>
  <si>
    <t>残障金</t>
  </si>
  <si>
    <t>202306</t>
  </si>
  <si>
    <t>梁敏霞</t>
  </si>
  <si>
    <t>440883199611084547</t>
  </si>
  <si>
    <t>202110</t>
  </si>
  <si>
    <t>自2023年5月起广州市调整失业、工伤比例，调整如下：
        一、政策内容说明：
        1.主要内容：接收到广州市税务局通知，自2023年5月1日起，工伤险种由0.16%调整为0.32%，失业险种由0.48%调整为0.8%；
        2.影响范围：失业保险、工伤保险。
        3.政策执行时间：2023年5月。
        4.政策链接：http://guangdong.chinatax.gov.cn/gdsw/ssfggds/2023-04/26/content_8e72b268308a41edb2ed10bb00a0dac7.shtml。</t>
  </si>
  <si>
    <t>202305</t>
  </si>
  <si>
    <t>补收失业工伤比例差</t>
  </si>
  <si>
    <t>上海</t>
  </si>
  <si>
    <t>冯玉</t>
  </si>
  <si>
    <t>370724197703022770</t>
  </si>
  <si>
    <t>202208</t>
  </si>
  <si>
    <t>蚌埠</t>
  </si>
  <si>
    <t>徐明龙</t>
  </si>
  <si>
    <t>340311199902251816</t>
  </si>
  <si>
    <t>202307</t>
  </si>
  <si>
    <t>周阳阳</t>
  </si>
  <si>
    <t>34031119950415085X</t>
  </si>
  <si>
    <t>202301</t>
  </si>
  <si>
    <t>阜阳</t>
  </si>
  <si>
    <t>陈佳文</t>
  </si>
  <si>
    <t>34122719960403561X</t>
  </si>
  <si>
    <t>任志伟</t>
  </si>
  <si>
    <t>341221199109161530</t>
  </si>
  <si>
    <t>杨旭</t>
  </si>
  <si>
    <t>341202199607081913</t>
  </si>
  <si>
    <t>芜湖</t>
  </si>
  <si>
    <t>朱必丰</t>
  </si>
  <si>
    <t>64222319950423161X</t>
  </si>
  <si>
    <t>汤祥文</t>
  </si>
  <si>
    <t>340222198505126017</t>
  </si>
  <si>
    <t>常德</t>
  </si>
  <si>
    <t>龙治旺</t>
  </si>
  <si>
    <t>43070219881009051X</t>
  </si>
  <si>
    <t>重庆</t>
  </si>
  <si>
    <t>谭江月</t>
  </si>
  <si>
    <t>500228199607193387</t>
  </si>
  <si>
    <t>接供应商重庆外商，关于重庆地区2022年社保调基补差收费通知
主要内容：
根据渝人社发〔2022〕29号《重庆市人力资源和社会保障局重庆市财政局重庆市医疗保障局国家税务总局重庆市税务局关于做好2022年度社会保险缴费基数上下限核定等有关工作的通知》通知， 2022年度重庆市各项社会保险缴费基数上下限核定（含补缴历年社会保险费）工作中使用的就业人员平均工资为79133元/年（6595元/月）。2022年度城镇企业职工基本养老保险、失业保险、工伤保险、医疗生育保险参保职工月缴费基数上限为19784元，下限为3957元。按照人社局的要求，现就各项保险收费结算工作通知如下：
1、在职人员：
员工申报基数有调整的，由于社保局已于2022年7月底调整系统，供应商将于2022年8月补收2022年1-7月养老、失业、工伤、医疗和生育等五项保险新旧基数及上下限的差额部分。</t>
  </si>
  <si>
    <t>天津</t>
  </si>
  <si>
    <t>孙海娟</t>
  </si>
  <si>
    <t>150428198211155123</t>
  </si>
  <si>
    <t>202211</t>
  </si>
  <si>
    <t>益阳</t>
  </si>
  <si>
    <t>杨文</t>
  </si>
  <si>
    <t>430902198512287016</t>
  </si>
  <si>
    <t>合肥</t>
  </si>
  <si>
    <t>张莉</t>
  </si>
  <si>
    <t>340122198910212909</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</si>
  <si>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</si>
  <si>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</si>
  <si>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</si>
  <si>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</si>
  <si>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</si>
  <si>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</si>
  <si>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</si>
  <si>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</si>
  <si>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</si>
  <si>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</si>
  <si>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</si>
  <si>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</si>
  <si>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</si>
  <si>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</si>
  <si>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</si>
  <si>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</si>
  <si>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</si>
  <si>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</si>
  <si>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</si>
  <si>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</si>
  <si>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</si>
  <si>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</si>
  <si>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</si>
  <si>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</si>
  <si>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</si>
  <si>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</si>
  <si>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</si>
  <si>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</si>
  <si>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</si>
  <si>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</si>
  <si>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</si>
  <si>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</si>
  <si>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</si>
  <si>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</si>
  <si>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</si>
  <si>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</si>
  <si>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</si>
  <si>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</si>
  <si>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</si>
  <si>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</si>
  <si>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</si>
  <si>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</si>
  <si>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</si>
  <si>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</si>
  <si>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</si>
  <si>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</si>
  <si>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</si>
  <si>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</si>
  <si>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</si>
  <si>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</si>
  <si>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长春</t>
  </si>
  <si>
    <t>女</t>
  </si>
  <si>
    <t>13564614685</t>
  </si>
  <si>
    <t>傲云</t>
  </si>
  <si>
    <t>15255242118</t>
  </si>
  <si>
    <t>长沙</t>
  </si>
  <si>
    <t>18297976577</t>
  </si>
  <si>
    <t>重庆外商</t>
  </si>
  <si>
    <t>13875812115</t>
  </si>
  <si>
    <t>天津易铭天</t>
  </si>
  <si>
    <t>18409625963</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</si>
  <si>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</si>
  <si>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</si>
  <si>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</si>
  <si>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</si>
  <si>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</si>
  <si>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</si>
  <si>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</si>
  <si>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</si>
  <si>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</si>
  <si>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</si>
  <si>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</si>
  <si>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</si>
  <si>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王明贤</t>
  </si>
  <si>
    <t>411322199302132416</t>
  </si>
  <si>
    <t>何仪华</t>
  </si>
  <si>
    <t>412726198606097916</t>
  </si>
  <si>
    <t>楚华锋</t>
  </si>
  <si>
    <t>410183199311189538</t>
  </si>
  <si>
    <t>芮瑞</t>
  </si>
  <si>
    <t>411221198610113536</t>
  </si>
  <si>
    <t>15537954009</t>
  </si>
  <si>
    <t>桑柳成</t>
  </si>
  <si>
    <t>410521199111257519</t>
  </si>
  <si>
    <t>15713680881</t>
  </si>
  <si>
    <t>姚远</t>
  </si>
  <si>
    <t>410102198812110135</t>
  </si>
  <si>
    <t>15938792012</t>
  </si>
  <si>
    <t>张铭</t>
  </si>
  <si>
    <t>411402199905127632</t>
  </si>
  <si>
    <t>张明亮</t>
  </si>
  <si>
    <t>41042219910810183X</t>
  </si>
  <si>
    <t>周砺兴</t>
  </si>
  <si>
    <t>642222198309050097</t>
  </si>
  <si>
    <t>马欢</t>
  </si>
  <si>
    <t>640223199201051513</t>
  </si>
  <si>
    <t>卢平</t>
  </si>
  <si>
    <t>640321199312071114</t>
  </si>
  <si>
    <t>夏旭</t>
  </si>
  <si>
    <t>340122198708021850</t>
  </si>
  <si>
    <t>涂志伟</t>
  </si>
  <si>
    <t>南昌</t>
  </si>
  <si>
    <t>36010419751104107X</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</si>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</sst>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quot;#,##0_ ;[Red]\-&quot;$&quot;#,##0_ "/>
    <numFmt numFmtId="178" formatCode="[DBNum2][$-804]General"/>
    <numFmt numFmtId="179" formatCode="0.00;[Red]0.00"/>
    <numFmt numFmtId="180" formatCode="0.00_);[Red]\(0.00\)"/>
    <numFmt numFmtId="181" formatCode="#,##0_);[Red]\(#,##0\)"/>
    <numFmt numFmtId="182" formatCode="#,##0.00_);[Red]\(#,##0.00\)"/>
    <numFmt numFmtId="183" formatCode="0_);[Red]\(0\)"/>
    <numFmt numFmtId="184" formatCode="&quot;$&quot;0_ "/>
    <numFmt numFmtId="185" formatCode="General\ &quot;年&quot;"/>
    <numFmt numFmtId="186" formatCode="0.00_);\(0.00\)"/>
  </numFmts>
  <fonts count="123">
    <font>
      <sz val="11"/>
      <color theme="1"/>
      <name val="宋体"/>
      <charset val="134"/>
      <scheme val="minor"/>
    </font>
    <font>
      <sz val="18"/>
      <color theme="1"/>
      <name val="黑体"/>
      <charset val="134"/>
    </font>
    <font>
      <sz val="16"/>
      <color theme="1"/>
      <name val="仿宋_GB2312"/>
      <charset val="134"/>
    </font>
    <font>
      <b/>
      <sz val="12"/>
      <color theme="1"/>
      <name val="宋体"/>
      <charset val="134"/>
      <scheme val="major"/>
    </font>
    <font>
      <sz val="11"/>
      <color theme="1"/>
      <name val="宋体"/>
      <charset val="134"/>
      <scheme val="major"/>
    </font>
    <font>
      <b/>
      <sz val="12"/>
      <color rgb="FF2C2C2C"/>
      <name val="宋体"/>
      <charset val="134"/>
      <scheme val="minor"/>
    </font>
    <font>
      <sz val="11"/>
      <color indexed="8"/>
      <name val="宋体"/>
      <charset val="134"/>
    </font>
    <font>
      <b/>
      <sz val="10"/>
      <color indexed="8"/>
      <name val="宋体"/>
      <charset val="134"/>
    </font>
    <font>
      <b/>
      <sz val="10"/>
      <color rgb="FFFF0000"/>
      <name val="Arial Unicode MS"/>
      <charset val="134"/>
    </font>
    <font>
      <b/>
      <sz val="12"/>
      <color rgb="FFFF0000"/>
      <name val="Arial Unicode MS"/>
      <charset val="134"/>
    </font>
    <font>
      <sz val="12"/>
      <name val="Arial Unicode MS"/>
      <charset val="134"/>
    </font>
    <font>
      <b/>
      <sz val="10"/>
      <name val="Arial Unicode MS"/>
      <charset val="134"/>
    </font>
    <font>
      <b/>
      <sz val="10"/>
      <color rgb="FFFF0000"/>
      <name val="宋体"/>
      <charset val="134"/>
    </font>
    <font>
      <b/>
      <sz val="10"/>
      <name val="宋体"/>
      <charset val="134"/>
    </font>
    <font>
      <sz val="10"/>
      <color indexed="8"/>
      <name val="宋体"/>
      <charset val="134"/>
    </font>
    <font>
      <sz val="10"/>
      <color theme="1"/>
      <name val="宋体"/>
      <charset val="134"/>
    </font>
    <font>
      <sz val="10"/>
      <name val="宋体"/>
      <charset val="134"/>
      <scheme val="minor"/>
    </font>
    <font>
      <b/>
      <sz val="10"/>
      <color indexed="8"/>
      <name val="Arial Unicode MS"/>
      <charset val="134"/>
    </font>
    <font>
      <b/>
      <sz val="9"/>
      <color rgb="FFFF0000"/>
      <name val="宋体"/>
      <charset val="134"/>
    </font>
    <font>
      <b/>
      <sz val="9"/>
      <color indexed="8"/>
      <name val="宋体"/>
      <charset val="134"/>
    </font>
    <font>
      <sz val="9"/>
      <color indexed="8"/>
      <name val="宋体"/>
      <charset val="134"/>
    </font>
    <font>
      <sz val="9"/>
      <color indexed="10"/>
      <name val="宋体"/>
      <charset val="134"/>
    </font>
    <font>
      <b/>
      <sz val="9"/>
      <name val="宋体"/>
      <charset val="134"/>
    </font>
    <font>
      <b/>
      <sz val="9"/>
      <color indexed="10"/>
      <name val="宋体"/>
      <charset val="134"/>
    </font>
    <font>
      <b/>
      <sz val="10"/>
      <color rgb="FFFF0000"/>
      <name val="宋体"/>
      <charset val="134"/>
      <scheme val="minor"/>
    </font>
    <font>
      <sz val="10"/>
      <name val="宋体"/>
      <charset val="134"/>
    </font>
    <font>
      <sz val="9"/>
      <name val="宋体"/>
      <charset val="134"/>
    </font>
    <font>
      <sz val="6"/>
      <name val="Arial"/>
      <charset val="134"/>
    </font>
    <font>
      <sz val="6"/>
      <color indexed="8"/>
      <name val="Arial"/>
      <charset val="134"/>
    </font>
    <font>
      <b/>
      <sz val="11"/>
      <color indexed="10"/>
      <name val="宋体"/>
      <charset val="134"/>
    </font>
    <font>
      <sz val="11"/>
      <color indexed="10"/>
      <name val="宋体"/>
      <charset val="134"/>
    </font>
    <font>
      <sz val="11"/>
      <color indexed="8"/>
      <name val="微软雅黑"/>
      <charset val="134"/>
    </font>
    <font>
      <sz val="10"/>
      <name val="SimSun"/>
      <charset val="134"/>
    </font>
    <font>
      <sz val="10.5"/>
      <name val="宋体"/>
      <charset val="134"/>
    </font>
    <font>
      <sz val="9"/>
      <name val="Segoe UI"/>
      <charset val="134"/>
    </font>
    <font>
      <sz val="10"/>
      <color indexed="8"/>
      <name val="SimSun"/>
      <charset val="134"/>
    </font>
    <font>
      <sz val="10"/>
      <color theme="1"/>
      <name val="SimSun"/>
      <charset val="134"/>
    </font>
    <font>
      <sz val="10.5"/>
      <color rgb="FF191F25"/>
      <name val="Segoe UI"/>
      <charset val="134"/>
    </font>
    <font>
      <sz val="9"/>
      <color rgb="FF191F25"/>
      <name val="Segoe UI"/>
      <charset val="134"/>
    </font>
    <font>
      <sz val="10"/>
      <name val="宋体"/>
      <charset val="134"/>
      <scheme val="major"/>
    </font>
    <font>
      <sz val="10"/>
      <color theme="1"/>
      <name val="宋体"/>
      <charset val="134"/>
      <scheme val="major"/>
    </font>
    <font>
      <b/>
      <sz val="9"/>
      <color indexed="8"/>
      <name val="微软雅黑"/>
      <charset val="134"/>
    </font>
    <font>
      <sz val="10"/>
      <name val="微软雅黑"/>
      <charset val="134"/>
    </font>
    <font>
      <sz val="10"/>
      <color theme="1"/>
      <name val="微软雅黑"/>
      <charset val="134"/>
    </font>
    <font>
      <sz val="11"/>
      <name val="宋体"/>
      <charset val="134"/>
    </font>
    <font>
      <b/>
      <sz val="20"/>
      <name val="黑体"/>
      <charset val="134"/>
    </font>
    <font>
      <b/>
      <sz val="12"/>
      <color indexed="8"/>
      <name val="宋体"/>
      <charset val="134"/>
    </font>
    <font>
      <sz val="10"/>
      <color indexed="8"/>
      <name val="Wingdings 2"/>
      <charset val="2"/>
    </font>
    <font>
      <sz val="11"/>
      <color indexed="0"/>
      <name val="宋体-PUA"/>
      <charset val="134"/>
    </font>
    <font>
      <sz val="9"/>
      <name val="Arial"/>
      <charset val="134"/>
    </font>
    <font>
      <sz val="9"/>
      <color indexed="8"/>
      <name val="宋体-PUA"/>
      <charset val="134"/>
    </font>
    <font>
      <sz val="9"/>
      <name val="宋体-PUA"/>
      <charset val="134"/>
    </font>
    <font>
      <b/>
      <sz val="11"/>
      <name val="宋体"/>
      <charset val="134"/>
    </font>
    <font>
      <sz val="9"/>
      <color indexed="0"/>
      <name val="宋体-PUA"/>
      <charset val="134"/>
    </font>
    <font>
      <b/>
      <sz val="12"/>
      <name val="宋体"/>
      <charset val="134"/>
    </font>
    <font>
      <b/>
      <sz val="10"/>
      <name val="Arial"/>
      <charset val="134"/>
    </font>
    <font>
      <sz val="10"/>
      <name val="Arial"/>
      <charset val="134"/>
    </font>
    <font>
      <sz val="10"/>
      <name val="宋体-PUA"/>
      <charset val="134"/>
    </font>
    <font>
      <b/>
      <sz val="12"/>
      <name val="微软雅黑"/>
      <charset val="134"/>
    </font>
    <font>
      <b/>
      <sz val="10"/>
      <color indexed="8"/>
      <name val="微软雅黑"/>
      <charset val="134"/>
    </font>
    <font>
      <b/>
      <sz val="10"/>
      <name val="微软雅黑"/>
      <charset val="134"/>
    </font>
    <font>
      <i/>
      <sz val="11"/>
      <color indexed="0"/>
      <name val="宋体-PUA"/>
      <charset val="134"/>
    </font>
    <font>
      <b/>
      <sz val="12"/>
      <color indexed="0"/>
      <name val="宋体-PUA"/>
      <charset val="134"/>
    </font>
    <font>
      <b/>
      <i/>
      <sz val="11"/>
      <name val="宋体"/>
      <charset val="134"/>
    </font>
    <font>
      <i/>
      <sz val="11"/>
      <color indexed="0"/>
      <name val="宋体"/>
      <charset val="134"/>
    </font>
    <font>
      <b/>
      <sz val="12"/>
      <color indexed="0"/>
      <name val="宋体"/>
      <charset val="134"/>
    </font>
    <font>
      <sz val="12"/>
      <color indexed="0"/>
      <name val="宋体"/>
      <charset val="134"/>
    </font>
    <font>
      <b/>
      <sz val="11"/>
      <color indexed="8"/>
      <name val="宋体"/>
      <charset val="134"/>
    </font>
    <font>
      <sz val="10"/>
      <color indexed="8"/>
      <name val="宋体-PUA"/>
      <charset val="134"/>
    </font>
    <font>
      <b/>
      <sz val="11"/>
      <name val="宋体-PUA"/>
      <charset val="134"/>
    </font>
    <font>
      <sz val="12"/>
      <name val="宋体-PUA"/>
      <charset val="134"/>
    </font>
    <font>
      <sz val="6"/>
      <color rgb="FFFF0000"/>
      <name val="Arial"/>
      <charset val="134"/>
    </font>
    <font>
      <sz val="10"/>
      <color rgb="FFFF0000"/>
      <name val="SimSun"/>
      <charset val="134"/>
    </font>
    <font>
      <sz val="10"/>
      <color rgb="FFFF0000"/>
      <name val="宋体"/>
      <charset val="134"/>
      <scheme val="minor"/>
    </font>
    <font>
      <sz val="10.5"/>
      <color rgb="FFFF0000"/>
      <name val="宋体"/>
      <charset val="134"/>
    </font>
    <font>
      <sz val="9"/>
      <color rgb="FFFF0000"/>
      <name val="Segoe UI"/>
      <charset val="134"/>
    </font>
    <font>
      <sz val="10"/>
      <color rgb="FFFF0000"/>
      <name val="宋体"/>
      <charset val="134"/>
      <scheme val="major"/>
    </font>
    <font>
      <sz val="9"/>
      <color rgb="FFFF0000"/>
      <name val="宋体"/>
      <charset val="134"/>
    </font>
    <font>
      <sz val="10"/>
      <color rgb="FFFF0000"/>
      <name val="微软雅黑"/>
      <charset val="134"/>
    </font>
    <font>
      <sz val="11"/>
      <color rgb="FFFF0000"/>
      <name val="宋体"/>
      <charset val="134"/>
    </font>
    <font>
      <sz val="11"/>
      <color indexed="52"/>
      <name val="宋体"/>
      <charset val="134"/>
    </font>
    <font>
      <sz val="11"/>
      <color indexed="9"/>
      <name val="宋体"/>
      <charset val="134"/>
    </font>
    <font>
      <sz val="11"/>
      <color theme="1"/>
      <name val="宋体"/>
      <charset val="0"/>
      <scheme val="minor"/>
    </font>
    <font>
      <b/>
      <sz val="11"/>
      <color indexed="63"/>
      <name val="宋体"/>
      <charset val="134"/>
    </font>
    <font>
      <sz val="11"/>
      <color rgb="FF3F3F76"/>
      <name val="宋体"/>
      <charset val="0"/>
      <scheme val="minor"/>
    </font>
    <font>
      <b/>
      <sz val="11"/>
      <color indexed="52"/>
      <name val="宋体"/>
      <charset val="134"/>
    </font>
    <font>
      <sz val="1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i/>
      <sz val="11"/>
      <color indexed="2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Genev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1"/>
      <color indexed="60"/>
      <name val="宋体"/>
      <charset val="134"/>
    </font>
    <font>
      <b/>
      <sz val="11"/>
      <color indexed="56"/>
      <name val="宋体"/>
      <charset val="134"/>
    </font>
    <font>
      <sz val="11"/>
      <color indexed="20"/>
      <name val="宋体"/>
      <charset val="134"/>
    </font>
    <font>
      <sz val="11"/>
      <color indexed="17"/>
      <name val="宋体"/>
      <charset val="134"/>
    </font>
    <font>
      <sz val="11"/>
      <color indexed="62"/>
      <name val="宋体"/>
      <charset val="134"/>
    </font>
    <font>
      <sz val="10"/>
      <color indexed="8"/>
      <name val="Arial"/>
      <charset val="134"/>
    </font>
    <font>
      <b/>
      <sz val="15"/>
      <color indexed="56"/>
      <name val="宋体"/>
      <charset val="134"/>
    </font>
    <font>
      <b/>
      <sz val="13"/>
      <color indexed="56"/>
      <name val="宋体"/>
      <charset val="134"/>
    </font>
    <font>
      <sz val="10"/>
      <name val="Helv"/>
      <charset val="134"/>
    </font>
    <font>
      <b/>
      <sz val="18"/>
      <color indexed="56"/>
      <name val="宋体"/>
      <charset val="134"/>
    </font>
    <font>
      <sz val="12"/>
      <color indexed="8"/>
      <name val="Verdana"/>
      <charset val="134"/>
    </font>
    <font>
      <u/>
      <sz val="10"/>
      <color indexed="12"/>
      <name val="新細明體"/>
      <charset val="134"/>
    </font>
    <font>
      <sz val="12"/>
      <name val="Times New Roman"/>
      <charset val="134"/>
    </font>
    <font>
      <sz val="9"/>
      <name val="宋体"/>
      <charset val="134"/>
    </font>
    <font>
      <sz val="9"/>
      <name val="Tahoma"/>
      <charset val="134"/>
    </font>
    <font>
      <b/>
      <sz val="9"/>
      <name val="宋体"/>
      <charset val="134"/>
    </font>
  </fonts>
  <fills count="62">
    <fill>
      <patternFill patternType="none"/>
    </fill>
    <fill>
      <patternFill patternType="gray125"/>
    </fill>
    <fill>
      <patternFill patternType="solid">
        <fgColor theme="0" tint="-0.349986266670736"/>
        <bgColor indexed="64"/>
      </patternFill>
    </fill>
    <fill>
      <patternFill patternType="solid">
        <fgColor rgb="FFFFFF00"/>
        <bgColor indexed="64"/>
      </patternFill>
    </fill>
    <fill>
      <patternFill patternType="solid">
        <fgColor theme="8" tint="0.599993896298105"/>
        <bgColor indexed="64"/>
      </patternFill>
    </fill>
    <fill>
      <patternFill patternType="solid">
        <fgColor theme="8" tint="0.799920651875362"/>
        <bgColor indexed="64"/>
      </patternFill>
    </fill>
    <fill>
      <patternFill patternType="solid">
        <fgColor theme="0"/>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31"/>
        <bgColor indexed="64"/>
      </patternFill>
    </fill>
    <fill>
      <patternFill patternType="solid">
        <fgColor indexed="10"/>
        <bgColor indexed="64"/>
      </patternFill>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9"/>
        <bgColor indexed="64"/>
      </patternFill>
    </fill>
    <fill>
      <patternFill patternType="solid">
        <fgColor indexed="46"/>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62">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31"/>
      </left>
      <right style="thin">
        <color indexed="31"/>
      </right>
      <top style="thin">
        <color indexed="31"/>
      </top>
      <bottom style="thin">
        <color indexed="31"/>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94">
    <xf numFmtId="0" fontId="0" fillId="0" borderId="0">
      <alignment vertical="center"/>
    </xf>
    <xf numFmtId="42" fontId="0" fillId="0" borderId="0" applyFont="0" applyFill="0" applyBorder="0" applyAlignment="0" applyProtection="0">
      <alignment vertical="center"/>
    </xf>
    <xf numFmtId="0" fontId="80" fillId="0" borderId="45" applyNumberFormat="0" applyFill="0" applyAlignment="0" applyProtection="0">
      <alignment vertical="center"/>
    </xf>
    <xf numFmtId="0" fontId="6" fillId="11" borderId="0" applyNumberFormat="0" applyBorder="0" applyAlignment="0" applyProtection="0">
      <alignment vertical="center"/>
    </xf>
    <xf numFmtId="0" fontId="81" fillId="12" borderId="0" applyNumberFormat="0" applyBorder="0" applyAlignment="0" applyProtection="0">
      <alignment vertical="center"/>
    </xf>
    <xf numFmtId="0" fontId="67" fillId="0" borderId="46" applyNumberFormat="0" applyFill="0" applyAlignment="0" applyProtection="0">
      <alignment vertical="center"/>
    </xf>
    <xf numFmtId="0" fontId="56" fillId="0" borderId="0">
      <alignment vertical="center"/>
    </xf>
    <xf numFmtId="0" fontId="82" fillId="13" borderId="0" applyNumberFormat="0" applyBorder="0" applyAlignment="0" applyProtection="0">
      <alignment vertical="center"/>
    </xf>
    <xf numFmtId="0" fontId="83" fillId="14" borderId="47" applyNumberFormat="0" applyAlignment="0" applyProtection="0">
      <alignment vertical="center"/>
    </xf>
    <xf numFmtId="0" fontId="80" fillId="0" borderId="45" applyNumberFormat="0" applyFill="0" applyAlignment="0" applyProtection="0">
      <alignment vertical="center"/>
    </xf>
    <xf numFmtId="0" fontId="84" fillId="15" borderId="48" applyNumberFormat="0" applyAlignment="0" applyProtection="0">
      <alignment vertical="center"/>
    </xf>
    <xf numFmtId="0" fontId="81" fillId="12"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0" borderId="0">
      <alignment vertical="center"/>
    </xf>
    <xf numFmtId="0" fontId="82" fillId="16" borderId="0" applyNumberFormat="0" applyBorder="0" applyAlignment="0" applyProtection="0">
      <alignment vertical="center"/>
    </xf>
    <xf numFmtId="0" fontId="85" fillId="14" borderId="49" applyNumberFormat="0" applyAlignment="0" applyProtection="0">
      <alignment vertical="center"/>
    </xf>
    <xf numFmtId="43" fontId="0" fillId="0" borderId="0" applyFont="0" applyFill="0" applyBorder="0" applyAlignment="0" applyProtection="0">
      <alignment vertical="center"/>
    </xf>
    <xf numFmtId="0" fontId="86" fillId="0" borderId="0"/>
    <xf numFmtId="0" fontId="87" fillId="17" borderId="0" applyNumberFormat="0" applyBorder="0" applyAlignment="0" applyProtection="0">
      <alignment vertical="center"/>
    </xf>
    <xf numFmtId="0" fontId="88" fillId="0" borderId="0" applyNumberFormat="0" applyFill="0" applyBorder="0" applyAlignment="0" applyProtection="0">
      <alignment vertical="center"/>
    </xf>
    <xf numFmtId="0" fontId="81" fillId="18" borderId="0" applyNumberFormat="0" applyBorder="0" applyAlignment="0" applyProtection="0">
      <alignment vertical="center"/>
    </xf>
    <xf numFmtId="0" fontId="89" fillId="19" borderId="0" applyNumberFormat="0" applyBorder="0" applyAlignment="0" applyProtection="0">
      <alignment vertical="center"/>
    </xf>
    <xf numFmtId="9"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0" fillId="20" borderId="50" applyNumberFormat="0" applyFont="0" applyAlignment="0" applyProtection="0">
      <alignment vertical="center"/>
    </xf>
    <xf numFmtId="0" fontId="6" fillId="0" borderId="0">
      <alignment vertical="center"/>
    </xf>
    <xf numFmtId="0" fontId="81" fillId="21" borderId="0" applyNumberFormat="0" applyBorder="0" applyAlignment="0" applyProtection="0">
      <alignment vertical="center"/>
    </xf>
    <xf numFmtId="0" fontId="6" fillId="22" borderId="0" applyNumberFormat="0" applyBorder="0" applyAlignment="0" applyProtection="0">
      <alignment vertical="center"/>
    </xf>
    <xf numFmtId="0" fontId="89" fillId="23" borderId="0" applyNumberFormat="0" applyBorder="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 fillId="24" borderId="51" applyNumberFormat="0" applyFont="0" applyAlignment="0" applyProtection="0">
      <alignment vertical="center"/>
    </xf>
    <xf numFmtId="0" fontId="93" fillId="0" borderId="0" applyNumberFormat="0" applyFill="0" applyBorder="0" applyAlignment="0" applyProtection="0">
      <alignment vertical="center"/>
    </xf>
    <xf numFmtId="0" fontId="81" fillId="25" borderId="0" applyNumberFormat="0" applyBorder="0" applyAlignment="0" applyProtection="0">
      <alignment vertical="center"/>
    </xf>
    <xf numFmtId="0" fontId="0" fillId="0" borderId="0">
      <alignment vertical="center"/>
    </xf>
    <xf numFmtId="0" fontId="81" fillId="21" borderId="0" applyNumberFormat="0" applyBorder="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9" fontId="6" fillId="0" borderId="0" applyFont="0" applyFill="0" applyBorder="0" applyAlignment="0" applyProtection="0">
      <alignment vertical="center"/>
    </xf>
    <xf numFmtId="0" fontId="96" fillId="0" borderId="52" applyNumberFormat="0" applyFill="0" applyAlignment="0" applyProtection="0">
      <alignment vertical="center"/>
    </xf>
    <xf numFmtId="0" fontId="97" fillId="0" borderId="0"/>
    <xf numFmtId="0" fontId="98" fillId="0" borderId="52" applyNumberFormat="0" applyFill="0" applyAlignment="0" applyProtection="0">
      <alignment vertical="center"/>
    </xf>
    <xf numFmtId="0" fontId="89" fillId="26" borderId="0" applyNumberFormat="0" applyBorder="0" applyAlignment="0" applyProtection="0">
      <alignment vertical="center"/>
    </xf>
    <xf numFmtId="0" fontId="92" fillId="0" borderId="53" applyNumberFormat="0" applyFill="0" applyAlignment="0" applyProtection="0">
      <alignment vertical="center"/>
    </xf>
    <xf numFmtId="0" fontId="6" fillId="24" borderId="51" applyNumberFormat="0" applyFont="0" applyAlignment="0" applyProtection="0">
      <alignment vertical="center"/>
    </xf>
    <xf numFmtId="0" fontId="89" fillId="27" borderId="0" applyNumberFormat="0" applyBorder="0" applyAlignment="0" applyProtection="0">
      <alignment vertical="center"/>
    </xf>
    <xf numFmtId="0" fontId="83" fillId="14" borderId="47" applyNumberFormat="0" applyAlignment="0" applyProtection="0">
      <alignment vertical="center"/>
    </xf>
    <xf numFmtId="0" fontId="99" fillId="28" borderId="54" applyNumberFormat="0" applyAlignment="0" applyProtection="0">
      <alignment vertical="center"/>
    </xf>
    <xf numFmtId="0" fontId="100" fillId="28" borderId="48" applyNumberFormat="0" applyAlignment="0" applyProtection="0">
      <alignment vertical="center"/>
    </xf>
    <xf numFmtId="0" fontId="85" fillId="14" borderId="49" applyNumberFormat="0" applyAlignment="0" applyProtection="0">
      <alignment vertical="center"/>
    </xf>
    <xf numFmtId="0" fontId="6" fillId="22" borderId="0" applyNumberFormat="0" applyBorder="0" applyAlignment="0" applyProtection="0">
      <alignment vertical="center"/>
    </xf>
    <xf numFmtId="0" fontId="101" fillId="29" borderId="55" applyNumberFormat="0" applyAlignment="0" applyProtection="0">
      <alignment vertical="center"/>
    </xf>
    <xf numFmtId="0" fontId="86" fillId="0" borderId="0">
      <alignment vertical="center"/>
    </xf>
    <xf numFmtId="0" fontId="82" fillId="30" borderId="0" applyNumberFormat="0" applyBorder="0" applyAlignment="0" applyProtection="0">
      <alignment vertical="center"/>
    </xf>
    <xf numFmtId="0" fontId="89" fillId="31" borderId="0" applyNumberFormat="0" applyBorder="0" applyAlignment="0" applyProtection="0">
      <alignment vertical="center"/>
    </xf>
    <xf numFmtId="0" fontId="6" fillId="24" borderId="51" applyNumberFormat="0" applyFont="0" applyAlignment="0" applyProtection="0">
      <alignment vertical="center"/>
    </xf>
    <xf numFmtId="0" fontId="102" fillId="0" borderId="56" applyNumberFormat="0" applyFill="0" applyAlignment="0" applyProtection="0">
      <alignment vertical="center"/>
    </xf>
    <xf numFmtId="0" fontId="81" fillId="32" borderId="0" applyNumberFormat="0" applyBorder="0" applyAlignment="0" applyProtection="0">
      <alignment vertical="center"/>
    </xf>
    <xf numFmtId="0" fontId="6" fillId="33" borderId="0" applyNumberFormat="0" applyBorder="0" applyAlignment="0" applyProtection="0">
      <alignment vertical="center"/>
    </xf>
    <xf numFmtId="0" fontId="103" fillId="0" borderId="57" applyNumberFormat="0" applyFill="0" applyAlignment="0" applyProtection="0">
      <alignment vertical="center"/>
    </xf>
    <xf numFmtId="0" fontId="104" fillId="34" borderId="0" applyNumberFormat="0" applyBorder="0" applyAlignment="0" applyProtection="0">
      <alignment vertical="center"/>
    </xf>
    <xf numFmtId="0" fontId="83" fillId="14" borderId="47" applyNumberFormat="0" applyAlignment="0" applyProtection="0">
      <alignment vertical="center"/>
    </xf>
    <xf numFmtId="0" fontId="6" fillId="35" borderId="0" applyNumberFormat="0" applyBorder="0" applyAlignment="0" applyProtection="0">
      <alignment vertical="center"/>
    </xf>
    <xf numFmtId="0" fontId="105" fillId="36" borderId="0" applyNumberFormat="0" applyBorder="0" applyAlignment="0" applyProtection="0">
      <alignment vertical="center"/>
    </xf>
    <xf numFmtId="0" fontId="83" fillId="14" borderId="47" applyNumberFormat="0" applyAlignment="0" applyProtection="0">
      <alignment vertical="center"/>
    </xf>
    <xf numFmtId="0" fontId="86" fillId="0" borderId="0">
      <alignment vertical="center"/>
    </xf>
    <xf numFmtId="0" fontId="82" fillId="37" borderId="0" applyNumberFormat="0" applyBorder="0" applyAlignment="0" applyProtection="0">
      <alignment vertical="center"/>
    </xf>
    <xf numFmtId="0" fontId="106" fillId="38" borderId="58" applyNumberFormat="0" applyAlignment="0" applyProtection="0">
      <alignment vertical="center"/>
    </xf>
    <xf numFmtId="0" fontId="86" fillId="0" borderId="0"/>
    <xf numFmtId="0" fontId="89" fillId="39" borderId="0" applyNumberFormat="0" applyBorder="0" applyAlignment="0" applyProtection="0">
      <alignment vertical="center"/>
    </xf>
    <xf numFmtId="0" fontId="6" fillId="24" borderId="51" applyNumberFormat="0" applyFont="0" applyAlignment="0" applyProtection="0">
      <alignment vertical="center"/>
    </xf>
    <xf numFmtId="0" fontId="80" fillId="0" borderId="45" applyNumberFormat="0" applyFill="0" applyAlignment="0" applyProtection="0">
      <alignment vertical="center"/>
    </xf>
    <xf numFmtId="0" fontId="82" fillId="40" borderId="0" applyNumberFormat="0" applyBorder="0" applyAlignment="0" applyProtection="0">
      <alignment vertical="center"/>
    </xf>
    <xf numFmtId="0" fontId="67" fillId="0" borderId="46" applyNumberFormat="0" applyFill="0" applyAlignment="0" applyProtection="0">
      <alignment vertical="center"/>
    </xf>
    <xf numFmtId="0" fontId="6" fillId="22" borderId="0" applyNumberFormat="0" applyBorder="0" applyAlignment="0" applyProtection="0">
      <alignment vertical="center"/>
    </xf>
    <xf numFmtId="0" fontId="56" fillId="0" borderId="0"/>
    <xf numFmtId="0" fontId="82" fillId="41" borderId="0" applyNumberFormat="0" applyBorder="0" applyAlignment="0" applyProtection="0">
      <alignment vertical="center"/>
    </xf>
    <xf numFmtId="0" fontId="83" fillId="14" borderId="47" applyNumberFormat="0" applyAlignment="0" applyProtection="0">
      <alignment vertical="center"/>
    </xf>
    <xf numFmtId="0" fontId="80" fillId="0" borderId="45" applyNumberFormat="0" applyFill="0" applyAlignment="0" applyProtection="0">
      <alignment vertical="center"/>
    </xf>
    <xf numFmtId="0" fontId="82" fillId="42" borderId="0" applyNumberFormat="0" applyBorder="0" applyAlignment="0" applyProtection="0">
      <alignment vertical="center"/>
    </xf>
    <xf numFmtId="0" fontId="82" fillId="43"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3" fillId="14" borderId="47" applyNumberFormat="0" applyAlignment="0" applyProtection="0">
      <alignment vertical="center"/>
    </xf>
    <xf numFmtId="0" fontId="67" fillId="0" borderId="46" applyNumberFormat="0" applyFill="0" applyAlignment="0" applyProtection="0">
      <alignment vertical="center"/>
    </xf>
    <xf numFmtId="0" fontId="82" fillId="46" borderId="0" applyNumberFormat="0" applyBorder="0" applyAlignment="0" applyProtection="0">
      <alignment vertical="center"/>
    </xf>
    <xf numFmtId="0" fontId="85" fillId="14" borderId="49" applyNumberFormat="0" applyAlignment="0" applyProtection="0">
      <alignment vertical="center"/>
    </xf>
    <xf numFmtId="0" fontId="82" fillId="47" borderId="0" applyNumberFormat="0" applyBorder="0" applyAlignment="0" applyProtection="0">
      <alignment vertical="center"/>
    </xf>
    <xf numFmtId="0" fontId="89" fillId="48" borderId="0" applyNumberFormat="0" applyBorder="0" applyAlignment="0" applyProtection="0">
      <alignment vertical="center"/>
    </xf>
    <xf numFmtId="0" fontId="85" fillId="14" borderId="49" applyNumberFormat="0" applyAlignment="0" applyProtection="0">
      <alignment vertical="center"/>
    </xf>
    <xf numFmtId="0" fontId="82" fillId="4" borderId="0" applyNumberFormat="0" applyBorder="0" applyAlignment="0" applyProtection="0">
      <alignment vertical="center"/>
    </xf>
    <xf numFmtId="0" fontId="6" fillId="24" borderId="51" applyNumberFormat="0" applyFont="0" applyAlignment="0" applyProtection="0">
      <alignment vertical="center"/>
    </xf>
    <xf numFmtId="0" fontId="89" fillId="49" borderId="0" applyNumberFormat="0" applyBorder="0" applyAlignment="0" applyProtection="0">
      <alignment vertical="center"/>
    </xf>
    <xf numFmtId="0" fontId="89" fillId="50" borderId="0" applyNumberFormat="0" applyBorder="0" applyAlignment="0" applyProtection="0">
      <alignment vertical="center"/>
    </xf>
    <xf numFmtId="0" fontId="83" fillId="14" borderId="47" applyNumberFormat="0" applyAlignment="0" applyProtection="0">
      <alignment vertical="center"/>
    </xf>
    <xf numFmtId="0" fontId="107" fillId="51" borderId="0" applyNumberFormat="0" applyBorder="0" applyAlignment="0" applyProtection="0">
      <alignment vertical="center"/>
    </xf>
    <xf numFmtId="0" fontId="85" fillId="14" borderId="49" applyNumberFormat="0" applyAlignment="0" applyProtection="0">
      <alignment vertical="center"/>
    </xf>
    <xf numFmtId="0" fontId="6" fillId="35" borderId="0" applyNumberFormat="0" applyBorder="0" applyAlignment="0" applyProtection="0">
      <alignment vertical="center"/>
    </xf>
    <xf numFmtId="0" fontId="82" fillId="52" borderId="0" applyNumberFormat="0" applyBorder="0" applyAlignment="0" applyProtection="0">
      <alignment vertical="center"/>
    </xf>
    <xf numFmtId="0" fontId="89" fillId="53" borderId="0" applyNumberFormat="0" applyBorder="0" applyAlignment="0" applyProtection="0">
      <alignment vertical="center"/>
    </xf>
    <xf numFmtId="0" fontId="108" fillId="0" borderId="0" applyNumberFormat="0" applyFill="0" applyBorder="0" applyAlignment="0" applyProtection="0">
      <alignment vertical="center"/>
    </xf>
    <xf numFmtId="0" fontId="56" fillId="0" borderId="0"/>
    <xf numFmtId="0" fontId="6" fillId="21" borderId="0" applyNumberFormat="0" applyBorder="0" applyAlignment="0" applyProtection="0">
      <alignment vertical="center"/>
    </xf>
    <xf numFmtId="0" fontId="56" fillId="0" borderId="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109" fillId="54" borderId="0" applyNumberFormat="0" applyBorder="0" applyAlignment="0" applyProtection="0">
      <alignment vertical="center"/>
    </xf>
    <xf numFmtId="0" fontId="86" fillId="0" borderId="0">
      <alignment vertical="center"/>
    </xf>
    <xf numFmtId="0" fontId="56" fillId="0" borderId="0"/>
    <xf numFmtId="0" fontId="6" fillId="11" borderId="0" applyNumberFormat="0" applyBorder="0" applyAlignment="0" applyProtection="0">
      <alignment vertical="center"/>
    </xf>
    <xf numFmtId="0" fontId="81" fillId="55" borderId="0" applyNumberFormat="0" applyBorder="0" applyAlignment="0" applyProtection="0">
      <alignment vertical="center"/>
    </xf>
    <xf numFmtId="0" fontId="86" fillId="0" borderId="0"/>
    <xf numFmtId="0" fontId="6" fillId="0" borderId="0"/>
    <xf numFmtId="0" fontId="6" fillId="11" borderId="0" applyNumberFormat="0" applyBorder="0" applyAlignment="0" applyProtection="0">
      <alignment vertical="center"/>
    </xf>
    <xf numFmtId="0" fontId="110" fillId="35" borderId="0" applyNumberFormat="0" applyBorder="0" applyAlignment="0" applyProtection="0">
      <alignment vertical="center"/>
    </xf>
    <xf numFmtId="0" fontId="6" fillId="11"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54" borderId="0" applyNumberFormat="0" applyBorder="0" applyAlignment="0" applyProtection="0">
      <alignment vertical="center"/>
    </xf>
    <xf numFmtId="0" fontId="83" fillId="14" borderId="47" applyNumberFormat="0" applyAlignment="0" applyProtection="0">
      <alignment vertical="center"/>
    </xf>
    <xf numFmtId="0" fontId="6" fillId="35" borderId="0" applyNumberFormat="0" applyBorder="0" applyAlignment="0" applyProtection="0">
      <alignment vertical="center"/>
    </xf>
    <xf numFmtId="0" fontId="83" fillId="14" borderId="47" applyNumberFormat="0" applyAlignment="0" applyProtection="0">
      <alignment vertical="center"/>
    </xf>
    <xf numFmtId="0" fontId="6" fillId="35" borderId="0" applyNumberFormat="0" applyBorder="0" applyAlignment="0" applyProtection="0">
      <alignment vertical="center"/>
    </xf>
    <xf numFmtId="0" fontId="83" fillId="14" borderId="47" applyNumberFormat="0" applyAlignment="0" applyProtection="0">
      <alignment vertical="center"/>
    </xf>
    <xf numFmtId="0" fontId="6" fillId="35" borderId="0" applyNumberFormat="0" applyBorder="0" applyAlignment="0" applyProtection="0">
      <alignment vertical="center"/>
    </xf>
    <xf numFmtId="0" fontId="83" fillId="14" borderId="47" applyNumberFormat="0" applyAlignment="0" applyProtection="0">
      <alignment vertical="center"/>
    </xf>
    <xf numFmtId="0" fontId="81" fillId="56" borderId="0" applyNumberFormat="0" applyBorder="0" applyAlignment="0" applyProtection="0">
      <alignment vertical="center"/>
    </xf>
    <xf numFmtId="0" fontId="6" fillId="35" borderId="0" applyNumberFormat="0" applyBorder="0" applyAlignment="0" applyProtection="0">
      <alignment vertical="center"/>
    </xf>
    <xf numFmtId="0" fontId="81" fillId="56" borderId="0" applyNumberFormat="0" applyBorder="0" applyAlignment="0" applyProtection="0">
      <alignment vertical="center"/>
    </xf>
    <xf numFmtId="0" fontId="6" fillId="35" borderId="0" applyNumberFormat="0" applyBorder="0" applyAlignment="0" applyProtection="0">
      <alignment vertical="center"/>
    </xf>
    <xf numFmtId="0" fontId="83" fillId="14" borderId="47" applyNumberFormat="0" applyAlignment="0" applyProtection="0">
      <alignment vertical="center"/>
    </xf>
    <xf numFmtId="0" fontId="6" fillId="0" borderId="0">
      <alignment vertical="center"/>
    </xf>
    <xf numFmtId="0" fontId="6" fillId="22" borderId="0" applyNumberFormat="0" applyBorder="0" applyAlignment="0" applyProtection="0">
      <alignment vertical="center"/>
    </xf>
    <xf numFmtId="0" fontId="83" fillId="14" borderId="47" applyNumberFormat="0" applyAlignment="0" applyProtection="0">
      <alignment vertical="center"/>
    </xf>
    <xf numFmtId="0" fontId="6" fillId="0" borderId="0">
      <alignment vertical="center"/>
    </xf>
    <xf numFmtId="0" fontId="6" fillId="22" borderId="0" applyNumberFormat="0" applyBorder="0" applyAlignment="0" applyProtection="0">
      <alignment vertical="center"/>
    </xf>
    <xf numFmtId="0" fontId="111" fillId="57" borderId="49" applyNumberFormat="0" applyAlignment="0" applyProtection="0">
      <alignment vertical="center"/>
    </xf>
    <xf numFmtId="0" fontId="6" fillId="0" borderId="0">
      <alignment vertical="center"/>
    </xf>
    <xf numFmtId="0" fontId="6" fillId="22" borderId="0" applyNumberFormat="0" applyBorder="0" applyAlignment="0" applyProtection="0">
      <alignment vertical="center"/>
    </xf>
    <xf numFmtId="0" fontId="83" fillId="14" borderId="47" applyNumberFormat="0" applyAlignment="0" applyProtection="0">
      <alignment vertical="center"/>
    </xf>
    <xf numFmtId="0" fontId="6" fillId="0" borderId="0">
      <alignment vertical="center"/>
    </xf>
    <xf numFmtId="0" fontId="6" fillId="22" borderId="0" applyNumberFormat="0" applyBorder="0" applyAlignment="0" applyProtection="0">
      <alignment vertical="center"/>
    </xf>
    <xf numFmtId="0" fontId="6" fillId="0" borderId="0">
      <alignment vertical="center"/>
    </xf>
    <xf numFmtId="0" fontId="6" fillId="22" borderId="0" applyNumberFormat="0" applyBorder="0" applyAlignment="0" applyProtection="0">
      <alignment vertical="center"/>
    </xf>
    <xf numFmtId="0" fontId="0" fillId="0" borderId="0"/>
    <xf numFmtId="0" fontId="81" fillId="21" borderId="0" applyNumberFormat="0" applyBorder="0" applyAlignment="0" applyProtection="0">
      <alignment vertical="center"/>
    </xf>
    <xf numFmtId="0" fontId="6" fillId="22" borderId="0" applyNumberFormat="0" applyBorder="0" applyAlignment="0" applyProtection="0">
      <alignment vertical="center"/>
    </xf>
    <xf numFmtId="0" fontId="83" fillId="14" borderId="47" applyNumberFormat="0" applyAlignment="0" applyProtection="0">
      <alignment vertical="center"/>
    </xf>
    <xf numFmtId="0" fontId="6" fillId="10" borderId="0" applyNumberFormat="0" applyBorder="0" applyAlignment="0" applyProtection="0">
      <alignment vertical="center"/>
    </xf>
    <xf numFmtId="0" fontId="83" fillId="14" borderId="47" applyNumberFormat="0" applyAlignment="0" applyProtection="0">
      <alignment vertical="center"/>
    </xf>
    <xf numFmtId="0" fontId="86" fillId="0" borderId="0"/>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83" fillId="14" borderId="47" applyNumberFormat="0" applyAlignment="0" applyProtection="0">
      <alignment vertical="center"/>
    </xf>
    <xf numFmtId="0" fontId="6" fillId="10" borderId="0" applyNumberFormat="0" applyBorder="0" applyAlignment="0" applyProtection="0">
      <alignment vertical="center"/>
    </xf>
    <xf numFmtId="0" fontId="109" fillId="54" borderId="0" applyNumberFormat="0" applyBorder="0" applyAlignment="0" applyProtection="0">
      <alignment vertical="center"/>
    </xf>
    <xf numFmtId="9" fontId="86" fillId="0" borderId="0" applyFont="0" applyFill="0" applyBorder="0" applyAlignment="0" applyProtection="0">
      <alignment vertical="center"/>
    </xf>
    <xf numFmtId="0" fontId="6" fillId="10" borderId="0" applyNumberFormat="0" applyBorder="0" applyAlignment="0" applyProtection="0">
      <alignment vertical="center"/>
    </xf>
    <xf numFmtId="0" fontId="81" fillId="58" borderId="0" applyNumberFormat="0" applyBorder="0" applyAlignment="0" applyProtection="0">
      <alignment vertical="center"/>
    </xf>
    <xf numFmtId="0" fontId="6" fillId="10" borderId="0" applyNumberFormat="0" applyBorder="0" applyAlignment="0" applyProtection="0">
      <alignment vertical="center"/>
    </xf>
    <xf numFmtId="0" fontId="81" fillId="58" borderId="0" applyNumberFormat="0" applyBorder="0" applyAlignment="0" applyProtection="0">
      <alignment vertical="center"/>
    </xf>
    <xf numFmtId="0" fontId="6" fillId="10" borderId="0" applyNumberFormat="0" applyBorder="0" applyAlignment="0" applyProtection="0">
      <alignment vertical="center"/>
    </xf>
    <xf numFmtId="0" fontId="6" fillId="57" borderId="0" applyNumberFormat="0" applyBorder="0" applyAlignment="0" applyProtection="0">
      <alignment vertical="center"/>
    </xf>
    <xf numFmtId="0" fontId="6" fillId="22" borderId="0" applyNumberFormat="0" applyBorder="0" applyAlignment="0" applyProtection="0">
      <alignment vertical="center"/>
    </xf>
    <xf numFmtId="0" fontId="6" fillId="57" borderId="0" applyNumberFormat="0" applyBorder="0" applyAlignment="0" applyProtection="0">
      <alignment vertical="center"/>
    </xf>
    <xf numFmtId="0" fontId="6" fillId="22"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6" fillId="57" borderId="0" applyNumberFormat="0" applyBorder="0" applyAlignment="0" applyProtection="0">
      <alignment vertical="center"/>
    </xf>
    <xf numFmtId="0" fontId="6" fillId="24" borderId="51" applyNumberFormat="0" applyFont="0" applyAlignment="0" applyProtection="0">
      <alignment vertical="center"/>
    </xf>
    <xf numFmtId="0" fontId="81" fillId="32" borderId="0" applyNumberFormat="0" applyBorder="0" applyAlignment="0" applyProtection="0">
      <alignment vertical="center"/>
    </xf>
    <xf numFmtId="0" fontId="6" fillId="57" borderId="0" applyNumberFormat="0" applyBorder="0" applyAlignment="0" applyProtection="0">
      <alignment vertical="center"/>
    </xf>
    <xf numFmtId="0" fontId="81" fillId="32" borderId="0" applyNumberFormat="0" applyBorder="0" applyAlignment="0" applyProtection="0">
      <alignment vertical="center"/>
    </xf>
    <xf numFmtId="0" fontId="6" fillId="59" borderId="0" applyNumberFormat="0" applyBorder="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0" fillId="0" borderId="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85" fillId="14" borderId="49" applyNumberFormat="0" applyAlignment="0" applyProtection="0">
      <alignment vertical="center"/>
    </xf>
    <xf numFmtId="0" fontId="6" fillId="58" borderId="0" applyNumberFormat="0" applyBorder="0" applyAlignment="0" applyProtection="0">
      <alignment vertical="center"/>
    </xf>
    <xf numFmtId="0" fontId="85" fillId="14" borderId="49" applyNumberFormat="0" applyAlignment="0" applyProtection="0">
      <alignment vertical="center"/>
    </xf>
    <xf numFmtId="0" fontId="6" fillId="58" borderId="0" applyNumberFormat="0" applyBorder="0" applyAlignment="0" applyProtection="0">
      <alignment vertical="center"/>
    </xf>
    <xf numFmtId="0" fontId="6" fillId="58" borderId="0" applyNumberFormat="0" applyBorder="0" applyAlignment="0" applyProtection="0">
      <alignment vertical="center"/>
    </xf>
    <xf numFmtId="0" fontId="85" fillId="14" borderId="49" applyNumberFormat="0" applyAlignment="0" applyProtection="0">
      <alignment vertical="center"/>
    </xf>
    <xf numFmtId="0" fontId="6" fillId="58" borderId="0" applyNumberFormat="0" applyBorder="0" applyAlignment="0" applyProtection="0">
      <alignment vertical="center"/>
    </xf>
    <xf numFmtId="0" fontId="85" fillId="14" borderId="49" applyNumberFormat="0" applyAlignment="0" applyProtection="0">
      <alignment vertical="center"/>
    </xf>
    <xf numFmtId="178" fontId="86" fillId="0" borderId="0"/>
    <xf numFmtId="0" fontId="6" fillId="58" borderId="0" applyNumberFormat="0" applyBorder="0" applyAlignment="0" applyProtection="0">
      <alignment vertical="center"/>
    </xf>
    <xf numFmtId="0" fontId="85" fillId="14" borderId="49" applyNumberFormat="0" applyAlignment="0" applyProtection="0">
      <alignment vertical="center"/>
    </xf>
    <xf numFmtId="0" fontId="6" fillId="58" borderId="0" applyNumberFormat="0" applyBorder="0" applyAlignment="0" applyProtection="0">
      <alignment vertical="center"/>
    </xf>
    <xf numFmtId="0" fontId="6" fillId="58" borderId="0" applyNumberFormat="0" applyBorder="0" applyAlignment="0" applyProtection="0">
      <alignment vertical="center"/>
    </xf>
    <xf numFmtId="0" fontId="106" fillId="38" borderId="58" applyNumberFormat="0" applyAlignment="0" applyProtection="0">
      <alignment vertical="center"/>
    </xf>
    <xf numFmtId="0" fontId="85" fillId="14" borderId="49" applyNumberFormat="0" applyAlignment="0" applyProtection="0">
      <alignment vertical="center"/>
    </xf>
    <xf numFmtId="0" fontId="67" fillId="0" borderId="46" applyNumberFormat="0" applyFill="0" applyAlignment="0" applyProtection="0">
      <alignment vertical="center"/>
    </xf>
    <xf numFmtId="0" fontId="108" fillId="0" borderId="0" applyNumberFormat="0" applyFill="0" applyBorder="0" applyAlignment="0" applyProtection="0">
      <alignment vertical="center"/>
    </xf>
    <xf numFmtId="0" fontId="6" fillId="22" borderId="0" applyNumberFormat="0" applyBorder="0" applyAlignment="0" applyProtection="0">
      <alignment vertical="center"/>
    </xf>
    <xf numFmtId="0" fontId="106" fillId="38" borderId="58" applyNumberFormat="0" applyAlignment="0" applyProtection="0">
      <alignment vertical="center"/>
    </xf>
    <xf numFmtId="0" fontId="67" fillId="0" borderId="46" applyNumberFormat="0" applyFill="0" applyAlignment="0" applyProtection="0">
      <alignment vertical="center"/>
    </xf>
    <xf numFmtId="0" fontId="108" fillId="0" borderId="0" applyNumberFormat="0" applyFill="0" applyBorder="0" applyAlignment="0" applyProtection="0">
      <alignment vertical="center"/>
    </xf>
    <xf numFmtId="0" fontId="6" fillId="22" borderId="0" applyNumberFormat="0" applyBorder="0" applyAlignment="0" applyProtection="0">
      <alignment vertical="center"/>
    </xf>
    <xf numFmtId="0" fontId="111" fillId="57" borderId="49" applyNumberFormat="0" applyAlignment="0" applyProtection="0">
      <alignment vertical="center"/>
    </xf>
    <xf numFmtId="0" fontId="85" fillId="14" borderId="49" applyNumberFormat="0" applyAlignment="0" applyProtection="0">
      <alignment vertical="center"/>
    </xf>
    <xf numFmtId="0" fontId="6" fillId="22" borderId="0" applyNumberFormat="0" applyBorder="0" applyAlignment="0" applyProtection="0">
      <alignment vertical="center"/>
    </xf>
    <xf numFmtId="0" fontId="85" fillId="14" borderId="49" applyNumberFormat="0" applyAlignment="0" applyProtection="0">
      <alignment vertical="center"/>
    </xf>
    <xf numFmtId="0" fontId="110" fillId="35" borderId="0" applyNumberFormat="0" applyBorder="0" applyAlignment="0" applyProtection="0">
      <alignment vertical="center"/>
    </xf>
    <xf numFmtId="0" fontId="6" fillId="59" borderId="0" applyNumberFormat="0" applyBorder="0" applyAlignment="0" applyProtection="0">
      <alignment vertical="center"/>
    </xf>
    <xf numFmtId="0" fontId="81" fillId="32" borderId="0" applyNumberFormat="0" applyBorder="0" applyAlignment="0" applyProtection="0">
      <alignment vertical="center"/>
    </xf>
    <xf numFmtId="0" fontId="6" fillId="59" borderId="0" applyNumberFormat="0" applyBorder="0" applyAlignment="0" applyProtection="0">
      <alignment vertical="center"/>
    </xf>
    <xf numFmtId="0" fontId="111" fillId="57" borderId="49" applyNumberFormat="0" applyAlignment="0" applyProtection="0">
      <alignment vertical="center"/>
    </xf>
    <xf numFmtId="0" fontId="6" fillId="59" borderId="0" applyNumberFormat="0" applyBorder="0" applyAlignment="0" applyProtection="0">
      <alignment vertical="center"/>
    </xf>
    <xf numFmtId="0" fontId="81" fillId="55"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107" fillId="51" borderId="0" applyNumberFormat="0" applyBorder="0" applyAlignment="0" applyProtection="0">
      <alignment vertical="center"/>
    </xf>
    <xf numFmtId="0" fontId="85" fillId="14" borderId="49" applyNumberFormat="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107" fillId="51" borderId="0" applyNumberFormat="0" applyBorder="0" applyAlignment="0" applyProtection="0">
      <alignment vertical="center"/>
    </xf>
    <xf numFmtId="0" fontId="81" fillId="60" borderId="0" applyNumberFormat="0" applyBorder="0" applyAlignment="0" applyProtection="0">
      <alignment vertical="center"/>
    </xf>
    <xf numFmtId="0" fontId="6" fillId="33" borderId="0" applyNumberFormat="0" applyBorder="0" applyAlignment="0" applyProtection="0">
      <alignment vertical="center"/>
    </xf>
    <xf numFmtId="0" fontId="91" fillId="0" borderId="0" applyNumberFormat="0" applyFill="0" applyBorder="0" applyAlignment="0" applyProtection="0">
      <alignment vertical="center"/>
    </xf>
    <xf numFmtId="0" fontId="6" fillId="33" borderId="0" applyNumberFormat="0" applyBorder="0" applyAlignment="0" applyProtection="0">
      <alignment vertical="center"/>
    </xf>
    <xf numFmtId="0" fontId="81" fillId="60" borderId="0" applyNumberFormat="0" applyBorder="0" applyAlignment="0" applyProtection="0">
      <alignment vertical="center"/>
    </xf>
    <xf numFmtId="0" fontId="81" fillId="32" borderId="0" applyNumberFormat="0" applyBorder="0" applyAlignment="0" applyProtection="0">
      <alignment vertical="center"/>
    </xf>
    <xf numFmtId="0" fontId="6" fillId="33"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6" fillId="24" borderId="51" applyNumberFormat="0" applyFont="0" applyAlignment="0" applyProtection="0">
      <alignment vertical="center"/>
    </xf>
    <xf numFmtId="0" fontId="30" fillId="0" borderId="0" applyNumberFormat="0" applyFill="0" applyBorder="0" applyAlignment="0" applyProtection="0">
      <alignment vertical="center"/>
    </xf>
    <xf numFmtId="0" fontId="81" fillId="56" borderId="0" applyNumberFormat="0" applyBorder="0" applyAlignment="0" applyProtection="0">
      <alignment vertical="center"/>
    </xf>
    <xf numFmtId="0" fontId="81" fillId="21" borderId="0" applyNumberFormat="0" applyBorder="0" applyAlignment="0" applyProtection="0">
      <alignment vertical="center"/>
    </xf>
    <xf numFmtId="0" fontId="6" fillId="24" borderId="51" applyNumberFormat="0" applyFont="0" applyAlignment="0" applyProtection="0">
      <alignment vertical="center"/>
    </xf>
    <xf numFmtId="0" fontId="6" fillId="0" borderId="0">
      <alignment vertical="center"/>
    </xf>
    <xf numFmtId="0" fontId="81" fillId="21" borderId="0" applyNumberFormat="0" applyBorder="0" applyAlignment="0" applyProtection="0">
      <alignment vertical="center"/>
    </xf>
    <xf numFmtId="0" fontId="0" fillId="0" borderId="0">
      <alignment vertical="center"/>
    </xf>
    <xf numFmtId="0" fontId="81" fillId="21" borderId="0" applyNumberFormat="0" applyBorder="0" applyAlignment="0" applyProtection="0">
      <alignment vertical="center"/>
    </xf>
    <xf numFmtId="0" fontId="30" fillId="0" borderId="0" applyNumberFormat="0" applyFill="0" applyBorder="0" applyAlignment="0" applyProtection="0">
      <alignment vertical="center"/>
    </xf>
    <xf numFmtId="0" fontId="86" fillId="0" borderId="0">
      <alignment vertical="center"/>
    </xf>
    <xf numFmtId="0" fontId="81" fillId="21" borderId="0" applyNumberFormat="0" applyBorder="0" applyAlignment="0" applyProtection="0">
      <alignment vertical="center"/>
    </xf>
    <xf numFmtId="0" fontId="81" fillId="12"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58" borderId="0" applyNumberFormat="0" applyBorder="0" applyAlignment="0" applyProtection="0">
      <alignment vertical="center"/>
    </xf>
    <xf numFmtId="0" fontId="81" fillId="32" borderId="0" applyNumberFormat="0" applyBorder="0" applyAlignment="0" applyProtection="0">
      <alignment vertical="center"/>
    </xf>
    <xf numFmtId="0" fontId="86" fillId="0" borderId="0">
      <alignment vertical="center"/>
    </xf>
    <xf numFmtId="0" fontId="81" fillId="32" borderId="0" applyNumberFormat="0" applyBorder="0" applyAlignment="0" applyProtection="0">
      <alignment vertical="center"/>
    </xf>
    <xf numFmtId="0" fontId="81" fillId="55" borderId="0" applyNumberFormat="0" applyBorder="0" applyAlignment="0" applyProtection="0">
      <alignment vertical="center"/>
    </xf>
    <xf numFmtId="0" fontId="81" fillId="32"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18" borderId="0" applyNumberFormat="0" applyBorder="0" applyAlignment="0" applyProtection="0">
      <alignment vertical="center"/>
    </xf>
    <xf numFmtId="0" fontId="81" fillId="55" borderId="0" applyNumberFormat="0" applyBorder="0" applyAlignment="0" applyProtection="0">
      <alignment vertical="center"/>
    </xf>
    <xf numFmtId="0" fontId="6" fillId="0" borderId="0">
      <alignment vertical="center"/>
    </xf>
    <xf numFmtId="0" fontId="81" fillId="18" borderId="0" applyNumberFormat="0" applyBorder="0" applyAlignment="0" applyProtection="0">
      <alignment vertical="center"/>
    </xf>
    <xf numFmtId="0" fontId="112" fillId="0" borderId="0" applyNumberFormat="0" applyFill="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30" fillId="0" borderId="0" applyNumberFormat="0" applyFill="0" applyBorder="0" applyAlignment="0" applyProtection="0">
      <alignment vertical="center"/>
    </xf>
    <xf numFmtId="176" fontId="6" fillId="0" borderId="0">
      <alignment vertical="center"/>
    </xf>
    <xf numFmtId="0" fontId="109" fillId="54" borderId="0" applyNumberFormat="0" applyBorder="0" applyAlignment="0" applyProtection="0">
      <alignment vertical="center"/>
    </xf>
    <xf numFmtId="9" fontId="6" fillId="0" borderId="0">
      <alignment vertical="center"/>
    </xf>
    <xf numFmtId="9" fontId="86" fillId="0" borderId="0" applyFont="0" applyFill="0" applyBorder="0" applyAlignment="0" applyProtection="0">
      <alignment vertical="center"/>
    </xf>
    <xf numFmtId="9" fontId="0" fillId="0" borderId="0" applyFont="0" applyFill="0" applyBorder="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67" fillId="0" borderId="46"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3" fillId="0" borderId="59" applyNumberFormat="0" applyFill="0" applyAlignment="0" applyProtection="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110" fillId="35" borderId="0" applyNumberFormat="0" applyBorder="0" applyAlignment="0" applyProtection="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6" fillId="0" borderId="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114" fillId="0" borderId="60" applyNumberFormat="0" applyFill="0" applyAlignment="0" applyProtection="0">
      <alignment vertical="center"/>
    </xf>
    <xf numFmtId="0" fontId="108" fillId="0" borderId="61" applyNumberFormat="0" applyFill="0" applyAlignment="0" applyProtection="0">
      <alignment vertical="center"/>
    </xf>
    <xf numFmtId="0" fontId="110" fillId="35" borderId="0" applyNumberFormat="0" applyBorder="0" applyAlignment="0" applyProtection="0">
      <alignment vertical="center"/>
    </xf>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15" fillId="0" borderId="0"/>
    <xf numFmtId="0" fontId="108" fillId="0" borderId="61" applyNumberFormat="0" applyFill="0" applyAlignment="0" applyProtection="0">
      <alignment vertical="center"/>
    </xf>
    <xf numFmtId="0" fontId="108" fillId="0" borderId="61" applyNumberFormat="0" applyFill="0" applyAlignment="0" applyProtection="0">
      <alignment vertical="center"/>
    </xf>
    <xf numFmtId="0" fontId="108" fillId="0" borderId="61" applyNumberFormat="0" applyFill="0" applyAlignment="0" applyProtection="0">
      <alignment vertical="center"/>
    </xf>
    <xf numFmtId="43" fontId="86" fillId="0" borderId="0" applyFon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67" fillId="0" borderId="46" applyNumberFormat="0" applyFill="0" applyAlignment="0" applyProtection="0">
      <alignment vertical="center"/>
    </xf>
    <xf numFmtId="0" fontId="108" fillId="0" borderId="0" applyNumberFormat="0" applyFill="0" applyBorder="0" applyAlignment="0" applyProtection="0">
      <alignment vertical="center"/>
    </xf>
    <xf numFmtId="0" fontId="67" fillId="0" borderId="46" applyNumberFormat="0" applyFill="0" applyAlignment="0" applyProtection="0">
      <alignment vertical="center"/>
    </xf>
    <xf numFmtId="0" fontId="108"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81" fillId="25" borderId="0" applyNumberFormat="0" applyBorder="0" applyAlignment="0" applyProtection="0">
      <alignment vertical="center"/>
    </xf>
    <xf numFmtId="0" fontId="116" fillId="0" borderId="0" applyNumberFormat="0" applyFill="0" applyBorder="0" applyAlignment="0" applyProtection="0">
      <alignment vertical="center"/>
    </xf>
    <xf numFmtId="0" fontId="81" fillId="25" borderId="0" applyNumberFormat="0" applyBorder="0" applyAlignment="0" applyProtection="0">
      <alignment vertical="center"/>
    </xf>
    <xf numFmtId="0" fontId="67" fillId="0" borderId="46" applyNumberFormat="0" applyFill="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81" fillId="12" borderId="0" applyNumberFormat="0" applyBorder="0" applyAlignment="0" applyProtection="0">
      <alignment vertical="center"/>
    </xf>
    <xf numFmtId="0" fontId="116" fillId="0" borderId="0" applyNumberFormat="0" applyFill="0" applyBorder="0" applyAlignment="0" applyProtection="0">
      <alignment vertical="center"/>
    </xf>
    <xf numFmtId="0" fontId="6" fillId="24" borderId="51" applyNumberFormat="0" applyFont="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0" fontId="109" fillId="54" borderId="0" applyNumberFormat="0" applyBorder="0" applyAlignment="0" applyProtection="0">
      <alignment vertical="center"/>
    </xf>
    <xf numFmtId="178" fontId="0" fillId="0" borderId="0">
      <alignment vertical="center"/>
    </xf>
    <xf numFmtId="0" fontId="6" fillId="0" borderId="0">
      <alignment vertical="center"/>
    </xf>
    <xf numFmtId="0" fontId="86" fillId="0" borderId="0">
      <alignment vertical="center"/>
    </xf>
    <xf numFmtId="0" fontId="6" fillId="0" borderId="0">
      <alignment vertical="center"/>
    </xf>
    <xf numFmtId="0" fontId="86" fillId="0" borderId="0"/>
    <xf numFmtId="0" fontId="86" fillId="0" borderId="0">
      <alignment vertical="center"/>
    </xf>
    <xf numFmtId="0" fontId="86" fillId="0" borderId="0">
      <alignment vertical="center"/>
    </xf>
    <xf numFmtId="0" fontId="81" fillId="60"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4" fillId="0" borderId="0">
      <alignment vertical="center"/>
    </xf>
    <xf numFmtId="0" fontId="117" fillId="0" borderId="0" applyNumberFormat="0" applyFill="0" applyBorder="0" applyProtection="0">
      <alignment vertical="top" wrapText="1"/>
    </xf>
    <xf numFmtId="0" fontId="14" fillId="0" borderId="0">
      <alignment vertical="center"/>
    </xf>
    <xf numFmtId="0" fontId="6" fillId="0" borderId="0"/>
    <xf numFmtId="0" fontId="6" fillId="0" borderId="0"/>
    <xf numFmtId="0" fontId="111" fillId="57" borderId="49" applyNumberFormat="0" applyAlignment="0" applyProtection="0">
      <alignment vertical="center"/>
    </xf>
    <xf numFmtId="0" fontId="14" fillId="0" borderId="0">
      <alignment vertical="center"/>
    </xf>
    <xf numFmtId="0" fontId="111" fillId="57" borderId="49" applyNumberFormat="0" applyAlignment="0" applyProtection="0">
      <alignment vertical="center"/>
    </xf>
    <xf numFmtId="0" fontId="115" fillId="0" borderId="0"/>
    <xf numFmtId="0" fontId="86" fillId="0" borderId="0">
      <alignment vertical="center"/>
    </xf>
    <xf numFmtId="0" fontId="15" fillId="0" borderId="0">
      <alignment vertical="center"/>
    </xf>
    <xf numFmtId="0" fontId="6" fillId="0" borderId="0"/>
    <xf numFmtId="0" fontId="111" fillId="57" borderId="49" applyNumberFormat="0" applyAlignment="0" applyProtection="0">
      <alignment vertical="center"/>
    </xf>
    <xf numFmtId="0" fontId="14" fillId="0" borderId="0">
      <alignment vertical="center"/>
    </xf>
    <xf numFmtId="0" fontId="6" fillId="0" borderId="0"/>
    <xf numFmtId="0" fontId="81" fillId="32" borderId="0" applyNumberFormat="0" applyBorder="0" applyAlignment="0" applyProtection="0">
      <alignment vertical="center"/>
    </xf>
    <xf numFmtId="0" fontId="15" fillId="0" borderId="0">
      <alignment vertical="center"/>
    </xf>
    <xf numFmtId="0" fontId="81" fillId="32" borderId="0" applyNumberFormat="0" applyBorder="0" applyAlignment="0" applyProtection="0">
      <alignment vertical="center"/>
    </xf>
    <xf numFmtId="0" fontId="6" fillId="0" borderId="0"/>
    <xf numFmtId="0" fontId="81" fillId="32" borderId="0" applyNumberFormat="0" applyBorder="0" applyAlignment="0" applyProtection="0">
      <alignment vertical="center"/>
    </xf>
    <xf numFmtId="0" fontId="86" fillId="0" borderId="0"/>
    <xf numFmtId="0" fontId="81" fillId="32" borderId="0" applyNumberFormat="0" applyBorder="0" applyAlignment="0" applyProtection="0">
      <alignment vertical="center"/>
    </xf>
    <xf numFmtId="0" fontId="86" fillId="0" borderId="0"/>
    <xf numFmtId="0" fontId="86" fillId="0" borderId="0"/>
    <xf numFmtId="0" fontId="6" fillId="0" borderId="0">
      <alignment vertical="center"/>
    </xf>
    <xf numFmtId="0" fontId="107" fillId="5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81" fillId="55" borderId="0" applyNumberFormat="0" applyBorder="0" applyAlignment="0" applyProtection="0">
      <alignment vertical="center"/>
    </xf>
    <xf numFmtId="0" fontId="0" fillId="0" borderId="0">
      <alignment vertical="center"/>
    </xf>
    <xf numFmtId="0" fontId="81" fillId="55" borderId="0" applyNumberFormat="0" applyBorder="0" applyAlignment="0" applyProtection="0">
      <alignment vertical="center"/>
    </xf>
    <xf numFmtId="0" fontId="0" fillId="0" borderId="0">
      <alignment vertical="center"/>
    </xf>
    <xf numFmtId="0" fontId="86" fillId="0" borderId="0"/>
    <xf numFmtId="0" fontId="86" fillId="0" borderId="0"/>
    <xf numFmtId="0" fontId="111" fillId="57" borderId="49" applyNumberFormat="0" applyAlignment="0" applyProtection="0">
      <alignment vertical="center"/>
    </xf>
    <xf numFmtId="0" fontId="6" fillId="0" borderId="0">
      <alignment vertical="center"/>
    </xf>
    <xf numFmtId="0" fontId="86" fillId="0" borderId="0"/>
    <xf numFmtId="0" fontId="81" fillId="61" borderId="0" applyNumberFormat="0" applyBorder="0" applyAlignment="0" applyProtection="0">
      <alignment vertical="center"/>
    </xf>
    <xf numFmtId="0" fontId="56" fillId="0" borderId="0">
      <alignment vertical="center"/>
    </xf>
    <xf numFmtId="0" fontId="0" fillId="0" borderId="0">
      <alignment vertical="center"/>
    </xf>
    <xf numFmtId="0" fontId="86" fillId="0" borderId="0"/>
    <xf numFmtId="0" fontId="81" fillId="60" borderId="0" applyNumberFormat="0" applyBorder="0" applyAlignment="0" applyProtection="0">
      <alignment vertical="center"/>
    </xf>
    <xf numFmtId="0" fontId="67" fillId="0" borderId="46" applyNumberFormat="0" applyFill="0" applyAlignment="0" applyProtection="0">
      <alignment vertical="center"/>
    </xf>
    <xf numFmtId="0" fontId="56" fillId="0" borderId="0"/>
    <xf numFmtId="0" fontId="6" fillId="24" borderId="51" applyNumberFormat="0" applyFont="0" applyAlignment="0" applyProtection="0">
      <alignment vertical="center"/>
    </xf>
    <xf numFmtId="0" fontId="30" fillId="0" borderId="0" applyNumberFormat="0" applyFill="0" applyBorder="0" applyAlignment="0" applyProtection="0">
      <alignment vertical="center"/>
    </xf>
    <xf numFmtId="0" fontId="115" fillId="0" borderId="0"/>
    <xf numFmtId="0" fontId="110" fillId="35" borderId="0" applyNumberFormat="0" applyBorder="0" applyAlignment="0" applyProtection="0">
      <alignment vertical="center"/>
    </xf>
    <xf numFmtId="0" fontId="110" fillId="35" borderId="0" applyNumberFormat="0" applyBorder="0" applyAlignment="0" applyProtection="0">
      <alignment vertical="center"/>
    </xf>
    <xf numFmtId="0" fontId="110" fillId="35" borderId="0" applyNumberFormat="0" applyBorder="0" applyAlignment="0" applyProtection="0">
      <alignment vertical="center"/>
    </xf>
    <xf numFmtId="0" fontId="67" fillId="0" borderId="46" applyNumberFormat="0" applyFill="0" applyAlignment="0" applyProtection="0">
      <alignment vertical="center"/>
    </xf>
    <xf numFmtId="0" fontId="106" fillId="38" borderId="58" applyNumberFormat="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106" fillId="38" borderId="58" applyNumberFormat="0" applyAlignment="0" applyProtection="0">
      <alignment vertical="center"/>
    </xf>
    <xf numFmtId="0" fontId="106" fillId="38" borderId="58" applyNumberFormat="0" applyAlignment="0" applyProtection="0">
      <alignment vertical="center"/>
    </xf>
    <xf numFmtId="0" fontId="106" fillId="38" borderId="58" applyNumberFormat="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 fillId="24" borderId="51"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24" borderId="51" applyNumberFormat="0" applyFont="0" applyAlignment="0" applyProtection="0">
      <alignment vertical="center"/>
    </xf>
    <xf numFmtId="0" fontId="80" fillId="0" borderId="45" applyNumberFormat="0" applyFill="0" applyAlignment="0" applyProtection="0">
      <alignment vertical="center"/>
    </xf>
    <xf numFmtId="0" fontId="6" fillId="24" borderId="51" applyNumberFormat="0" applyFont="0" applyAlignment="0" applyProtection="0">
      <alignment vertical="center"/>
    </xf>
    <xf numFmtId="0" fontId="80" fillId="0" borderId="45" applyNumberFormat="0" applyFill="0" applyAlignment="0" applyProtection="0">
      <alignment vertical="center"/>
    </xf>
    <xf numFmtId="0" fontId="80" fillId="0" borderId="45" applyNumberFormat="0" applyFill="0" applyAlignment="0" applyProtection="0">
      <alignment vertical="center"/>
    </xf>
    <xf numFmtId="43" fontId="86" fillId="0" borderId="0" applyFont="0" applyFill="0" applyBorder="0" applyAlignment="0" applyProtection="0"/>
    <xf numFmtId="43" fontId="86" fillId="0" borderId="0" applyFont="0" applyFill="0" applyBorder="0" applyAlignment="0" applyProtection="0"/>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81" fillId="12" borderId="0" applyNumberFormat="0" applyBorder="0" applyAlignment="0" applyProtection="0">
      <alignment vertical="center"/>
    </xf>
    <xf numFmtId="0" fontId="111" fillId="57" borderId="49" applyNumberFormat="0" applyAlignment="0" applyProtection="0">
      <alignment vertical="center"/>
    </xf>
    <xf numFmtId="0" fontId="81" fillId="60" borderId="0" applyNumberFormat="0" applyBorder="0" applyAlignment="0" applyProtection="0">
      <alignment vertical="center"/>
    </xf>
    <xf numFmtId="0" fontId="81" fillId="60" borderId="0" applyNumberFormat="0" applyBorder="0" applyAlignment="0" applyProtection="0">
      <alignment vertical="center"/>
    </xf>
    <xf numFmtId="0" fontId="81" fillId="60" borderId="0" applyNumberFormat="0" applyBorder="0" applyAlignment="0" applyProtection="0">
      <alignment vertical="center"/>
    </xf>
    <xf numFmtId="0" fontId="81" fillId="32" borderId="0" applyNumberFormat="0" applyBorder="0" applyAlignment="0" applyProtection="0">
      <alignment vertical="center"/>
    </xf>
    <xf numFmtId="0" fontId="111" fillId="57" borderId="49" applyNumberFormat="0" applyAlignment="0" applyProtection="0">
      <alignment vertical="center"/>
    </xf>
    <xf numFmtId="0" fontId="81" fillId="32"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81" fillId="61" borderId="0" applyNumberFormat="0" applyBorder="0" applyAlignment="0" applyProtection="0">
      <alignment vertical="center"/>
    </xf>
    <xf numFmtId="0" fontId="107" fillId="51" borderId="0" applyNumberFormat="0" applyBorder="0" applyAlignment="0" applyProtection="0">
      <alignment vertical="center"/>
    </xf>
    <xf numFmtId="0" fontId="107" fillId="51" borderId="0" applyNumberFormat="0" applyBorder="0" applyAlignment="0" applyProtection="0">
      <alignment vertical="center"/>
    </xf>
    <xf numFmtId="0" fontId="107" fillId="51" borderId="0" applyNumberFormat="0" applyBorder="0" applyAlignment="0" applyProtection="0">
      <alignment vertical="center"/>
    </xf>
    <xf numFmtId="0" fontId="83" fillId="14" borderId="47" applyNumberFormat="0" applyAlignment="0" applyProtection="0">
      <alignment vertical="center"/>
    </xf>
    <xf numFmtId="0" fontId="83" fillId="14" borderId="47" applyNumberFormat="0" applyAlignment="0" applyProtection="0">
      <alignment vertical="center"/>
    </xf>
    <xf numFmtId="0" fontId="83" fillId="14" borderId="47" applyNumberFormat="0" applyAlignment="0" applyProtection="0">
      <alignment vertical="center"/>
    </xf>
    <xf numFmtId="0" fontId="83" fillId="14" borderId="47" applyNumberFormat="0" applyAlignment="0" applyProtection="0">
      <alignment vertical="center"/>
    </xf>
    <xf numFmtId="0" fontId="97" fillId="0" borderId="0"/>
    <xf numFmtId="0" fontId="111" fillId="57" borderId="49" applyNumberFormat="0" applyAlignment="0" applyProtection="0">
      <alignment vertical="center"/>
    </xf>
    <xf numFmtId="0" fontId="97" fillId="0" borderId="0"/>
    <xf numFmtId="0" fontId="111" fillId="57" borderId="49" applyNumberFormat="0" applyAlignment="0" applyProtection="0">
      <alignment vertical="center"/>
    </xf>
    <xf numFmtId="0" fontId="111" fillId="57" borderId="49" applyNumberFormat="0" applyAlignment="0" applyProtection="0">
      <alignment vertical="center"/>
    </xf>
    <xf numFmtId="0" fontId="111" fillId="57" borderId="49" applyNumberFormat="0" applyAlignment="0" applyProtection="0">
      <alignment vertical="center"/>
    </xf>
    <xf numFmtId="0" fontId="111" fillId="57" borderId="49" applyNumberFormat="0" applyAlignment="0" applyProtection="0">
      <alignment vertical="center"/>
    </xf>
    <xf numFmtId="0" fontId="26" fillId="0" borderId="0">
      <alignment vertical="center"/>
    </xf>
    <xf numFmtId="0" fontId="118" fillId="0" borderId="0" applyNumberFormat="0" applyFill="0" applyBorder="0" applyAlignment="0" applyProtection="0">
      <alignment vertical="center"/>
    </xf>
    <xf numFmtId="38" fontId="86" fillId="0" borderId="0" applyFont="0" applyFill="0" applyBorder="0" applyAlignment="0" applyProtection="0">
      <alignment vertical="center"/>
    </xf>
    <xf numFmtId="0" fontId="119" fillId="0" borderId="0"/>
    <xf numFmtId="0" fontId="56" fillId="0" borderId="0"/>
    <xf numFmtId="0" fontId="97" fillId="0" borderId="0"/>
    <xf numFmtId="0" fontId="97" fillId="0" borderId="0"/>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xf numFmtId="0" fontId="6" fillId="24" borderId="51" applyNumberFormat="0" applyFont="0" applyAlignment="0" applyProtection="0">
      <alignment vertical="center"/>
    </xf>
  </cellStyleXfs>
  <cellXfs count="37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311" applyBorder="1">
      <alignment vertical="center"/>
    </xf>
    <xf numFmtId="0" fontId="7" fillId="0" borderId="0" xfId="311" applyNumberFormat="1" applyFont="1" applyFill="1" applyBorder="1" applyAlignment="1" applyProtection="1">
      <alignment horizontal="center" vertical="center"/>
    </xf>
    <xf numFmtId="0" fontId="6" fillId="0" borderId="0" xfId="311" applyFill="1">
      <alignment vertical="center"/>
    </xf>
    <xf numFmtId="0" fontId="6" fillId="0" borderId="0" xfId="311"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311">
      <alignment vertical="center"/>
    </xf>
    <xf numFmtId="0" fontId="6" fillId="0" borderId="0" xfId="311" applyNumberFormat="1">
      <alignment vertical="center"/>
    </xf>
    <xf numFmtId="0" fontId="6" fillId="0" borderId="0" xfId="311" applyNumberFormat="1" applyAlignment="1">
      <alignment horizontal="center" vertical="center"/>
    </xf>
    <xf numFmtId="14" fontId="6" fillId="0" borderId="0" xfId="311" applyNumberFormat="1">
      <alignment vertical="center"/>
    </xf>
    <xf numFmtId="180" fontId="6" fillId="0" borderId="0" xfId="311" applyNumberFormat="1">
      <alignment vertical="center"/>
    </xf>
    <xf numFmtId="181" fontId="8" fillId="0" borderId="0" xfId="109" applyNumberFormat="1" applyFont="1" applyFill="1" applyBorder="1" applyAlignment="1" applyProtection="1">
      <alignment vertical="center"/>
    </xf>
    <xf numFmtId="181" fontId="9" fillId="0" borderId="0" xfId="109" applyNumberFormat="1" applyFont="1" applyFill="1" applyBorder="1" applyAlignment="1" applyProtection="1">
      <alignment vertical="center"/>
    </xf>
    <xf numFmtId="181" fontId="10" fillId="0" borderId="0" xfId="109" applyNumberFormat="1" applyFont="1" applyFill="1" applyBorder="1" applyAlignment="1" applyProtection="1">
      <alignment vertical="center"/>
    </xf>
    <xf numFmtId="181" fontId="10" fillId="0" borderId="0" xfId="109" applyNumberFormat="1" applyFont="1" applyFill="1" applyBorder="1" applyAlignment="1" applyProtection="1">
      <alignment horizontal="center" vertical="top"/>
    </xf>
    <xf numFmtId="0" fontId="6" fillId="0" borderId="0" xfId="311" applyNumberFormat="1" applyFont="1" applyFill="1" applyBorder="1" applyAlignment="1" applyProtection="1">
      <alignment horizontal="center" vertical="center"/>
    </xf>
    <xf numFmtId="0" fontId="6" fillId="0" borderId="0" xfId="311" applyNumberFormat="1" applyBorder="1" applyAlignment="1">
      <alignment horizontal="center" vertical="center"/>
    </xf>
    <xf numFmtId="181" fontId="11" fillId="3" borderId="5" xfId="109" applyNumberFormat="1" applyFont="1" applyFill="1" applyBorder="1" applyAlignment="1" applyProtection="1">
      <alignment horizontal="center" vertical="center"/>
    </xf>
    <xf numFmtId="181" fontId="8" fillId="3" borderId="5" xfId="109" applyNumberFormat="1" applyFont="1" applyFill="1" applyBorder="1" applyAlignment="1" applyProtection="1">
      <alignment horizontal="center" vertical="center"/>
    </xf>
    <xf numFmtId="0" fontId="8" fillId="3" borderId="5" xfId="109" applyNumberFormat="1" applyFont="1" applyFill="1" applyBorder="1" applyAlignment="1" applyProtection="1">
      <alignment horizontal="center" vertical="center" wrapText="1"/>
    </xf>
    <xf numFmtId="0" fontId="12" fillId="3" borderId="5" xfId="409" applyNumberFormat="1" applyFont="1" applyFill="1" applyBorder="1" applyAlignment="1" applyProtection="1">
      <alignment horizontal="center" vertical="center" wrapText="1"/>
    </xf>
    <xf numFmtId="0" fontId="13" fillId="3" borderId="5" xfId="409" applyNumberFormat="1" applyFont="1" applyFill="1" applyBorder="1" applyAlignment="1" applyProtection="1">
      <alignment horizontal="center" vertical="center" wrapText="1"/>
    </xf>
    <xf numFmtId="181" fontId="11" fillId="3" borderId="6" xfId="109" applyNumberFormat="1" applyFont="1" applyFill="1" applyBorder="1" applyAlignment="1" applyProtection="1">
      <alignment horizontal="center" vertical="center"/>
    </xf>
    <xf numFmtId="181" fontId="8" fillId="3" borderId="6" xfId="109" applyNumberFormat="1" applyFont="1" applyFill="1" applyBorder="1" applyAlignment="1" applyProtection="1">
      <alignment horizontal="center" vertical="center"/>
    </xf>
    <xf numFmtId="0" fontId="8" fillId="3" borderId="6" xfId="109" applyNumberFormat="1" applyFont="1" applyFill="1" applyBorder="1" applyAlignment="1" applyProtection="1">
      <alignment horizontal="center" vertical="center" wrapText="1"/>
    </xf>
    <xf numFmtId="0" fontId="12" fillId="3" borderId="6" xfId="409" applyNumberFormat="1" applyFont="1" applyFill="1" applyBorder="1" applyAlignment="1" applyProtection="1">
      <alignment horizontal="center" vertical="center" wrapText="1"/>
    </xf>
    <xf numFmtId="0" fontId="13" fillId="3" borderId="6" xfId="409" applyNumberFormat="1" applyFont="1" applyFill="1" applyBorder="1" applyAlignment="1" applyProtection="1">
      <alignment horizontal="center" vertical="center" wrapText="1"/>
    </xf>
    <xf numFmtId="181" fontId="14" fillId="0" borderId="6" xfId="311" applyNumberFormat="1" applyFont="1" applyFill="1" applyBorder="1" applyAlignment="1" applyProtection="1">
      <alignment horizontal="center" vertical="center"/>
    </xf>
    <xf numFmtId="0" fontId="15" fillId="0" borderId="7" xfId="311" applyFont="1" applyFill="1" applyBorder="1" applyAlignment="1">
      <alignment horizontal="center" vertical="center" wrapText="1"/>
    </xf>
    <xf numFmtId="49" fontId="16" fillId="4" borderId="8" xfId="311" applyNumberFormat="1" applyFont="1" applyFill="1" applyBorder="1" applyAlignment="1">
      <alignment horizontal="center" vertical="center" wrapText="1"/>
    </xf>
    <xf numFmtId="0" fontId="6" fillId="0" borderId="7" xfId="311" applyNumberFormat="1" applyFont="1" applyFill="1" applyBorder="1" applyAlignment="1">
      <alignment horizontal="center" vertical="center"/>
    </xf>
    <xf numFmtId="0" fontId="6" fillId="0" borderId="8" xfId="311" applyFill="1" applyBorder="1">
      <alignment vertical="center"/>
    </xf>
    <xf numFmtId="0" fontId="6" fillId="0" borderId="7" xfId="311" applyNumberFormat="1" applyFill="1" applyBorder="1" applyAlignment="1">
      <alignment horizontal="center" vertical="center"/>
    </xf>
    <xf numFmtId="181" fontId="14" fillId="4" borderId="6" xfId="311" applyNumberFormat="1" applyFont="1" applyFill="1" applyBorder="1" applyAlignment="1" applyProtection="1">
      <alignment horizontal="center" vertical="center" shrinkToFit="1"/>
    </xf>
    <xf numFmtId="181" fontId="17" fillId="4" borderId="7" xfId="311" applyNumberFormat="1" applyFont="1" applyFill="1" applyBorder="1" applyAlignment="1" applyProtection="1">
      <alignment horizontal="center" vertical="center" shrinkToFit="1"/>
    </xf>
    <xf numFmtId="181" fontId="17" fillId="4" borderId="7" xfId="311" applyNumberFormat="1" applyFont="1" applyFill="1" applyBorder="1" applyAlignment="1" applyProtection="1">
      <alignment horizontal="center" vertical="top" shrinkToFit="1"/>
    </xf>
    <xf numFmtId="0" fontId="16" fillId="4" borderId="7" xfId="311" applyNumberFormat="1" applyFont="1" applyFill="1" applyBorder="1" applyAlignment="1">
      <alignment horizontal="center" vertical="center" shrinkToFit="1"/>
    </xf>
    <xf numFmtId="0" fontId="6" fillId="4" borderId="7" xfId="311" applyNumberFormat="1" applyFont="1" applyFill="1" applyBorder="1" applyAlignment="1" applyProtection="1">
      <alignment horizontal="center" vertical="center" shrinkToFit="1"/>
    </xf>
    <xf numFmtId="0" fontId="6" fillId="4" borderId="7" xfId="311" applyNumberFormat="1" applyFill="1" applyBorder="1" applyAlignment="1">
      <alignment horizontal="center" vertical="center" shrinkToFit="1"/>
    </xf>
    <xf numFmtId="0" fontId="6" fillId="3" borderId="7" xfId="311" applyFont="1" applyFill="1" applyBorder="1" applyAlignment="1">
      <alignment horizontal="center" vertical="center"/>
    </xf>
    <xf numFmtId="180" fontId="6" fillId="4" borderId="7" xfId="311" applyNumberFormat="1" applyFont="1" applyFill="1" applyBorder="1" applyAlignment="1">
      <alignment horizontal="center" vertical="center"/>
    </xf>
    <xf numFmtId="182" fontId="6" fillId="0" borderId="0" xfId="311" applyNumberFormat="1" applyFont="1" applyBorder="1" applyAlignment="1">
      <alignment horizontal="center" vertical="center"/>
    </xf>
    <xf numFmtId="182" fontId="6"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311"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311" applyNumberFormat="1" applyBorder="1">
      <alignment vertical="center"/>
    </xf>
    <xf numFmtId="181" fontId="10" fillId="0" borderId="0" xfId="109" applyNumberFormat="1" applyFont="1" applyFill="1" applyBorder="1" applyAlignment="1" applyProtection="1">
      <alignment horizontal="center" vertical="center"/>
    </xf>
    <xf numFmtId="176" fontId="24" fillId="5" borderId="0" xfId="311" applyNumberFormat="1" applyFont="1" applyFill="1" applyBorder="1" applyAlignment="1">
      <alignment horizontal="center" vertical="center"/>
    </xf>
    <xf numFmtId="14" fontId="12" fillId="3" borderId="5" xfId="409" applyNumberFormat="1" applyFont="1" applyFill="1" applyBorder="1" applyAlignment="1" applyProtection="1">
      <alignment horizontal="center" vertical="center" wrapText="1"/>
    </xf>
    <xf numFmtId="0" fontId="12" fillId="3" borderId="8" xfId="409" applyNumberFormat="1" applyFont="1" applyFill="1" applyBorder="1" applyAlignment="1" applyProtection="1">
      <alignment horizontal="center" vertical="center" wrapText="1"/>
    </xf>
    <xf numFmtId="0" fontId="12" fillId="3" borderId="9" xfId="409" applyNumberFormat="1" applyFont="1" applyFill="1" applyBorder="1" applyAlignment="1" applyProtection="1">
      <alignment horizontal="center" vertical="center" wrapText="1"/>
    </xf>
    <xf numFmtId="0" fontId="12" fillId="3" borderId="10" xfId="409" applyNumberFormat="1" applyFont="1" applyFill="1" applyBorder="1" applyAlignment="1" applyProtection="1">
      <alignment horizontal="center" vertical="center" wrapText="1"/>
    </xf>
    <xf numFmtId="14" fontId="12" fillId="3" borderId="6" xfId="409" applyNumberFormat="1" applyFont="1" applyFill="1" applyBorder="1" applyAlignment="1" applyProtection="1">
      <alignment horizontal="center" vertical="center" wrapText="1"/>
    </xf>
    <xf numFmtId="0" fontId="12" fillId="3" borderId="7" xfId="409" applyNumberFormat="1" applyFont="1" applyFill="1" applyBorder="1" applyAlignment="1" applyProtection="1">
      <alignment horizontal="center" vertical="center" wrapText="1"/>
    </xf>
    <xf numFmtId="14" fontId="6" fillId="0" borderId="8" xfId="311" applyNumberFormat="1" applyFill="1" applyBorder="1">
      <alignment vertical="center"/>
    </xf>
    <xf numFmtId="176" fontId="14" fillId="0" borderId="7" xfId="311" applyNumberFormat="1" applyFont="1" applyFill="1" applyBorder="1" applyAlignment="1">
      <alignment vertical="center"/>
    </xf>
    <xf numFmtId="176" fontId="14" fillId="0" borderId="7" xfId="311" applyNumberFormat="1" applyFont="1" applyFill="1" applyBorder="1" applyAlignment="1">
      <alignment horizontal="center" vertical="center"/>
    </xf>
    <xf numFmtId="176" fontId="14" fillId="0" borderId="7" xfId="311" applyNumberFormat="1" applyFont="1" applyFill="1" applyBorder="1">
      <alignment vertical="center"/>
    </xf>
    <xf numFmtId="0" fontId="6" fillId="4" borderId="8" xfId="311" applyNumberFormat="1" applyFont="1" applyFill="1" applyBorder="1" applyAlignment="1" applyProtection="1">
      <alignment horizontal="center" vertical="center" shrinkToFit="1"/>
    </xf>
    <xf numFmtId="14" fontId="6" fillId="4" borderId="8" xfId="311" applyNumberFormat="1" applyFont="1" applyFill="1" applyBorder="1" applyAlignment="1" applyProtection="1">
      <alignment horizontal="center" vertical="center" shrinkToFit="1"/>
    </xf>
    <xf numFmtId="182" fontId="17" fillId="4" borderId="7" xfId="311"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3"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3"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3"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76" fontId="0" fillId="0" borderId="0" xfId="311" applyNumberFormat="1" applyFont="1" applyFill="1" applyBorder="1" applyAlignment="1">
      <alignment horizontal="left" vertical="center"/>
    </xf>
    <xf numFmtId="180" fontId="13" fillId="3" borderId="5" xfId="409" applyNumberFormat="1" applyFont="1" applyFill="1" applyBorder="1" applyAlignment="1" applyProtection="1">
      <alignment horizontal="center" vertical="center" wrapText="1"/>
    </xf>
    <xf numFmtId="0" fontId="13" fillId="3" borderId="8" xfId="409" applyNumberFormat="1" applyFont="1" applyFill="1" applyBorder="1" applyAlignment="1" applyProtection="1">
      <alignment horizontal="center" vertical="center" wrapText="1"/>
    </xf>
    <xf numFmtId="0" fontId="13" fillId="3" borderId="9" xfId="409" applyNumberFormat="1" applyFont="1" applyFill="1" applyBorder="1" applyAlignment="1" applyProtection="1">
      <alignment horizontal="center" vertical="center" wrapText="1"/>
    </xf>
    <xf numFmtId="180" fontId="13" fillId="3" borderId="6" xfId="409" applyNumberFormat="1" applyFont="1" applyFill="1" applyBorder="1" applyAlignment="1" applyProtection="1">
      <alignment horizontal="center" vertical="center" wrapText="1"/>
    </xf>
    <xf numFmtId="0" fontId="13" fillId="3" borderId="7" xfId="409" applyNumberFormat="1" applyFont="1" applyFill="1" applyBorder="1" applyAlignment="1" applyProtection="1">
      <alignment horizontal="center" vertical="center" wrapText="1"/>
    </xf>
    <xf numFmtId="176" fontId="14" fillId="4" borderId="7" xfId="311" applyNumberFormat="1" applyFont="1" applyFill="1" applyBorder="1">
      <alignment vertical="center"/>
    </xf>
    <xf numFmtId="176" fontId="14" fillId="4" borderId="10" xfId="311" applyNumberFormat="1" applyFont="1" applyFill="1" applyBorder="1" applyAlignment="1">
      <alignment horizontal="center" vertical="center"/>
    </xf>
    <xf numFmtId="176" fontId="14" fillId="4" borderId="10" xfId="311" applyNumberFormat="1" applyFont="1" applyFill="1" applyBorder="1">
      <alignment vertical="center"/>
    </xf>
    <xf numFmtId="176" fontId="14" fillId="0" borderId="10" xfId="311" applyNumberFormat="1" applyFont="1" applyFill="1" applyBorder="1" applyAlignment="1">
      <alignment horizontal="center" vertical="center"/>
    </xf>
    <xf numFmtId="176" fontId="14" fillId="0" borderId="10" xfId="311" applyNumberFormat="1" applyFont="1" applyFill="1" applyBorder="1">
      <alignment vertical="center"/>
    </xf>
    <xf numFmtId="0" fontId="13" fillId="3" borderId="10" xfId="409" applyNumberFormat="1" applyFont="1" applyFill="1" applyBorder="1" applyAlignment="1" applyProtection="1">
      <alignment horizontal="center" vertical="center" wrapText="1"/>
    </xf>
    <xf numFmtId="182" fontId="14" fillId="4" borderId="10" xfId="311" applyNumberFormat="1" applyFont="1" applyFill="1" applyBorder="1" applyAlignment="1" applyProtection="1">
      <alignment horizontal="center" vertical="center"/>
    </xf>
    <xf numFmtId="180" fontId="20" fillId="4" borderId="7" xfId="293" applyNumberFormat="1" applyFont="1" applyFill="1" applyBorder="1" applyAlignment="1" applyProtection="1">
      <alignment horizontal="center" vertical="center"/>
    </xf>
    <xf numFmtId="180" fontId="25" fillId="4" borderId="7" xfId="409" applyNumberFormat="1" applyFont="1" applyFill="1" applyBorder="1" applyAlignment="1" applyProtection="1">
      <alignment horizontal="center" vertical="center"/>
    </xf>
    <xf numFmtId="182" fontId="14" fillId="0" borderId="10" xfId="311" applyNumberFormat="1" applyFont="1" applyFill="1" applyBorder="1" applyAlignment="1" applyProtection="1">
      <alignment horizontal="center" vertical="center"/>
    </xf>
    <xf numFmtId="180" fontId="20" fillId="0" borderId="7" xfId="293" applyNumberFormat="1" applyFont="1" applyFill="1" applyBorder="1" applyAlignment="1" applyProtection="1">
      <alignment horizontal="center" vertical="center"/>
    </xf>
    <xf numFmtId="180" fontId="25" fillId="0" borderId="7" xfId="409" applyNumberFormat="1" applyFont="1" applyFill="1" applyBorder="1" applyAlignment="1" applyProtection="1">
      <alignment horizontal="center" vertical="center"/>
    </xf>
    <xf numFmtId="182" fontId="14" fillId="0" borderId="0" xfId="311" applyNumberFormat="1" applyFont="1" applyFill="1" applyBorder="1" applyAlignment="1" applyProtection="1">
      <alignment horizontal="center" vertical="center"/>
    </xf>
    <xf numFmtId="180" fontId="10" fillId="0" borderId="0" xfId="109" applyNumberFormat="1" applyFont="1" applyFill="1" applyBorder="1" applyAlignment="1" applyProtection="1">
      <alignment horizontal="center" vertical="center" wrapText="1"/>
    </xf>
    <xf numFmtId="0" fontId="11" fillId="3" borderId="5" xfId="109" applyNumberFormat="1" applyFont="1" applyFill="1" applyBorder="1" applyAlignment="1" applyProtection="1">
      <alignment horizontal="center" vertical="center" wrapText="1"/>
    </xf>
    <xf numFmtId="180" fontId="8" fillId="3" borderId="5" xfId="109" applyNumberFormat="1" applyFont="1" applyFill="1" applyBorder="1" applyAlignment="1" applyProtection="1">
      <alignment horizontal="center" vertical="center" wrapText="1"/>
    </xf>
    <xf numFmtId="0" fontId="11" fillId="3" borderId="6" xfId="109" applyNumberFormat="1" applyFont="1" applyFill="1" applyBorder="1" applyAlignment="1" applyProtection="1">
      <alignment horizontal="center" vertical="center" wrapText="1"/>
    </xf>
    <xf numFmtId="180" fontId="8" fillId="3" borderId="6" xfId="109" applyNumberFormat="1" applyFont="1" applyFill="1" applyBorder="1" applyAlignment="1" applyProtection="1">
      <alignment horizontal="center" vertical="center" wrapText="1"/>
    </xf>
    <xf numFmtId="182" fontId="14" fillId="4" borderId="7" xfId="311" applyNumberFormat="1" applyFont="1" applyFill="1" applyBorder="1" applyAlignment="1" applyProtection="1">
      <alignment horizontal="center" vertical="center"/>
    </xf>
    <xf numFmtId="180" fontId="16" fillId="0" borderId="7" xfId="311" applyNumberFormat="1" applyFont="1" applyFill="1" applyBorder="1" applyAlignment="1">
      <alignment horizontal="center" vertical="center" wrapText="1"/>
    </xf>
    <xf numFmtId="182" fontId="14" fillId="0" borderId="7" xfId="311" applyNumberFormat="1" applyFont="1" applyFill="1" applyBorder="1" applyAlignment="1" applyProtection="1">
      <alignment horizontal="center" vertical="center"/>
    </xf>
    <xf numFmtId="182" fontId="14" fillId="4" borderId="7" xfId="311" applyNumberFormat="1" applyFont="1" applyFill="1" applyBorder="1" applyAlignment="1" applyProtection="1">
      <alignment horizontal="center" vertical="center" shrinkToFit="1"/>
    </xf>
    <xf numFmtId="182" fontId="6" fillId="0" borderId="0" xfId="311" applyNumberFormat="1">
      <alignment vertical="center"/>
    </xf>
    <xf numFmtId="180" fontId="6" fillId="0" borderId="0" xfId="0" applyNumberFormat="1" applyFont="1" applyFill="1" applyBorder="1" applyAlignment="1" applyProtection="1">
      <alignment vertical="center"/>
    </xf>
    <xf numFmtId="49" fontId="6" fillId="0" borderId="0" xfId="311" applyNumberFormat="1" applyFont="1" applyFill="1" applyBorder="1" applyAlignment="1" applyProtection="1">
      <alignment horizontal="center" vertical="center"/>
    </xf>
    <xf numFmtId="49" fontId="12" fillId="3" borderId="5" xfId="409" applyNumberFormat="1" applyFont="1" applyFill="1" applyBorder="1" applyAlignment="1" applyProtection="1">
      <alignment horizontal="center" vertical="center" wrapText="1"/>
    </xf>
    <xf numFmtId="49" fontId="12" fillId="3" borderId="6" xfId="409" applyNumberFormat="1" applyFont="1" applyFill="1" applyBorder="1" applyAlignment="1" applyProtection="1">
      <alignment horizontal="center" vertical="center" wrapText="1"/>
    </xf>
    <xf numFmtId="0" fontId="25" fillId="4" borderId="7" xfId="311" applyFont="1" applyFill="1" applyBorder="1" applyAlignment="1">
      <alignment horizontal="center" vertical="center"/>
    </xf>
    <xf numFmtId="0" fontId="25" fillId="0" borderId="7" xfId="311" applyFont="1" applyFill="1" applyBorder="1" applyAlignment="1">
      <alignment horizontal="center" vertical="center"/>
    </xf>
    <xf numFmtId="0" fontId="25" fillId="4" borderId="7" xfId="311" applyFont="1" applyFill="1" applyBorder="1" applyAlignment="1">
      <alignment horizontal="center" vertical="center" shrinkToFit="1"/>
    </xf>
    <xf numFmtId="0" fontId="26" fillId="6" borderId="7" xfId="274" applyFont="1" applyFill="1" applyBorder="1" applyAlignment="1">
      <alignment horizontal="left" vertical="center"/>
    </xf>
    <xf numFmtId="49" fontId="26" fillId="0" borderId="7" xfId="274" applyNumberFormat="1" applyFont="1" applyBorder="1" applyAlignment="1" applyProtection="1">
      <protection locked="0"/>
    </xf>
    <xf numFmtId="0" fontId="6" fillId="0" borderId="8" xfId="311" applyFont="1" applyFill="1" applyBorder="1" applyAlignment="1">
      <alignment vertical="center"/>
    </xf>
    <xf numFmtId="14" fontId="6" fillId="0" borderId="8" xfId="311" applyNumberFormat="1" applyFont="1" applyFill="1" applyBorder="1" applyAlignment="1">
      <alignment vertical="center"/>
    </xf>
    <xf numFmtId="0" fontId="14" fillId="0" borderId="7" xfId="311" applyNumberFormat="1" applyFont="1" applyFill="1" applyBorder="1">
      <alignment vertical="center"/>
    </xf>
    <xf numFmtId="180" fontId="17" fillId="4" borderId="7" xfId="311" applyNumberFormat="1" applyFont="1" applyFill="1" applyBorder="1" applyAlignment="1" applyProtection="1">
      <alignment horizontal="center" vertical="center" shrinkToFit="1"/>
    </xf>
    <xf numFmtId="0" fontId="6" fillId="7" borderId="0" xfId="311" applyFill="1">
      <alignment vertical="center"/>
    </xf>
    <xf numFmtId="181" fontId="14" fillId="7" borderId="6" xfId="311" applyNumberFormat="1" applyFont="1" applyFill="1" applyBorder="1" applyAlignment="1" applyProtection="1">
      <alignment horizontal="center" vertical="center"/>
    </xf>
    <xf numFmtId="0" fontId="15" fillId="7" borderId="7" xfId="311" applyFont="1" applyFill="1" applyBorder="1" applyAlignment="1">
      <alignment horizontal="center" vertical="center" wrapText="1"/>
    </xf>
    <xf numFmtId="49" fontId="16" fillId="7" borderId="8" xfId="311" applyNumberFormat="1" applyFont="1" applyFill="1" applyBorder="1" applyAlignment="1">
      <alignment horizontal="center" vertical="center" wrapText="1"/>
    </xf>
    <xf numFmtId="0" fontId="6" fillId="7" borderId="7" xfId="311" applyNumberFormat="1" applyFill="1" applyBorder="1" applyAlignment="1">
      <alignment horizontal="center" vertical="center"/>
    </xf>
    <xf numFmtId="0" fontId="6" fillId="7" borderId="8" xfId="311" applyFill="1" applyBorder="1">
      <alignment vertical="center"/>
    </xf>
    <xf numFmtId="14" fontId="6" fillId="7" borderId="8" xfId="311" applyNumberFormat="1" applyFill="1" applyBorder="1">
      <alignment vertical="center"/>
    </xf>
    <xf numFmtId="176" fontId="14" fillId="7" borderId="7" xfId="311" applyNumberFormat="1" applyFont="1" applyFill="1" applyBorder="1">
      <alignment vertical="center"/>
    </xf>
    <xf numFmtId="176" fontId="14" fillId="7" borderId="7" xfId="311" applyNumberFormat="1" applyFont="1" applyFill="1" applyBorder="1" applyAlignment="1">
      <alignment horizontal="center" vertical="center"/>
    </xf>
    <xf numFmtId="176" fontId="14" fillId="7" borderId="10" xfId="311" applyNumberFormat="1" applyFont="1" applyFill="1" applyBorder="1" applyAlignment="1">
      <alignment horizontal="center" vertical="center"/>
    </xf>
    <xf numFmtId="176" fontId="14" fillId="7" borderId="10" xfId="311" applyNumberFormat="1" applyFont="1" applyFill="1" applyBorder="1">
      <alignment vertical="center"/>
    </xf>
    <xf numFmtId="182" fontId="14" fillId="7" borderId="10" xfId="311" applyNumberFormat="1" applyFont="1" applyFill="1" applyBorder="1" applyAlignment="1" applyProtection="1">
      <alignment horizontal="center" vertical="center"/>
    </xf>
    <xf numFmtId="180" fontId="20" fillId="7" borderId="7" xfId="293" applyNumberFormat="1" applyFont="1" applyFill="1" applyBorder="1" applyAlignment="1" applyProtection="1">
      <alignment horizontal="center" vertical="center"/>
    </xf>
    <xf numFmtId="180" fontId="25" fillId="7" borderId="7" xfId="409" applyNumberFormat="1" applyFont="1" applyFill="1" applyBorder="1" applyAlignment="1" applyProtection="1">
      <alignment horizontal="center" vertical="center"/>
    </xf>
    <xf numFmtId="182" fontId="14" fillId="7" borderId="7" xfId="311" applyNumberFormat="1" applyFont="1" applyFill="1" applyBorder="1" applyAlignment="1" applyProtection="1">
      <alignment horizontal="center" vertical="center"/>
    </xf>
    <xf numFmtId="180" fontId="16" fillId="7" borderId="7" xfId="311" applyNumberFormat="1" applyFont="1" applyFill="1" applyBorder="1" applyAlignment="1">
      <alignment horizontal="center" vertical="center" wrapText="1"/>
    </xf>
    <xf numFmtId="0" fontId="25" fillId="7" borderId="7" xfId="311" applyFont="1" applyFill="1" applyBorder="1" applyAlignment="1">
      <alignment horizontal="center" vertical="center"/>
    </xf>
    <xf numFmtId="0" fontId="26" fillId="0" borderId="7" xfId="360" applyNumberFormat="1" applyFont="1" applyFill="1" applyBorder="1" applyAlignment="1">
      <alignment horizontal="center" vertical="center"/>
    </xf>
    <xf numFmtId="49" fontId="16" fillId="0" borderId="8" xfId="311" applyNumberFormat="1" applyFont="1" applyFill="1" applyBorder="1" applyAlignment="1">
      <alignment horizontal="center" vertical="center" wrapText="1"/>
    </xf>
    <xf numFmtId="0" fontId="26"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27" fillId="0" borderId="0" xfId="0" applyFont="1" applyFill="1" applyAlignment="1">
      <alignment horizontal="center" vertical="center"/>
    </xf>
    <xf numFmtId="0" fontId="27" fillId="7" borderId="0" xfId="0" applyFont="1" applyFill="1" applyAlignment="1">
      <alignment horizontal="center" vertical="center"/>
    </xf>
    <xf numFmtId="0" fontId="27" fillId="6" borderId="0" xfId="0" applyFont="1" applyFill="1" applyAlignment="1">
      <alignment horizontal="center" vertical="center"/>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6" fillId="0" borderId="0" xfId="0" applyFont="1" applyFill="1" applyAlignment="1">
      <alignment vertical="center"/>
    </xf>
    <xf numFmtId="0" fontId="6" fillId="0" borderId="0" xfId="0" applyNumberFormat="1" applyFont="1" applyFill="1" applyAlignment="1">
      <alignment vertical="center"/>
    </xf>
    <xf numFmtId="0" fontId="31" fillId="0" borderId="0" xfId="0" applyFont="1" applyFill="1" applyAlignment="1">
      <alignment vertical="center"/>
    </xf>
    <xf numFmtId="0" fontId="19" fillId="8" borderId="7"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30" fillId="0" borderId="7" xfId="0" applyFont="1" applyFill="1" applyBorder="1" applyAlignment="1"/>
    <xf numFmtId="0" fontId="21" fillId="8" borderId="7" xfId="0" applyFont="1" applyFill="1" applyBorder="1" applyAlignment="1">
      <alignment horizontal="center" vertical="center" wrapText="1"/>
    </xf>
    <xf numFmtId="0" fontId="32" fillId="0" borderId="7" xfId="0" applyFont="1" applyFill="1" applyBorder="1" applyAlignment="1">
      <alignment horizontal="center" vertical="center"/>
    </xf>
    <xf numFmtId="49" fontId="32"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0" fontId="33" fillId="0" borderId="7" xfId="0" applyFont="1" applyFill="1" applyBorder="1" applyAlignment="1">
      <alignment horizontal="center" vertical="center"/>
    </xf>
    <xf numFmtId="49" fontId="34" fillId="0" borderId="7" xfId="0" applyNumberFormat="1" applyFont="1" applyFill="1" applyBorder="1" applyAlignment="1">
      <alignment horizontal="center" vertical="center"/>
    </xf>
    <xf numFmtId="0" fontId="32" fillId="7" borderId="7" xfId="0" applyFont="1" applyFill="1" applyBorder="1" applyAlignment="1">
      <alignment horizontal="center" vertical="center"/>
    </xf>
    <xf numFmtId="49" fontId="32" fillId="7" borderId="7" xfId="0" applyNumberFormat="1" applyFont="1" applyFill="1" applyBorder="1" applyAlignment="1">
      <alignment horizontal="center" vertical="center"/>
    </xf>
    <xf numFmtId="0" fontId="16" fillId="7" borderId="7" xfId="0" applyFont="1" applyFill="1" applyBorder="1" applyAlignment="1" applyProtection="1">
      <alignment horizontal="center" vertical="center"/>
      <protection locked="0"/>
    </xf>
    <xf numFmtId="0" fontId="33" fillId="7" borderId="7" xfId="0" applyFont="1" applyFill="1" applyBorder="1" applyAlignment="1">
      <alignment horizontal="center" vertical="center"/>
    </xf>
    <xf numFmtId="49" fontId="34" fillId="7" borderId="7" xfId="0" applyNumberFormat="1" applyFont="1" applyFill="1" applyBorder="1" applyAlignment="1">
      <alignment horizontal="center" vertical="center"/>
    </xf>
    <xf numFmtId="49" fontId="32" fillId="6" borderId="7" xfId="0" applyNumberFormat="1" applyFont="1" applyFill="1" applyBorder="1" applyAlignment="1">
      <alignment horizontal="center" vertical="center"/>
    </xf>
    <xf numFmtId="0" fontId="16" fillId="6" borderId="7" xfId="0" applyFont="1" applyFill="1" applyBorder="1" applyAlignment="1" applyProtection="1">
      <alignment horizontal="center" vertical="center"/>
      <protection locked="0"/>
    </xf>
    <xf numFmtId="0" fontId="33" fillId="6" borderId="7" xfId="0" applyFont="1" applyFill="1" applyBorder="1" applyAlignment="1">
      <alignment horizontal="center" vertical="center"/>
    </xf>
    <xf numFmtId="49" fontId="34" fillId="6" borderId="7" xfId="0" applyNumberFormat="1" applyFont="1" applyFill="1" applyBorder="1" applyAlignment="1">
      <alignment horizontal="center" vertical="center"/>
    </xf>
    <xf numFmtId="0" fontId="35" fillId="0" borderId="11" xfId="0" applyFont="1" applyFill="1" applyBorder="1" applyAlignment="1">
      <alignment horizontal="center"/>
    </xf>
    <xf numFmtId="49" fontId="35" fillId="0" borderId="11"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35" fillId="0" borderId="6" xfId="0" applyNumberFormat="1" applyFont="1" applyFill="1" applyBorder="1" applyAlignment="1">
      <alignment horizontal="center"/>
    </xf>
    <xf numFmtId="49" fontId="36" fillId="0" borderId="12" xfId="0" applyNumberFormat="1" applyFont="1" applyFill="1" applyBorder="1" applyAlignment="1">
      <alignment horizontal="center" vertical="center"/>
    </xf>
    <xf numFmtId="0" fontId="37" fillId="0" borderId="6" xfId="0" applyFont="1" applyFill="1" applyBorder="1" applyAlignment="1">
      <alignment horizontal="center" vertical="center"/>
    </xf>
    <xf numFmtId="49" fontId="38" fillId="0" borderId="6" xfId="0" applyNumberFormat="1" applyFont="1" applyFill="1" applyBorder="1" applyAlignment="1">
      <alignment horizontal="center" vertical="center"/>
    </xf>
    <xf numFmtId="49" fontId="36" fillId="0" borderId="6" xfId="0" applyNumberFormat="1" applyFont="1" applyFill="1" applyBorder="1" applyAlignment="1">
      <alignment horizontal="center"/>
    </xf>
    <xf numFmtId="0" fontId="19" fillId="8" borderId="13" xfId="0" applyFont="1" applyFill="1" applyBorder="1" applyAlignment="1">
      <alignment horizontal="left" vertical="center"/>
    </xf>
    <xf numFmtId="4" fontId="19" fillId="8" borderId="14" xfId="0" applyNumberFormat="1" applyFont="1" applyFill="1" applyBorder="1" applyAlignment="1">
      <alignment horizontal="right" vertical="center"/>
    </xf>
    <xf numFmtId="4" fontId="19" fillId="8" borderId="6" xfId="0" applyNumberFormat="1" applyFont="1" applyFill="1" applyBorder="1" applyAlignment="1">
      <alignment horizontal="right" vertical="center"/>
    </xf>
    <xf numFmtId="4" fontId="19" fillId="8" borderId="12" xfId="0" applyNumberFormat="1" applyFont="1" applyFill="1" applyBorder="1" applyAlignment="1">
      <alignment horizontal="right" vertical="center"/>
    </xf>
    <xf numFmtId="0" fontId="19" fillId="8" borderId="15" xfId="0" applyFont="1" applyFill="1" applyBorder="1" applyAlignment="1">
      <alignment horizontal="left" vertical="center"/>
    </xf>
    <xf numFmtId="4" fontId="19" fillId="8" borderId="16" xfId="0" applyNumberFormat="1" applyFont="1" applyFill="1" applyBorder="1" applyAlignment="1">
      <alignment horizontal="right" vertical="center"/>
    </xf>
    <xf numFmtId="4" fontId="19" fillId="8" borderId="17" xfId="0" applyNumberFormat="1" applyFont="1" applyFill="1" applyBorder="1" applyAlignment="1">
      <alignment horizontal="right" vertical="center"/>
    </xf>
    <xf numFmtId="4" fontId="19" fillId="8" borderId="18" xfId="0" applyNumberFormat="1" applyFont="1" applyFill="1" applyBorder="1" applyAlignment="1">
      <alignment horizontal="right" vertical="center"/>
    </xf>
    <xf numFmtId="0" fontId="6" fillId="0" borderId="0" xfId="0" applyFont="1" applyFill="1" applyAlignment="1"/>
    <xf numFmtId="0" fontId="37" fillId="0" borderId="0" xfId="0" applyFont="1" applyFill="1" applyAlignment="1">
      <alignment vertical="center"/>
    </xf>
    <xf numFmtId="0" fontId="22" fillId="8" borderId="7" xfId="0" applyFont="1" applyFill="1" applyBorder="1" applyAlignment="1">
      <alignment horizontal="center" vertical="center" wrapText="1"/>
    </xf>
    <xf numFmtId="0" fontId="20" fillId="8" borderId="7" xfId="0" applyFont="1" applyFill="1" applyBorder="1" applyAlignment="1">
      <alignment horizontal="center" vertical="center" wrapText="1"/>
    </xf>
    <xf numFmtId="180" fontId="32" fillId="0" borderId="7" xfId="0" applyNumberFormat="1" applyFont="1" applyFill="1" applyBorder="1" applyAlignment="1">
      <alignment horizontal="center" vertical="center"/>
    </xf>
    <xf numFmtId="10" fontId="32" fillId="0" borderId="7" xfId="0" applyNumberFormat="1" applyFont="1" applyFill="1" applyBorder="1" applyAlignment="1">
      <alignment horizontal="center" vertical="center"/>
    </xf>
    <xf numFmtId="0" fontId="32" fillId="6" borderId="7" xfId="0" applyFont="1" applyFill="1" applyBorder="1" applyAlignment="1">
      <alignment horizontal="center" vertical="center"/>
    </xf>
    <xf numFmtId="0" fontId="35" fillId="0" borderId="12" xfId="0" applyFont="1" applyFill="1" applyBorder="1" applyAlignment="1">
      <alignment horizontal="center"/>
    </xf>
    <xf numFmtId="0" fontId="36" fillId="0" borderId="12" xfId="0" applyFont="1" applyFill="1" applyBorder="1" applyAlignment="1">
      <alignment horizontal="center"/>
    </xf>
    <xf numFmtId="4" fontId="19" fillId="8" borderId="19" xfId="0" applyNumberFormat="1" applyFont="1" applyFill="1" applyBorder="1" applyAlignment="1">
      <alignment horizontal="right" vertical="center"/>
    </xf>
    <xf numFmtId="10" fontId="32" fillId="6" borderId="7" xfId="0" applyNumberFormat="1" applyFont="1" applyFill="1" applyBorder="1" applyAlignment="1">
      <alignment horizontal="center" vertical="center"/>
    </xf>
    <xf numFmtId="0" fontId="35" fillId="3" borderId="12" xfId="0" applyFont="1" applyFill="1" applyBorder="1" applyAlignment="1">
      <alignment horizontal="center"/>
    </xf>
    <xf numFmtId="0" fontId="36" fillId="3" borderId="12" xfId="0" applyFont="1" applyFill="1" applyBorder="1" applyAlignment="1">
      <alignment horizontal="center"/>
    </xf>
    <xf numFmtId="0" fontId="32" fillId="0" borderId="7" xfId="0" applyNumberFormat="1" applyFont="1" applyFill="1" applyBorder="1" applyAlignment="1">
      <alignment horizontal="center" vertical="center"/>
    </xf>
    <xf numFmtId="0" fontId="27" fillId="0" borderId="7" xfId="0" applyFont="1" applyFill="1" applyBorder="1" applyAlignment="1">
      <alignment horizontal="center" vertical="center"/>
    </xf>
    <xf numFmtId="0" fontId="27" fillId="7" borderId="7" xfId="0" applyFont="1" applyFill="1" applyBorder="1" applyAlignment="1">
      <alignment horizontal="center" vertical="center"/>
    </xf>
    <xf numFmtId="0" fontId="27" fillId="6" borderId="7" xfId="0" applyFont="1" applyFill="1" applyBorder="1" applyAlignment="1">
      <alignment horizontal="center" vertical="center"/>
    </xf>
    <xf numFmtId="0" fontId="28" fillId="0" borderId="12" xfId="0" applyFont="1" applyFill="1" applyBorder="1" applyAlignment="1">
      <alignment vertical="center"/>
    </xf>
    <xf numFmtId="0" fontId="19" fillId="8" borderId="7" xfId="0" applyNumberFormat="1" applyFont="1" applyFill="1" applyBorder="1" applyAlignment="1">
      <alignment horizontal="center" vertical="center" wrapText="1"/>
    </xf>
    <xf numFmtId="0" fontId="20" fillId="8" borderId="7" xfId="0" applyNumberFormat="1" applyFont="1" applyFill="1" applyBorder="1" applyAlignment="1">
      <alignment horizontal="center" vertical="center" wrapText="1"/>
    </xf>
    <xf numFmtId="179" fontId="39" fillId="0" borderId="7" xfId="0" applyNumberFormat="1" applyFont="1" applyFill="1" applyBorder="1" applyAlignment="1">
      <alignment horizontal="center" vertical="center"/>
    </xf>
    <xf numFmtId="179" fontId="39" fillId="7" borderId="7" xfId="0" applyNumberFormat="1" applyFont="1" applyFill="1" applyBorder="1" applyAlignment="1">
      <alignment horizontal="center" vertical="center"/>
    </xf>
    <xf numFmtId="0" fontId="32" fillId="7" borderId="7" xfId="0" applyNumberFormat="1" applyFont="1" applyFill="1" applyBorder="1" applyAlignment="1">
      <alignment horizontal="center" vertical="center"/>
    </xf>
    <xf numFmtId="180" fontId="39" fillId="0" borderId="7" xfId="0" applyNumberFormat="1" applyFont="1" applyFill="1" applyBorder="1" applyAlignment="1">
      <alignment horizontal="center" vertical="center"/>
    </xf>
    <xf numFmtId="179" fontId="39" fillId="6" borderId="7" xfId="0" applyNumberFormat="1" applyFont="1" applyFill="1" applyBorder="1" applyAlignment="1">
      <alignment horizontal="center" vertical="center"/>
    </xf>
    <xf numFmtId="0" fontId="32" fillId="6" borderId="7" xfId="0" applyNumberFormat="1" applyFont="1" applyFill="1" applyBorder="1" applyAlignment="1">
      <alignment horizontal="center" vertical="center"/>
    </xf>
    <xf numFmtId="49" fontId="35" fillId="0" borderId="12" xfId="0" applyNumberFormat="1" applyFont="1" applyFill="1" applyBorder="1" applyAlignment="1">
      <alignment horizontal="center" vertical="center"/>
    </xf>
    <xf numFmtId="179" fontId="40" fillId="0" borderId="12" xfId="0" applyNumberFormat="1" applyFont="1" applyFill="1" applyBorder="1" applyAlignment="1">
      <alignment horizontal="left" vertical="center"/>
    </xf>
    <xf numFmtId="0" fontId="35" fillId="0" borderId="12" xfId="0" applyNumberFormat="1" applyFont="1" applyFill="1" applyBorder="1" applyAlignment="1">
      <alignment horizontal="center"/>
    </xf>
    <xf numFmtId="0" fontId="19" fillId="8" borderId="19" xfId="0" applyNumberFormat="1" applyFont="1" applyFill="1" applyBorder="1" applyAlignment="1">
      <alignment horizontal="right" vertical="center"/>
    </xf>
    <xf numFmtId="0" fontId="6" fillId="0" borderId="0" xfId="0" applyNumberFormat="1" applyFont="1" applyFill="1" applyAlignment="1"/>
    <xf numFmtId="0" fontId="41" fillId="8" borderId="10" xfId="0" applyFont="1" applyFill="1" applyBorder="1" applyAlignment="1">
      <alignment horizontal="center" vertical="center" wrapText="1"/>
    </xf>
    <xf numFmtId="4"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42" fillId="0" borderId="10" xfId="0" applyNumberFormat="1" applyFont="1" applyFill="1" applyBorder="1" applyAlignment="1">
      <alignment horizontal="center" vertical="center" wrapText="1"/>
    </xf>
    <xf numFmtId="4" fontId="26" fillId="7" borderId="7" xfId="0" applyNumberFormat="1" applyFont="1" applyFill="1" applyBorder="1" applyAlignment="1">
      <alignment horizontal="center" vertical="center" wrapText="1"/>
    </xf>
    <xf numFmtId="0" fontId="26" fillId="7" borderId="7" xfId="0" applyNumberFormat="1" applyFont="1" applyFill="1" applyBorder="1" applyAlignment="1">
      <alignment horizontal="center" vertical="center" wrapText="1"/>
    </xf>
    <xf numFmtId="49" fontId="42" fillId="7" borderId="10" xfId="0" applyNumberFormat="1" applyFont="1" applyFill="1" applyBorder="1" applyAlignment="1">
      <alignment horizontal="center" vertical="center" wrapText="1"/>
    </xf>
    <xf numFmtId="0" fontId="42" fillId="0" borderId="10" xfId="0" applyNumberFormat="1" applyFont="1" applyFill="1" applyBorder="1" applyAlignment="1">
      <alignment horizontal="center" vertical="center"/>
    </xf>
    <xf numFmtId="0" fontId="42" fillId="0" borderId="10" xfId="0" applyNumberFormat="1" applyFont="1" applyFill="1" applyBorder="1" applyAlignment="1">
      <alignment horizontal="center" vertical="center" wrapText="1"/>
    </xf>
    <xf numFmtId="4" fontId="26" fillId="6" borderId="7" xfId="0" applyNumberFormat="1" applyFont="1" applyFill="1" applyBorder="1" applyAlignment="1">
      <alignment horizontal="center" vertical="center" wrapText="1"/>
    </xf>
    <xf numFmtId="0" fontId="26" fillId="6" borderId="7" xfId="0" applyNumberFormat="1" applyFont="1" applyFill="1" applyBorder="1" applyAlignment="1">
      <alignment horizontal="center" vertical="center" wrapText="1"/>
    </xf>
    <xf numFmtId="0" fontId="42" fillId="6" borderId="10" xfId="0" applyNumberFormat="1" applyFont="1" applyFill="1" applyBorder="1" applyAlignment="1">
      <alignment horizontal="center" vertical="center"/>
    </xf>
    <xf numFmtId="4" fontId="20" fillId="0" borderId="12"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43" fillId="0" borderId="10" xfId="0" applyNumberFormat="1" applyFont="1" applyFill="1" applyBorder="1" applyAlignment="1">
      <alignment horizontal="center"/>
    </xf>
    <xf numFmtId="4" fontId="41" fillId="8" borderId="7" xfId="0" applyNumberFormat="1" applyFont="1" applyFill="1" applyBorder="1" applyAlignment="1">
      <alignment horizontal="right" vertical="center"/>
    </xf>
    <xf numFmtId="4" fontId="19" fillId="8" borderId="12" xfId="0" applyNumberFormat="1" applyFont="1" applyFill="1" applyBorder="1" applyAlignment="1">
      <alignment horizontal="center" vertical="center"/>
    </xf>
    <xf numFmtId="4" fontId="41" fillId="8" borderId="4" xfId="0" applyNumberFormat="1" applyFont="1" applyFill="1" applyBorder="1" applyAlignment="1">
      <alignment horizontal="right" vertical="center"/>
    </xf>
    <xf numFmtId="0" fontId="31" fillId="0" borderId="0" xfId="0" applyFont="1" applyFill="1" applyAlignment="1"/>
    <xf numFmtId="176" fontId="6" fillId="0" borderId="0" xfId="0" applyNumberFormat="1" applyFont="1" applyFill="1" applyAlignment="1">
      <alignment horizontal="center" vertical="center"/>
    </xf>
    <xf numFmtId="176" fontId="6" fillId="0" borderId="0" xfId="0" applyNumberFormat="1" applyFont="1" applyFill="1" applyAlignment="1">
      <alignment vertical="center"/>
    </xf>
    <xf numFmtId="0" fontId="32" fillId="0" borderId="20" xfId="0" applyFont="1" applyFill="1" applyBorder="1" applyAlignment="1">
      <alignment horizontal="center" vertical="center" wrapText="1"/>
    </xf>
    <xf numFmtId="0" fontId="44" fillId="0" borderId="0" xfId="0" applyFont="1" applyFill="1" applyAlignment="1">
      <alignment horizontal="center" vertical="center"/>
    </xf>
    <xf numFmtId="0" fontId="44" fillId="7" borderId="0" xfId="0" applyFont="1" applyFill="1" applyAlignment="1">
      <alignment horizontal="center" vertical="center"/>
    </xf>
    <xf numFmtId="0" fontId="44" fillId="0" borderId="0" xfId="0" applyFont="1" applyFill="1" applyAlignment="1">
      <alignment horizontal="center" vertical="center" wrapText="1"/>
    </xf>
    <xf numFmtId="0" fontId="44" fillId="6" borderId="0" xfId="0" applyFont="1" applyFill="1" applyAlignment="1">
      <alignment horizontal="center" vertical="center"/>
    </xf>
    <xf numFmtId="0" fontId="6" fillId="9" borderId="0" xfId="0" applyFont="1" applyFill="1" applyAlignment="1">
      <alignment vertical="center"/>
    </xf>
    <xf numFmtId="0" fontId="45" fillId="9" borderId="0" xfId="472" applyFont="1" applyFill="1" applyBorder="1" applyAlignment="1">
      <alignment horizontal="center" vertical="center"/>
    </xf>
    <xf numFmtId="0" fontId="46" fillId="9" borderId="0" xfId="472" applyNumberFormat="1" applyFont="1" applyFill="1" applyBorder="1" applyAlignment="1" applyProtection="1">
      <alignment horizontal="center" vertical="center"/>
      <protection locked="0"/>
    </xf>
    <xf numFmtId="0" fontId="46" fillId="9" borderId="0" xfId="472" applyNumberFormat="1" applyFont="1" applyFill="1" applyBorder="1" applyAlignment="1" applyProtection="1">
      <alignment horizontal="left" vertical="center"/>
      <protection locked="0"/>
    </xf>
    <xf numFmtId="0" fontId="47" fillId="9" borderId="0" xfId="472" applyNumberFormat="1" applyFont="1" applyFill="1" applyBorder="1" applyAlignment="1" applyProtection="1">
      <alignment horizontal="center" vertical="center"/>
      <protection locked="0"/>
    </xf>
    <xf numFmtId="0" fontId="48" fillId="9" borderId="0" xfId="472" applyNumberFormat="1" applyFont="1" applyFill="1" applyBorder="1" applyAlignment="1" applyProtection="1">
      <alignment horizontal="left" vertical="center"/>
      <protection locked="0"/>
    </xf>
    <xf numFmtId="0" fontId="26" fillId="9" borderId="0" xfId="0" applyFont="1" applyFill="1" applyBorder="1" applyAlignment="1" applyProtection="1">
      <alignment horizontal="right" vertical="center"/>
      <protection locked="0"/>
    </xf>
    <xf numFmtId="49" fontId="49" fillId="9" borderId="0" xfId="474" applyNumberFormat="1" applyFont="1" applyFill="1" applyBorder="1" applyAlignment="1" applyProtection="1">
      <alignment horizontal="left" vertical="center"/>
      <protection locked="0"/>
    </xf>
    <xf numFmtId="0" fontId="44" fillId="9" borderId="0" xfId="0" applyFont="1" applyFill="1" applyBorder="1" applyAlignment="1" applyProtection="1">
      <alignment horizontal="left" vertical="center"/>
      <protection locked="0"/>
    </xf>
    <xf numFmtId="0" fontId="50" fillId="9" borderId="0" xfId="472" applyFont="1" applyFill="1" applyBorder="1" applyAlignment="1">
      <alignment horizontal="right" vertical="center"/>
    </xf>
    <xf numFmtId="14" fontId="51" fillId="9" borderId="0" xfId="0" applyNumberFormat="1" applyFont="1" applyFill="1" applyBorder="1" applyAlignment="1" applyProtection="1">
      <alignment horizontal="left" vertical="center"/>
      <protection locked="0"/>
    </xf>
    <xf numFmtId="0" fontId="51" fillId="9" borderId="0" xfId="0" applyFont="1" applyFill="1" applyBorder="1" applyAlignment="1" applyProtection="1">
      <alignment horizontal="right" vertical="center"/>
      <protection locked="0"/>
    </xf>
    <xf numFmtId="0" fontId="52" fillId="9" borderId="0" xfId="0" applyFont="1" applyFill="1" applyBorder="1" applyAlignment="1">
      <alignment horizontal="left" vertical="center"/>
    </xf>
    <xf numFmtId="0" fontId="52" fillId="9" borderId="0" xfId="0" applyFont="1" applyFill="1" applyAlignment="1">
      <alignment horizontal="left" vertical="center"/>
    </xf>
    <xf numFmtId="0" fontId="48" fillId="9" borderId="0" xfId="472" applyNumberFormat="1" applyFont="1" applyFill="1" applyBorder="1" applyAlignment="1" applyProtection="1">
      <alignment horizontal="center" vertical="center"/>
      <protection locked="0"/>
    </xf>
    <xf numFmtId="0" fontId="52" fillId="9" borderId="0" xfId="0" applyFont="1" applyFill="1" applyBorder="1" applyAlignment="1" applyProtection="1">
      <alignment horizontal="left" vertical="center"/>
      <protection locked="0"/>
    </xf>
    <xf numFmtId="0" fontId="53" fillId="9" borderId="0" xfId="472" applyNumberFormat="1" applyFont="1" applyFill="1" applyBorder="1" applyAlignment="1" applyProtection="1">
      <alignment horizontal="center" vertical="center"/>
      <protection locked="0"/>
    </xf>
    <xf numFmtId="184" fontId="51" fillId="9" borderId="0" xfId="474" applyNumberFormat="1" applyFont="1" applyFill="1" applyBorder="1" applyAlignment="1" applyProtection="1">
      <alignment horizontal="left" vertical="center"/>
      <protection locked="0"/>
    </xf>
    <xf numFmtId="0" fontId="54" fillId="9" borderId="21" xfId="0" applyFont="1" applyFill="1" applyBorder="1" applyAlignment="1" applyProtection="1">
      <alignment horizontal="center" vertical="center"/>
      <protection locked="0"/>
    </xf>
    <xf numFmtId="0" fontId="54" fillId="9" borderId="22" xfId="0" applyFont="1" applyFill="1" applyBorder="1" applyAlignment="1" applyProtection="1">
      <alignment horizontal="center" vertical="center"/>
      <protection locked="0"/>
    </xf>
    <xf numFmtId="0" fontId="13" fillId="9" borderId="23" xfId="473" applyNumberFormat="1" applyFont="1" applyFill="1" applyBorder="1" applyAlignment="1" applyProtection="1">
      <alignment horizontal="left" vertical="center"/>
      <protection locked="0"/>
    </xf>
    <xf numFmtId="0" fontId="13" fillId="9" borderId="6" xfId="473" applyNumberFormat="1" applyFont="1" applyFill="1" applyBorder="1" applyAlignment="1" applyProtection="1">
      <alignment horizontal="left" vertical="center"/>
      <protection locked="0"/>
    </xf>
    <xf numFmtId="43" fontId="55" fillId="9" borderId="8" xfId="0" applyNumberFormat="1" applyFont="1" applyFill="1" applyBorder="1" applyAlignment="1" applyProtection="1">
      <alignment horizontal="left" vertical="center" shrinkToFit="1"/>
    </xf>
    <xf numFmtId="43" fontId="55" fillId="9" borderId="9" xfId="0" applyNumberFormat="1" applyFont="1" applyFill="1" applyBorder="1" applyAlignment="1" applyProtection="1">
      <alignment horizontal="left" vertical="center" shrinkToFit="1"/>
    </xf>
    <xf numFmtId="43" fontId="55" fillId="9" borderId="24" xfId="0" applyNumberFormat="1" applyFont="1" applyFill="1" applyBorder="1" applyAlignment="1" applyProtection="1">
      <alignment horizontal="left" vertical="center" shrinkToFit="1"/>
    </xf>
    <xf numFmtId="0" fontId="13" fillId="9" borderId="25" xfId="473" applyNumberFormat="1" applyFont="1" applyFill="1" applyBorder="1" applyAlignment="1" applyProtection="1">
      <alignment horizontal="left" vertical="center"/>
      <protection locked="0"/>
    </xf>
    <xf numFmtId="0" fontId="13" fillId="9" borderId="26" xfId="473" applyNumberFormat="1" applyFont="1" applyFill="1" applyBorder="1" applyAlignment="1" applyProtection="1">
      <alignment horizontal="left" vertical="center"/>
      <protection locked="0"/>
    </xf>
    <xf numFmtId="178" fontId="55" fillId="9" borderId="27" xfId="0" applyNumberFormat="1" applyFont="1" applyFill="1" applyBorder="1" applyAlignment="1" applyProtection="1">
      <alignment horizontal="right" vertical="center" shrinkToFit="1"/>
    </xf>
    <xf numFmtId="178" fontId="55" fillId="9" borderId="28" xfId="0" applyNumberFormat="1" applyFont="1" applyFill="1" applyBorder="1" applyAlignment="1" applyProtection="1">
      <alignment horizontal="right" vertical="center" shrinkToFit="1"/>
    </xf>
    <xf numFmtId="178" fontId="55" fillId="9" borderId="29" xfId="0" applyNumberFormat="1" applyFont="1" applyFill="1" applyBorder="1" applyAlignment="1" applyProtection="1">
      <alignment horizontal="right" vertical="center" shrinkToFit="1"/>
    </xf>
    <xf numFmtId="0" fontId="25" fillId="9" borderId="23" xfId="474" applyNumberFormat="1" applyFont="1" applyFill="1" applyBorder="1" applyAlignment="1" applyProtection="1">
      <alignment horizontal="left" vertical="center"/>
      <protection locked="0"/>
    </xf>
    <xf numFmtId="0" fontId="25" fillId="9" borderId="6" xfId="474" applyNumberFormat="1" applyFont="1" applyFill="1" applyBorder="1" applyAlignment="1" applyProtection="1">
      <alignment horizontal="left" vertical="center"/>
      <protection locked="0"/>
    </xf>
    <xf numFmtId="43" fontId="56" fillId="9" borderId="6" xfId="0" applyNumberFormat="1" applyFont="1" applyFill="1" applyBorder="1" applyAlignment="1" applyProtection="1">
      <alignment horizontal="left" vertical="center" shrinkToFit="1"/>
    </xf>
    <xf numFmtId="0" fontId="25" fillId="9" borderId="30" xfId="474" applyNumberFormat="1" applyFont="1" applyFill="1" applyBorder="1" applyAlignment="1" applyProtection="1">
      <alignment horizontal="left" vertical="center"/>
      <protection locked="0"/>
    </xf>
    <xf numFmtId="0" fontId="25" fillId="9" borderId="31" xfId="474" applyNumberFormat="1" applyFont="1" applyFill="1" applyBorder="1" applyAlignment="1" applyProtection="1">
      <alignment horizontal="left" vertical="center"/>
      <protection locked="0"/>
    </xf>
    <xf numFmtId="0" fontId="25" fillId="9" borderId="32" xfId="474" applyNumberFormat="1" applyFont="1" applyFill="1" applyBorder="1" applyAlignment="1" applyProtection="1">
      <alignment horizontal="left" vertical="center"/>
      <protection locked="0"/>
    </xf>
    <xf numFmtId="43" fontId="56" fillId="9" borderId="33" xfId="0" applyNumberFormat="1" applyFont="1" applyFill="1" applyBorder="1" applyAlignment="1" applyProtection="1">
      <alignment horizontal="left" vertical="center" shrinkToFit="1"/>
      <protection locked="0"/>
    </xf>
    <xf numFmtId="0" fontId="14" fillId="9" borderId="34" xfId="163" applyFont="1" applyFill="1" applyBorder="1" applyAlignment="1">
      <alignment vertical="center"/>
    </xf>
    <xf numFmtId="0" fontId="14" fillId="9" borderId="7" xfId="163" applyFont="1" applyFill="1" applyBorder="1" applyAlignment="1">
      <alignment vertical="center"/>
    </xf>
    <xf numFmtId="43" fontId="56" fillId="9" borderId="7" xfId="0" applyNumberFormat="1" applyFont="1" applyFill="1" applyBorder="1" applyAlignment="1" applyProtection="1">
      <alignment horizontal="left" vertical="center" shrinkToFit="1"/>
      <protection locked="0"/>
    </xf>
    <xf numFmtId="0" fontId="14" fillId="9" borderId="8" xfId="163" applyFont="1" applyFill="1" applyBorder="1" applyAlignment="1">
      <alignment horizontal="left" vertical="center"/>
    </xf>
    <xf numFmtId="0" fontId="14" fillId="9" borderId="9" xfId="163" applyFont="1" applyFill="1" applyBorder="1" applyAlignment="1">
      <alignment horizontal="left" vertical="center"/>
    </xf>
    <xf numFmtId="0" fontId="14" fillId="9" borderId="10" xfId="163" applyFont="1" applyFill="1" applyBorder="1" applyAlignment="1">
      <alignment horizontal="left" vertical="center"/>
    </xf>
    <xf numFmtId="43" fontId="56" fillId="9" borderId="35" xfId="0" applyNumberFormat="1" applyFont="1" applyFill="1" applyBorder="1" applyAlignment="1" applyProtection="1">
      <alignment horizontal="left" vertical="center" shrinkToFit="1"/>
      <protection locked="0"/>
    </xf>
    <xf numFmtId="0" fontId="14" fillId="9" borderId="36" xfId="163" applyFont="1" applyFill="1" applyBorder="1" applyAlignment="1">
      <alignment vertical="center"/>
    </xf>
    <xf numFmtId="0" fontId="14" fillId="9" borderId="37" xfId="163" applyFont="1" applyFill="1" applyBorder="1" applyAlignment="1">
      <alignment vertical="center"/>
    </xf>
    <xf numFmtId="43" fontId="56" fillId="9" borderId="37" xfId="474" applyNumberFormat="1" applyFont="1" applyFill="1" applyBorder="1" applyAlignment="1" applyProtection="1">
      <alignment horizontal="left" vertical="center" shrinkToFit="1"/>
      <protection locked="0"/>
    </xf>
    <xf numFmtId="177" fontId="25" fillId="9" borderId="38" xfId="474" applyNumberFormat="1" applyFont="1" applyFill="1" applyBorder="1" applyAlignment="1" applyProtection="1">
      <alignment horizontal="left" vertical="center"/>
      <protection locked="0"/>
    </xf>
    <xf numFmtId="177" fontId="25" fillId="9" borderId="39" xfId="474" applyNumberFormat="1" applyFont="1" applyFill="1" applyBorder="1" applyAlignment="1" applyProtection="1">
      <alignment horizontal="left" vertical="center"/>
      <protection locked="0"/>
    </xf>
    <xf numFmtId="177" fontId="25" fillId="9" borderId="40" xfId="474" applyNumberFormat="1" applyFont="1" applyFill="1" applyBorder="1" applyAlignment="1" applyProtection="1">
      <alignment horizontal="left" vertical="center"/>
      <protection locked="0"/>
    </xf>
    <xf numFmtId="43" fontId="56" fillId="9" borderId="41" xfId="474" applyNumberFormat="1" applyFont="1" applyFill="1" applyBorder="1" applyAlignment="1" applyProtection="1">
      <alignment horizontal="left" vertical="center" shrinkToFit="1"/>
      <protection locked="0"/>
    </xf>
    <xf numFmtId="185" fontId="57" fillId="9" borderId="0" xfId="474" applyNumberFormat="1" applyFont="1" applyFill="1" applyBorder="1" applyAlignment="1" applyProtection="1">
      <alignment horizontal="left" vertical="center"/>
      <protection locked="0"/>
    </xf>
    <xf numFmtId="0" fontId="58" fillId="0" borderId="21" xfId="403" applyFont="1" applyFill="1" applyBorder="1" applyAlignment="1">
      <alignment horizontal="center" vertical="center" wrapText="1"/>
    </xf>
    <xf numFmtId="0" fontId="58" fillId="0" borderId="42" xfId="403" applyFont="1" applyFill="1" applyBorder="1" applyAlignment="1">
      <alignment horizontal="center" vertical="center" wrapText="1"/>
    </xf>
    <xf numFmtId="183" fontId="58" fillId="0" borderId="42" xfId="403" applyNumberFormat="1" applyFont="1" applyFill="1" applyBorder="1" applyAlignment="1">
      <alignment horizontal="center" vertical="center" wrapText="1"/>
    </xf>
    <xf numFmtId="186" fontId="58" fillId="0" borderId="42" xfId="403" applyNumberFormat="1" applyFont="1" applyFill="1" applyBorder="1" applyAlignment="1">
      <alignment horizontal="center" vertical="center" wrapText="1"/>
    </xf>
    <xf numFmtId="0" fontId="58" fillId="0" borderId="43" xfId="403" applyFont="1" applyFill="1" applyBorder="1" applyAlignment="1">
      <alignment horizontal="center" vertical="center" wrapText="1"/>
    </xf>
    <xf numFmtId="0" fontId="42" fillId="0" borderId="34" xfId="403" applyFont="1" applyFill="1" applyBorder="1" applyAlignment="1">
      <alignment horizontal="center" vertical="center"/>
    </xf>
    <xf numFmtId="0" fontId="42" fillId="0" borderId="7" xfId="403" applyFont="1" applyFill="1" applyBorder="1" applyAlignment="1">
      <alignment horizontal="center" vertical="center"/>
    </xf>
    <xf numFmtId="43" fontId="42" fillId="0" borderId="7" xfId="403" applyNumberFormat="1" applyFont="1" applyFill="1" applyBorder="1" applyAlignment="1">
      <alignment horizontal="left" vertical="center"/>
    </xf>
    <xf numFmtId="183" fontId="42" fillId="0" borderId="7" xfId="403" applyNumberFormat="1" applyFont="1" applyFill="1" applyBorder="1" applyAlignment="1">
      <alignment horizontal="center" vertical="center"/>
    </xf>
    <xf numFmtId="186" fontId="42" fillId="0" borderId="7" xfId="403" applyNumberFormat="1" applyFont="1" applyFill="1" applyBorder="1" applyAlignment="1">
      <alignment horizontal="right" vertical="center"/>
    </xf>
    <xf numFmtId="0" fontId="42" fillId="0" borderId="35" xfId="403" applyFont="1" applyFill="1" applyBorder="1" applyAlignment="1">
      <alignment horizontal="left" vertical="center"/>
    </xf>
    <xf numFmtId="43" fontId="42" fillId="0" borderId="7" xfId="403" applyNumberFormat="1" applyFont="1" applyFill="1" applyBorder="1" applyAlignment="1">
      <alignment vertical="center"/>
    </xf>
    <xf numFmtId="43" fontId="42" fillId="0" borderId="7" xfId="403" applyNumberFormat="1" applyFont="1" applyFill="1" applyBorder="1" applyAlignment="1">
      <alignment horizontal="center" vertical="center"/>
    </xf>
    <xf numFmtId="0" fontId="42" fillId="0" borderId="35" xfId="403" applyFont="1" applyFill="1" applyBorder="1" applyAlignment="1">
      <alignment vertical="center" wrapText="1"/>
    </xf>
    <xf numFmtId="43" fontId="59" fillId="0" borderId="7" xfId="403" applyNumberFormat="1" applyFont="1" applyFill="1" applyBorder="1" applyAlignment="1">
      <alignment horizontal="center" vertical="center"/>
    </xf>
    <xf numFmtId="186" fontId="59" fillId="0" borderId="7" xfId="403" applyNumberFormat="1" applyFont="1" applyFill="1" applyBorder="1" applyAlignment="1">
      <alignment horizontal="right" vertical="center"/>
    </xf>
    <xf numFmtId="0" fontId="42" fillId="0" borderId="35" xfId="403" applyFont="1" applyFill="1" applyBorder="1" applyAlignment="1">
      <alignment vertical="center"/>
    </xf>
    <xf numFmtId="0" fontId="42" fillId="0" borderId="7" xfId="403" applyFont="1" applyFill="1" applyBorder="1" applyAlignment="1">
      <alignment horizontal="center" vertical="center" wrapText="1"/>
    </xf>
    <xf numFmtId="10" fontId="59" fillId="0" borderId="7" xfId="403" applyNumberFormat="1" applyFont="1" applyFill="1" applyBorder="1" applyAlignment="1">
      <alignment horizontal="center" vertical="center"/>
    </xf>
    <xf numFmtId="0" fontId="60" fillId="10" borderId="34" xfId="403" applyFont="1" applyFill="1" applyBorder="1" applyAlignment="1">
      <alignment horizontal="center" vertical="center"/>
    </xf>
    <xf numFmtId="0" fontId="60" fillId="10" borderId="7" xfId="403" applyFont="1" applyFill="1" applyBorder="1" applyAlignment="1">
      <alignment horizontal="center" vertical="center"/>
    </xf>
    <xf numFmtId="186" fontId="60" fillId="10" borderId="7" xfId="403" applyNumberFormat="1" applyFont="1" applyFill="1" applyBorder="1" applyAlignment="1">
      <alignment vertical="center"/>
    </xf>
    <xf numFmtId="0" fontId="42" fillId="10" borderId="35" xfId="403" applyFont="1" applyFill="1" applyBorder="1" applyAlignment="1">
      <alignment horizontal="left" vertical="center"/>
    </xf>
    <xf numFmtId="0" fontId="60" fillId="10" borderId="36" xfId="403" applyFont="1" applyFill="1" applyBorder="1" applyAlignment="1">
      <alignment horizontal="center" vertical="center"/>
    </xf>
    <xf numFmtId="0" fontId="60" fillId="10" borderId="37" xfId="403" applyFont="1" applyFill="1" applyBorder="1" applyAlignment="1">
      <alignment horizontal="center" vertical="center"/>
    </xf>
    <xf numFmtId="186" fontId="60" fillId="10" borderId="37" xfId="403" applyNumberFormat="1" applyFont="1" applyFill="1" applyBorder="1" applyAlignment="1">
      <alignment vertical="center"/>
    </xf>
    <xf numFmtId="0" fontId="42" fillId="10" borderId="41" xfId="403" applyFont="1" applyFill="1" applyBorder="1" applyAlignment="1">
      <alignment horizontal="left" vertical="center"/>
    </xf>
    <xf numFmtId="184" fontId="51" fillId="9" borderId="0" xfId="474" applyNumberFormat="1" applyFont="1" applyFill="1" applyBorder="1" applyAlignment="1" applyProtection="1">
      <alignment horizontal="right" vertical="center"/>
      <protection locked="0"/>
    </xf>
    <xf numFmtId="0" fontId="20" fillId="9" borderId="0" xfId="472" applyFont="1" applyFill="1" applyBorder="1" applyAlignment="1">
      <alignment horizontal="right" vertical="center"/>
    </xf>
    <xf numFmtId="14" fontId="49" fillId="9" borderId="0" xfId="0" applyNumberFormat="1" applyFont="1" applyFill="1" applyBorder="1" applyAlignment="1" applyProtection="1">
      <alignment horizontal="left" vertical="center"/>
      <protection locked="0"/>
    </xf>
    <xf numFmtId="0" fontId="61" fillId="9" borderId="0" xfId="472" applyNumberFormat="1" applyFont="1" applyFill="1" applyBorder="1" applyAlignment="1" applyProtection="1">
      <alignment horizontal="right" vertical="center"/>
      <protection locked="0"/>
    </xf>
    <xf numFmtId="0" fontId="62" fillId="9" borderId="0" xfId="472" applyNumberFormat="1" applyFont="1" applyFill="1" applyBorder="1" applyAlignment="1" applyProtection="1">
      <alignment horizontal="left" vertical="center"/>
      <protection locked="0"/>
    </xf>
    <xf numFmtId="0" fontId="63" fillId="9" borderId="0" xfId="472" applyNumberFormat="1" applyFont="1" applyFill="1" applyBorder="1" applyAlignment="1" applyProtection="1">
      <alignment horizontal="right" vertical="center"/>
      <protection locked="0"/>
    </xf>
    <xf numFmtId="0" fontId="64" fillId="9" borderId="0" xfId="472" applyNumberFormat="1" applyFont="1" applyFill="1" applyBorder="1" applyAlignment="1" applyProtection="1">
      <alignment horizontal="left" vertical="center"/>
      <protection locked="0"/>
    </xf>
    <xf numFmtId="0" fontId="65" fillId="9" borderId="0" xfId="472" applyNumberFormat="1" applyFont="1" applyFill="1" applyBorder="1" applyAlignment="1" applyProtection="1">
      <alignment horizontal="left" vertical="center"/>
      <protection locked="0"/>
    </xf>
    <xf numFmtId="0" fontId="66" fillId="9" borderId="0" xfId="472" applyNumberFormat="1" applyFont="1" applyFill="1" applyBorder="1" applyAlignment="1" applyProtection="1">
      <alignment horizontal="left" vertical="center"/>
      <protection locked="0"/>
    </xf>
    <xf numFmtId="0" fontId="67" fillId="9" borderId="0" xfId="472" applyNumberFormat="1" applyFont="1" applyFill="1" applyBorder="1" applyAlignment="1" applyProtection="1">
      <alignment horizontal="left" vertical="center"/>
      <protection locked="0"/>
    </xf>
    <xf numFmtId="0" fontId="52" fillId="9" borderId="0" xfId="144" applyFont="1" applyFill="1" applyBorder="1" applyAlignment="1">
      <alignment horizontal="left" vertical="center"/>
    </xf>
    <xf numFmtId="0" fontId="52" fillId="9" borderId="0" xfId="144" applyFont="1" applyFill="1" applyAlignment="1">
      <alignment horizontal="left" vertical="center"/>
    </xf>
    <xf numFmtId="0" fontId="66" fillId="9" borderId="0" xfId="472" applyNumberFormat="1" applyFont="1" applyFill="1" applyBorder="1" applyAlignment="1" applyProtection="1">
      <alignment horizontal="right" vertical="center"/>
      <protection locked="0"/>
    </xf>
    <xf numFmtId="0" fontId="52" fillId="9" borderId="0" xfId="144" applyFont="1" applyFill="1" applyBorder="1" applyAlignment="1">
      <alignment horizontal="left" vertical="center" wrapText="1"/>
    </xf>
    <xf numFmtId="0" fontId="52" fillId="9" borderId="0" xfId="144" applyFont="1" applyFill="1" applyAlignment="1">
      <alignment horizontal="left" vertical="center" wrapText="1"/>
    </xf>
    <xf numFmtId="49" fontId="68" fillId="9" borderId="0" xfId="472" applyNumberFormat="1" applyFont="1" applyFill="1" applyBorder="1" applyAlignment="1" applyProtection="1">
      <alignment horizontal="left" vertical="center"/>
      <protection locked="0"/>
    </xf>
    <xf numFmtId="0" fontId="69" fillId="9" borderId="0" xfId="0" applyFont="1" applyFill="1" applyBorder="1" applyAlignment="1">
      <alignment horizontal="left" vertical="center"/>
    </xf>
    <xf numFmtId="0" fontId="70" fillId="9" borderId="0" xfId="0" applyFont="1" applyFill="1" applyAlignment="1">
      <alignment vertical="center"/>
    </xf>
    <xf numFmtId="49" fontId="57" fillId="9" borderId="0" xfId="474" applyNumberFormat="1" applyFont="1" applyFill="1" applyBorder="1" applyAlignment="1" applyProtection="1">
      <alignment horizontal="left" vertical="center"/>
      <protection locked="0"/>
    </xf>
    <xf numFmtId="49" fontId="50" fillId="9" borderId="0" xfId="472" applyNumberFormat="1" applyFont="1" applyFill="1" applyBorder="1" applyAlignment="1" applyProtection="1">
      <alignment horizontal="left" vertical="center"/>
      <protection locked="0"/>
    </xf>
    <xf numFmtId="49" fontId="20" fillId="9" borderId="0" xfId="472" applyNumberFormat="1" applyFont="1" applyFill="1" applyBorder="1" applyAlignment="1" applyProtection="1">
      <alignment horizontal="left" vertical="center"/>
      <protection locked="0"/>
    </xf>
    <xf numFmtId="49" fontId="51" fillId="9" borderId="0" xfId="474" applyNumberFormat="1" applyFont="1" applyFill="1" applyBorder="1" applyAlignment="1" applyProtection="1">
      <alignment horizontal="left" vertical="center"/>
      <protection locked="0"/>
    </xf>
    <xf numFmtId="49" fontId="26" fillId="9" borderId="0" xfId="474" applyNumberFormat="1" applyFont="1" applyFill="1" applyBorder="1" applyAlignment="1" applyProtection="1">
      <alignment horizontal="left" vertical="center"/>
      <protection locked="0"/>
    </xf>
    <xf numFmtId="0" fontId="14" fillId="9" borderId="0" xfId="0" applyFont="1" applyFill="1" applyAlignment="1">
      <alignment horizontal="left" vertical="center" wrapText="1"/>
    </xf>
    <xf numFmtId="0" fontId="27" fillId="0" borderId="0" xfId="0" applyFont="1" applyFill="1" applyAlignment="1">
      <alignment vertical="center"/>
    </xf>
    <xf numFmtId="0" fontId="71" fillId="0" borderId="0" xfId="0" applyFont="1" applyFill="1" applyAlignment="1">
      <alignment vertical="center"/>
    </xf>
    <xf numFmtId="0" fontId="32" fillId="0" borderId="7" xfId="0" applyFont="1" applyFill="1" applyBorder="1" applyAlignment="1">
      <alignment horizontal="center"/>
    </xf>
    <xf numFmtId="49" fontId="32" fillId="0" borderId="7" xfId="0" applyNumberFormat="1" applyFont="1" applyFill="1" applyBorder="1" applyAlignment="1">
      <alignment horizontal="center"/>
    </xf>
    <xf numFmtId="0" fontId="72" fillId="0" borderId="7" xfId="0" applyFont="1" applyFill="1" applyBorder="1" applyAlignment="1">
      <alignment horizontal="center"/>
    </xf>
    <xf numFmtId="49" fontId="72" fillId="0" borderId="7" xfId="0" applyNumberFormat="1" applyFont="1" applyFill="1" applyBorder="1" applyAlignment="1">
      <alignment horizontal="center" vertical="center"/>
    </xf>
    <xf numFmtId="0" fontId="73" fillId="0" borderId="7" xfId="0" applyFont="1" applyFill="1" applyBorder="1" applyAlignment="1" applyProtection="1">
      <alignment horizontal="center" vertical="center"/>
      <protection locked="0"/>
    </xf>
    <xf numFmtId="49" fontId="72" fillId="0" borderId="7" xfId="0" applyNumberFormat="1" applyFont="1" applyFill="1" applyBorder="1" applyAlignment="1">
      <alignment horizontal="center"/>
    </xf>
    <xf numFmtId="0" fontId="74" fillId="0" borderId="7" xfId="0" applyFont="1" applyFill="1" applyBorder="1" applyAlignment="1">
      <alignment horizontal="center" vertical="center"/>
    </xf>
    <xf numFmtId="49" fontId="75" fillId="0" borderId="7" xfId="0" applyNumberFormat="1" applyFont="1" applyFill="1" applyBorder="1" applyAlignment="1">
      <alignment horizontal="center" vertical="center"/>
    </xf>
    <xf numFmtId="0" fontId="72" fillId="3" borderId="7" xfId="0" applyFont="1" applyFill="1" applyBorder="1" applyAlignment="1">
      <alignment horizontal="center"/>
    </xf>
    <xf numFmtId="0" fontId="27" fillId="0" borderId="7" xfId="0" applyFont="1" applyFill="1" applyBorder="1" applyAlignment="1">
      <alignment vertical="center"/>
    </xf>
    <xf numFmtId="0" fontId="71" fillId="0" borderId="7" xfId="0" applyFont="1" applyFill="1" applyBorder="1" applyAlignment="1">
      <alignment vertical="center"/>
    </xf>
    <xf numFmtId="179" fontId="39" fillId="0" borderId="7" xfId="0" applyNumberFormat="1" applyFont="1" applyFill="1" applyBorder="1" applyAlignment="1">
      <alignment horizontal="left" vertical="center"/>
    </xf>
    <xf numFmtId="0" fontId="32" fillId="0" borderId="7" xfId="0" applyNumberFormat="1" applyFont="1" applyFill="1" applyBorder="1" applyAlignment="1">
      <alignment horizontal="center"/>
    </xf>
    <xf numFmtId="179" fontId="76" fillId="0" borderId="7" xfId="0" applyNumberFormat="1" applyFont="1" applyFill="1" applyBorder="1" applyAlignment="1">
      <alignment horizontal="left" vertical="center"/>
    </xf>
    <xf numFmtId="0" fontId="72" fillId="0" borderId="7" xfId="0" applyNumberFormat="1" applyFont="1" applyFill="1" applyBorder="1" applyAlignment="1">
      <alignment horizontal="center"/>
    </xf>
    <xf numFmtId="49" fontId="42" fillId="0" borderId="10" xfId="0" applyNumberFormat="1" applyFont="1" applyFill="1" applyBorder="1" applyAlignment="1">
      <alignment horizontal="center"/>
    </xf>
    <xf numFmtId="4" fontId="77" fillId="0" borderId="7" xfId="0" applyNumberFormat="1" applyFont="1" applyFill="1" applyBorder="1" applyAlignment="1">
      <alignment horizontal="center" vertical="center" wrapText="1"/>
    </xf>
    <xf numFmtId="0" fontId="77" fillId="0" borderId="7" xfId="0" applyNumberFormat="1" applyFont="1" applyFill="1" applyBorder="1" applyAlignment="1">
      <alignment horizontal="center" vertical="center" wrapText="1"/>
    </xf>
    <xf numFmtId="49" fontId="78" fillId="0" borderId="10" xfId="0" applyNumberFormat="1" applyFont="1" applyFill="1" applyBorder="1" applyAlignment="1">
      <alignment horizontal="center"/>
    </xf>
    <xf numFmtId="0" fontId="32" fillId="0" borderId="20" xfId="0" applyFont="1" applyFill="1" applyBorder="1" applyAlignment="1">
      <alignment horizontal="center"/>
    </xf>
    <xf numFmtId="0" fontId="32" fillId="0" borderId="44" xfId="0" applyFont="1" applyFill="1" applyBorder="1" applyAlignment="1">
      <alignment horizontal="center"/>
    </xf>
    <xf numFmtId="49" fontId="32" fillId="0" borderId="44" xfId="0" applyNumberFormat="1" applyFont="1" applyFill="1" applyBorder="1" applyAlignment="1">
      <alignment horizontal="center" vertical="center"/>
    </xf>
    <xf numFmtId="0" fontId="44" fillId="0" borderId="0" xfId="0" applyFont="1" applyFill="1" applyAlignment="1">
      <alignment vertical="center"/>
    </xf>
    <xf numFmtId="0" fontId="79" fillId="0" borderId="0" xfId="0" applyFont="1" applyFill="1" applyAlignment="1">
      <alignment vertical="center"/>
    </xf>
    <xf numFmtId="49" fontId="34" fillId="0" borderId="7" xfId="0" applyNumberFormat="1" applyFont="1" applyFill="1" applyBorder="1" applyAlignment="1" quotePrefix="1">
      <alignment horizontal="center" vertical="center"/>
    </xf>
    <xf numFmtId="49" fontId="75" fillId="0" borderId="7" xfId="0" applyNumberFormat="1" applyFont="1" applyFill="1" applyBorder="1" applyAlignment="1" quotePrefix="1">
      <alignment horizontal="center" vertical="center"/>
    </xf>
    <xf numFmtId="0" fontId="15" fillId="0" borderId="7" xfId="311" applyFont="1" applyFill="1" applyBorder="1" applyAlignment="1" quotePrefix="1">
      <alignment horizontal="center" vertical="center" wrapText="1"/>
    </xf>
    <xf numFmtId="0" fontId="26" fillId="0" borderId="0" xfId="0" applyNumberFormat="1" applyFont="1" applyFill="1" applyBorder="1" applyAlignment="1" quotePrefix="1">
      <alignment horizontal="left" vertical="center"/>
    </xf>
  </cellXfs>
  <cellStyles count="494">
    <cellStyle name="常规" xfId="0" builtinId="0"/>
    <cellStyle name="货币[0]" xfId="1" builtinId="7"/>
    <cellStyle name="链接单元格 3 2" xfId="2"/>
    <cellStyle name="20% - 强调文字颜色 1 2" xfId="3"/>
    <cellStyle name="强调文字颜色 2 5" xfId="4"/>
    <cellStyle name="汇总 4 2" xfId="5"/>
    <cellStyle name="_ET_STYLE_NoName_-01_ 3 3 3 2" xfId="6"/>
    <cellStyle name="20% - 强调文字颜色 3" xfId="7" builtinId="38"/>
    <cellStyle name="输出 3" xfId="8"/>
    <cellStyle name="链接单元格 5" xfId="9"/>
    <cellStyle name="输入" xfId="10" builtinId="20"/>
    <cellStyle name="强调文字颜色 2 3 2" xfId="11"/>
    <cellStyle name="货币" xfId="12" builtinId="4"/>
    <cellStyle name="千位分隔[0]" xfId="13" builtinId="6"/>
    <cellStyle name="常规 3 4 3" xfId="14"/>
    <cellStyle name="40% - 强调文字颜色 3" xfId="15" builtinId="39"/>
    <cellStyle name="计算 2" xfId="16"/>
    <cellStyle name="千位分隔" xfId="17" builtinId="3"/>
    <cellStyle name="常规 7 3" xfId="18"/>
    <cellStyle name="差" xfId="19" builtinId="27"/>
    <cellStyle name="超链接" xfId="20" builtinId="8"/>
    <cellStyle name="60% - 强调文字颜色 6 3 2" xfId="21"/>
    <cellStyle name="60% - 强调文字颜色 3" xfId="22" builtinId="40"/>
    <cellStyle name="百分比" xfId="23" builtinId="5"/>
    <cellStyle name="已访问的超链接" xfId="24" builtinId="9"/>
    <cellStyle name="注释" xfId="25" builtinId="10"/>
    <cellStyle name="常规 6" xfId="26"/>
    <cellStyle name="60% - 强调文字颜色 2 3" xfId="27"/>
    <cellStyle name="20% - 强调文字颜色 4 5" xfId="28"/>
    <cellStyle name="60% - 强调文字颜色 2" xfId="29" builtinId="36"/>
    <cellStyle name="解释性文本 2 2" xfId="30"/>
    <cellStyle name="标题 4" xfId="31" builtinId="19"/>
    <cellStyle name="注释 5" xfId="32"/>
    <cellStyle name="警告文本" xfId="33" builtinId="11"/>
    <cellStyle name="强调文字颜色 1 2 3" xfId="34"/>
    <cellStyle name="常规 5 2" xfId="35"/>
    <cellStyle name="60% - 强调文字颜色 2 2 2" xfId="36"/>
    <cellStyle name="标题" xfId="37" builtinId="15"/>
    <cellStyle name="解释性文本" xfId="38" builtinId="53"/>
    <cellStyle name="百分比 4" xfId="39"/>
    <cellStyle name="标题 1" xfId="40" builtinId="16"/>
    <cellStyle name="0,0_x000d__x000a_NA_x000d__x000a_" xfId="41"/>
    <cellStyle name="标题 2" xfId="42" builtinId="17"/>
    <cellStyle name="60% - 强调文字颜色 1" xfId="43" builtinId="32"/>
    <cellStyle name="标题 3" xfId="44" builtinId="18"/>
    <cellStyle name="注释 3 2 2" xfId="45"/>
    <cellStyle name="60% - 强调文字颜色 4" xfId="46" builtinId="44"/>
    <cellStyle name="输出 2 4 2" xfId="47"/>
    <cellStyle name="输出" xfId="48" builtinId="21"/>
    <cellStyle name="计算" xfId="49" builtinId="22"/>
    <cellStyle name="计算 3 2" xfId="50"/>
    <cellStyle name="40% - 强调文字颜色 4 2" xfId="51"/>
    <cellStyle name="检查单元格" xfId="52" builtinId="23"/>
    <cellStyle name="常规 8 3" xfId="53"/>
    <cellStyle name="20% - 强调文字颜色 6" xfId="54" builtinId="50"/>
    <cellStyle name="强调文字颜色 2" xfId="55" builtinId="33"/>
    <cellStyle name="注释 2 3" xfId="56"/>
    <cellStyle name="链接单元格" xfId="57" builtinId="24"/>
    <cellStyle name="60% - 强调文字颜色 4 2 3" xfId="58"/>
    <cellStyle name="40% - 强调文字颜色 6 5" xfId="59"/>
    <cellStyle name="汇总" xfId="60" builtinId="25"/>
    <cellStyle name="好" xfId="61" builtinId="26"/>
    <cellStyle name="输出 3 3" xfId="62"/>
    <cellStyle name="20% - 强调文字颜色 3 3" xfId="63"/>
    <cellStyle name="适中" xfId="64" builtinId="28"/>
    <cellStyle name="输出 5" xfId="65"/>
    <cellStyle name="常规 8 2" xfId="66"/>
    <cellStyle name="20% - 强调文字颜色 5" xfId="67" builtinId="46"/>
    <cellStyle name="检查单元格 3 2" xfId="68"/>
    <cellStyle name=" 3]_x000d__x000a_Zoomed=1_x000d__x000a_Row=128_x000d__x000a_Column=101_x000d__x000a_Height=300_x000d__x000a_Width=301_x000d__x000a_FontName=System_x000d__x000a_FontStyle=1_x000d__x000a_FontSize=12_x000d__x000a_PrtFontNa" xfId="69"/>
    <cellStyle name="强调文字颜色 1" xfId="70" builtinId="29"/>
    <cellStyle name="注释 2 3 3" xfId="71"/>
    <cellStyle name="链接单元格 3" xfId="72"/>
    <cellStyle name="20% - 强调文字颜色 1" xfId="73" builtinId="30"/>
    <cellStyle name="汇总 3 3" xfId="74"/>
    <cellStyle name="40% - 强调文字颜色 4 3 2" xfId="75"/>
    <cellStyle name="??&amp;O龡&amp;H?_x0008_??_x0007__x0001__x0001_" xfId="76"/>
    <cellStyle name="40% - 强调文字颜色 1" xfId="77" builtinId="31"/>
    <cellStyle name="输出 2" xfId="78"/>
    <cellStyle name="链接单元格 4" xfId="79"/>
    <cellStyle name="20% - 强调文字颜色 2" xfId="80" builtinId="34"/>
    <cellStyle name="40% - 强调文字颜色 2" xfId="81" builtinId="35"/>
    <cellStyle name="强调文字颜色 3" xfId="82" builtinId="37"/>
    <cellStyle name="强调文字颜色 4" xfId="83" builtinId="41"/>
    <cellStyle name="输出 4" xfId="84"/>
    <cellStyle name="汇总 3 2 2" xfId="85"/>
    <cellStyle name="20% - 强调文字颜色 4" xfId="86" builtinId="42"/>
    <cellStyle name="计算 3" xfId="87"/>
    <cellStyle name="40% - 强调文字颜色 4" xfId="88" builtinId="43"/>
    <cellStyle name="强调文字颜色 5" xfId="89" builtinId="45"/>
    <cellStyle name="计算 4" xfId="90"/>
    <cellStyle name="40% - 强调文字颜色 5" xfId="91" builtinId="47"/>
    <cellStyle name="注释 3 2 3" xfId="92"/>
    <cellStyle name="60% - 强调文字颜色 5" xfId="93" builtinId="48"/>
    <cellStyle name="强调文字颜色 6" xfId="94" builtinId="49"/>
    <cellStyle name="输出 3 3 2" xfId="95"/>
    <cellStyle name="适中 2" xfId="96"/>
    <cellStyle name="计算 5" xfId="97"/>
    <cellStyle name="20% - 强调文字颜色 3 3 2" xfId="98"/>
    <cellStyle name="40% - 强调文字颜色 6" xfId="99" builtinId="51"/>
    <cellStyle name="60% - 强调文字颜色 6" xfId="100" builtinId="52"/>
    <cellStyle name="标题 4 2 2" xfId="101"/>
    <cellStyle name="_ET_STYLE_NoName_00_" xfId="102"/>
    <cellStyle name="40% - 强调文字颜色 2 2" xfId="103"/>
    <cellStyle name="_ET_STYLE_NoName_00__南区长促工资1004_5" xfId="104"/>
    <cellStyle name="20% - 强调文字颜色 1 2 3" xfId="105"/>
    <cellStyle name="20% - 强调文字颜色 1 4" xfId="106"/>
    <cellStyle name="20% - 强调文字颜色 1 3" xfId="107"/>
    <cellStyle name="差 2 3" xfId="108"/>
    <cellStyle name="??_x005f_x0011_?_x005f_x0010_?" xfId="109"/>
    <cellStyle name="_ET_STYLE_NoName_00__北区长促工资1004_3" xfId="110"/>
    <cellStyle name="20% - 强调文字颜色 1 3 2" xfId="111"/>
    <cellStyle name="强调文字颜色 5 5" xfId="112"/>
    <cellStyle name="0,0_x000a__x000a_NA_x000a__x000a_" xfId="113"/>
    <cellStyle name="常规 2 3 2 3" xfId="114"/>
    <cellStyle name="20% - 强调文字颜色 1 2 2" xfId="115"/>
    <cellStyle name="好 2" xfId="116"/>
    <cellStyle name="20% - 强调文字颜色 1 5" xfId="117"/>
    <cellStyle name="输出 2 2" xfId="118"/>
    <cellStyle name="20% - 强调文字颜色 2 2" xfId="119"/>
    <cellStyle name="输出 2 2 2" xfId="120"/>
    <cellStyle name="20% - 强调文字颜色 2 2 2" xfId="121"/>
    <cellStyle name="输出 2 2 3" xfId="122"/>
    <cellStyle name="20% - 强调文字颜色 2 2 3" xfId="123"/>
    <cellStyle name="输出 2 3" xfId="124"/>
    <cellStyle name="20% - 强调文字颜色 2 3" xfId="125"/>
    <cellStyle name="输出 2 3 2" xfId="126"/>
    <cellStyle name="20% - 强调文字颜色 2 3 2" xfId="127"/>
    <cellStyle name="输出 2 4" xfId="128"/>
    <cellStyle name="20% - 强调文字颜色 2 4" xfId="129"/>
    <cellStyle name="输出 2 5" xfId="130"/>
    <cellStyle name="20% - 强调文字颜色 2 5" xfId="131"/>
    <cellStyle name="输出 3 2" xfId="132"/>
    <cellStyle name="20% - 强调文字颜色 3 2" xfId="133"/>
    <cellStyle name="输出 3 2 2" xfId="134"/>
    <cellStyle name="20% - 强调文字颜色 3 2 2" xfId="135"/>
    <cellStyle name="输出 3 2 3" xfId="136"/>
    <cellStyle name="20% - 强调文字颜色 3 2 3" xfId="137"/>
    <cellStyle name="输出 3 4" xfId="138"/>
    <cellStyle name="60% - 强调文字颜色 1 2" xfId="139"/>
    <cellStyle name="20% - 强调文字颜色 3 4" xfId="140"/>
    <cellStyle name="60% - 强调文字颜色 1 3" xfId="141"/>
    <cellStyle name="20% - 强调文字颜色 3 5" xfId="142"/>
    <cellStyle name="输出 4 2" xfId="143"/>
    <cellStyle name="常规 3" xfId="144"/>
    <cellStyle name="20% - 强调文字颜色 4 2" xfId="145"/>
    <cellStyle name="输出 4 2 2" xfId="146"/>
    <cellStyle name="常规 3 2" xfId="147"/>
    <cellStyle name="20% - 强调文字颜色 4 2 2" xfId="148"/>
    <cellStyle name="输入 4 2" xfId="149"/>
    <cellStyle name="常规 3 3" xfId="150"/>
    <cellStyle name="20% - 强调文字颜色 4 2 3" xfId="151"/>
    <cellStyle name="输出 4 3" xfId="152"/>
    <cellStyle name="常规 4" xfId="153"/>
    <cellStyle name="20% - 强调文字颜色 4 3" xfId="154"/>
    <cellStyle name="常规 4 2" xfId="155"/>
    <cellStyle name="20% - 强调文字颜色 4 3 2" xfId="156"/>
    <cellStyle name="常规 5" xfId="157"/>
    <cellStyle name="60% - 强调文字颜色 2 2" xfId="158"/>
    <cellStyle name="20% - 强调文字颜色 4 4" xfId="159"/>
    <cellStyle name="输出 5 2" xfId="160"/>
    <cellStyle name="20% - 强调文字颜色 5 2" xfId="161"/>
    <cellStyle name="输出 5 2 2" xfId="162"/>
    <cellStyle name="3232" xfId="163"/>
    <cellStyle name="20% - 强调文字颜色 5 2 2" xfId="164"/>
    <cellStyle name="20% - 强调文字颜色 5 2 3" xfId="165"/>
    <cellStyle name="输出 5 3" xfId="166"/>
    <cellStyle name="20% - 强调文字颜色 5 3" xfId="167"/>
    <cellStyle name="差 5" xfId="168"/>
    <cellStyle name="百分比 3" xfId="169"/>
    <cellStyle name="20% - 强调文字颜色 5 3 2" xfId="170"/>
    <cellStyle name="60% - 强调文字颜色 3 2" xfId="171"/>
    <cellStyle name="20% - 强调文字颜色 5 4" xfId="172"/>
    <cellStyle name="60% - 强调文字颜色 3 3" xfId="173"/>
    <cellStyle name="20% - 强调文字颜色 5 5" xfId="174"/>
    <cellStyle name="20% - 强调文字颜色 6 2" xfId="175"/>
    <cellStyle name="40% - 强调文字颜色 4 4" xfId="176"/>
    <cellStyle name="20% - 强调文字颜色 6 2 2" xfId="177"/>
    <cellStyle name="40% - 强调文字颜色 4 5" xfId="178"/>
    <cellStyle name="20% - 强调文字颜色 6 2 3" xfId="179"/>
    <cellStyle name="20% - 强调文字颜色 6 3" xfId="180"/>
    <cellStyle name="40% - 强调文字颜色 5 4" xfId="181"/>
    <cellStyle name="20% - 强调文字颜色 6 3 2" xfId="182"/>
    <cellStyle name="注释 3 2 2 2" xfId="183"/>
    <cellStyle name="60% - 强调文字颜色 4 2" xfId="184"/>
    <cellStyle name="20% - 强调文字颜色 6 4" xfId="185"/>
    <cellStyle name="60% - 强调文字颜色 4 3" xfId="186"/>
    <cellStyle name="40% - 强调文字颜色 5 2 2" xfId="187"/>
    <cellStyle name="20% - 强调文字颜色 6 5" xfId="188"/>
    <cellStyle name="40% - 强调文字颜色 1 2" xfId="189"/>
    <cellStyle name="40% - 强调文字颜色 1 2 2" xfId="190"/>
    <cellStyle name="40% - 强调文字颜色 1 2 3" xfId="191"/>
    <cellStyle name="常规 9 2" xfId="192"/>
    <cellStyle name="40% - 强调文字颜色 1 3" xfId="193"/>
    <cellStyle name="40% - 强调文字颜色 1 3 2" xfId="194"/>
    <cellStyle name="40% - 强调文字颜色 1 4" xfId="195"/>
    <cellStyle name="40% - 强调文字颜色 1 5" xfId="196"/>
    <cellStyle name="40% - 强调文字颜色 2 2 2" xfId="197"/>
    <cellStyle name="40% - 强调文字颜色 2 2 3" xfId="198"/>
    <cellStyle name="40% - 强调文字颜色 2 3" xfId="199"/>
    <cellStyle name="40% - 强调文字颜色 2 3 2" xfId="200"/>
    <cellStyle name="40% - 强调文字颜色 2 4" xfId="201"/>
    <cellStyle name="40% - 强调文字颜色 2 5" xfId="202"/>
    <cellStyle name="计算 2 2" xfId="203"/>
    <cellStyle name="40% - 强调文字颜色 3 2" xfId="204"/>
    <cellStyle name="计算 2 2 2" xfId="205"/>
    <cellStyle name="40% - 强调文字颜色 3 2 2" xfId="206"/>
    <cellStyle name="40% - 强调文字颜色 3 2 3" xfId="207"/>
    <cellStyle name="计算 2 3" xfId="208"/>
    <cellStyle name="40% - 强调文字颜色 3 3" xfId="209"/>
    <cellStyle name="计算 2 3 2" xfId="210"/>
    <cellStyle name="常规 25" xfId="211"/>
    <cellStyle name="40% - 强调文字颜色 3 3 2" xfId="212"/>
    <cellStyle name="计算 2 4" xfId="213"/>
    <cellStyle name="40% - 强调文字颜色 3 4" xfId="214"/>
    <cellStyle name="40% - 强调文字颜色 3 5" xfId="215"/>
    <cellStyle name="检查单元格 2" xfId="216"/>
    <cellStyle name="计算 3 2 2" xfId="217"/>
    <cellStyle name="汇总 2 3" xfId="218"/>
    <cellStyle name="标题 4 4" xfId="219"/>
    <cellStyle name="40% - 强调文字颜色 4 2 2" xfId="220"/>
    <cellStyle name="检查单元格 3" xfId="221"/>
    <cellStyle name="汇总 2 4" xfId="222"/>
    <cellStyle name="标题 4 5" xfId="223"/>
    <cellStyle name="40% - 强调文字颜色 4 2 3" xfId="224"/>
    <cellStyle name="输入 2 2 2" xfId="225"/>
    <cellStyle name="计算 3 3" xfId="226"/>
    <cellStyle name="40% - 强调文字颜色 4 3" xfId="227"/>
    <cellStyle name="计算 4 2" xfId="228"/>
    <cellStyle name="好 2 3" xfId="229"/>
    <cellStyle name="40% - 强调文字颜色 5 2" xfId="230"/>
    <cellStyle name="60% - 强调文字颜色 4 4" xfId="231"/>
    <cellStyle name="40% - 强调文字颜色 5 2 3" xfId="232"/>
    <cellStyle name="输入 2 3 2" xfId="233"/>
    <cellStyle name="40% - 强调文字颜色 5 3" xfId="234"/>
    <cellStyle name="60% - 强调文字颜色 5 3" xfId="235"/>
    <cellStyle name="40% - 强调文字颜色 5 3 2" xfId="236"/>
    <cellStyle name="40% - 强调文字颜色 5 5" xfId="237"/>
    <cellStyle name="适中 2 2" xfId="238"/>
    <cellStyle name="计算 5 2" xfId="239"/>
    <cellStyle name="40% - 强调文字颜色 6 2" xfId="240"/>
    <cellStyle name="40% - 强调文字颜色 6 2 2" xfId="241"/>
    <cellStyle name="40% - 强调文字颜色 6 2 3" xfId="242"/>
    <cellStyle name="适中 2 3" xfId="243"/>
    <cellStyle name="强调文字颜色 3 2 2" xfId="244"/>
    <cellStyle name="40% - 强调文字颜色 6 3" xfId="245"/>
    <cellStyle name="解释性文本 3" xfId="246"/>
    <cellStyle name="40% - 强调文字颜色 6 3 2" xfId="247"/>
    <cellStyle name="强调文字颜色 3 2 3" xfId="248"/>
    <cellStyle name="60% - 强调文字颜色 4 2 2" xfId="249"/>
    <cellStyle name="40% - 强调文字颜色 6 4" xfId="250"/>
    <cellStyle name="60% - 强调文字颜色 1 2 2" xfId="251"/>
    <cellStyle name="60% - 强调文字颜色 1 2 3" xfId="252"/>
    <cellStyle name="60% - 强调文字颜色 1 3 2" xfId="253"/>
    <cellStyle name="60% - 强调文字颜色 1 4" xfId="254"/>
    <cellStyle name="注释 5 2 2" xfId="255"/>
    <cellStyle name="警告文本 2 2" xfId="256"/>
    <cellStyle name="60% - 强调文字颜色 1 5" xfId="257"/>
    <cellStyle name="60% - 强调文字颜色 2 2 3" xfId="258"/>
    <cellStyle name="注释 2" xfId="259"/>
    <cellStyle name="常规 6 2" xfId="260"/>
    <cellStyle name="60% - 强调文字颜色 2 3 2" xfId="261"/>
    <cellStyle name="常规 7" xfId="262"/>
    <cellStyle name="60% - 强调文字颜色 2 4" xfId="263"/>
    <cellStyle name="警告文本 3 2" xfId="264"/>
    <cellStyle name="常规 8" xfId="265"/>
    <cellStyle name="60% - 强调文字颜色 2 5" xfId="266"/>
    <cellStyle name="强调文字颜色 2 2 3" xfId="267"/>
    <cellStyle name="60% - 强调文字颜色 3 2 2" xfId="268"/>
    <cellStyle name="60% - 强调文字颜色 3 2 3" xfId="269"/>
    <cellStyle name="60% - 强调文字颜色 3 3 2" xfId="270"/>
    <cellStyle name="60% - 强调文字颜色 3 4" xfId="271"/>
    <cellStyle name="60% - 强调文字颜色 3 5" xfId="272"/>
    <cellStyle name="60% - 强调文字颜色 4 3 2" xfId="273"/>
    <cellStyle name="常规_创联至信12年工资表sn803808" xfId="274"/>
    <cellStyle name="60% - 强调文字颜色 4 5" xfId="275"/>
    <cellStyle name="60% - 强调文字颜色 5 2" xfId="276"/>
    <cellStyle name="强调文字颜色 4 2 3" xfId="277"/>
    <cellStyle name="60% - 强调文字颜色 5 2 2" xfId="278"/>
    <cellStyle name="60% - 强调文字颜色 5 2 3" xfId="279"/>
    <cellStyle name="60% - 强调文字颜色 5 3 2" xfId="280"/>
    <cellStyle name="60% - 强调文字颜色 5 4" xfId="281"/>
    <cellStyle name="60% - 强调文字颜色 5 5" xfId="282"/>
    <cellStyle name="60% - 强调文字颜色 6 2" xfId="283"/>
    <cellStyle name="强调文字颜色 5 2 3" xfId="284"/>
    <cellStyle name="常规 3 5 3" xfId="285"/>
    <cellStyle name="60% - 强调文字颜色 6 2 2" xfId="286"/>
    <cellStyle name="Normal_08'前程工资8月" xfId="287"/>
    <cellStyle name="60% - 强调文字颜色 6 2 3" xfId="288"/>
    <cellStyle name="60% - 强调文字颜色 6 3" xfId="289"/>
    <cellStyle name="60% - 强调文字颜色 6 4" xfId="290"/>
    <cellStyle name="60% - 强调文字颜色 6 5" xfId="291"/>
    <cellStyle name="警告文本 2 3" xfId="292"/>
    <cellStyle name="Comma_SALARYBJ" xfId="293"/>
    <cellStyle name="差 4" xfId="294"/>
    <cellStyle name="百分比 2" xfId="295"/>
    <cellStyle name="百分比 2 2" xfId="296"/>
    <cellStyle name="百分比 2 3" xfId="297"/>
    <cellStyle name="标题 1 2" xfId="298"/>
    <cellStyle name="标题 1 2 2" xfId="299"/>
    <cellStyle name="标题 1 2 3" xfId="300"/>
    <cellStyle name="标题 1 3" xfId="301"/>
    <cellStyle name="汇总 3" xfId="302"/>
    <cellStyle name="标题 1 3 2" xfId="303"/>
    <cellStyle name="标题 1 4" xfId="304"/>
    <cellStyle name="标题 1 5" xfId="305"/>
    <cellStyle name="标题 2 2" xfId="306"/>
    <cellStyle name="标题 2 2 2" xfId="307"/>
    <cellStyle name="好 3 2" xfId="308"/>
    <cellStyle name="标题 2 2 3" xfId="309"/>
    <cellStyle name="标题 2 3" xfId="310"/>
    <cellStyle name="常规 11" xfId="311"/>
    <cellStyle name="标题 2 3 2" xfId="312"/>
    <cellStyle name="标题 2 4" xfId="313"/>
    <cellStyle name="标题 2 5" xfId="314"/>
    <cellStyle name="标题 3 2" xfId="315"/>
    <cellStyle name="好 5" xfId="316"/>
    <cellStyle name="标题 3 2 2" xfId="317"/>
    <cellStyle name="标题 3 2 3" xfId="318"/>
    <cellStyle name="标题 3 3" xfId="319"/>
    <cellStyle name="样式 1" xfId="320"/>
    <cellStyle name="标题 3 3 2" xfId="321"/>
    <cellStyle name="标题 3 4" xfId="322"/>
    <cellStyle name="标题 3 5" xfId="323"/>
    <cellStyle name="千位分隔 3" xfId="324"/>
    <cellStyle name="标题 4 2" xfId="325"/>
    <cellStyle name="标题 4 2 3" xfId="326"/>
    <cellStyle name="汇总 2 2" xfId="327"/>
    <cellStyle name="标题 4 3" xfId="328"/>
    <cellStyle name="汇总 2 2 2" xfId="329"/>
    <cellStyle name="标题 4 3 2" xfId="330"/>
    <cellStyle name="解释性文本 2 3" xfId="331"/>
    <cellStyle name="标题 5" xfId="332"/>
    <cellStyle name="强调文字颜色 1 4" xfId="333"/>
    <cellStyle name="标题 5 2" xfId="334"/>
    <cellStyle name="强调文字颜色 1 5" xfId="335"/>
    <cellStyle name="汇总 3 2" xfId="336"/>
    <cellStyle name="标题 5 3" xfId="337"/>
    <cellStyle name="标题 6" xfId="338"/>
    <cellStyle name="强调文字颜色 2 4" xfId="339"/>
    <cellStyle name="标题 6 2" xfId="340"/>
    <cellStyle name="注释 2 4 2" xfId="341"/>
    <cellStyle name="标题 7" xfId="342"/>
    <cellStyle name="标题 8" xfId="343"/>
    <cellStyle name="解释性文本 5" xfId="344"/>
    <cellStyle name="差 2" xfId="345"/>
    <cellStyle name="差 2 2" xfId="346"/>
    <cellStyle name="差 3" xfId="347"/>
    <cellStyle name="差 3 2" xfId="348"/>
    <cellStyle name="常规 10" xfId="349"/>
    <cellStyle name="常规 11 2" xfId="350"/>
    <cellStyle name="常规 2 3 2 2" xfId="351"/>
    <cellStyle name="常规 11 3" xfId="352"/>
    <cellStyle name="常规 12" xfId="353"/>
    <cellStyle name="常规 12 2" xfId="354"/>
    <cellStyle name="常规 12 3" xfId="355"/>
    <cellStyle name="强调文字颜色 3 3 2" xfId="356"/>
    <cellStyle name="常规 14" xfId="357"/>
    <cellStyle name="常规 14 2" xfId="358"/>
    <cellStyle name="常规 14 3" xfId="359"/>
    <cellStyle name="常规 2" xfId="360"/>
    <cellStyle name="常规 2 2" xfId="361"/>
    <cellStyle name="常规 2 2 2" xfId="362"/>
    <cellStyle name="常规 2 2 2 2" xfId="363"/>
    <cellStyle name="常规 2 2 3" xfId="364"/>
    <cellStyle name="输入 3 2" xfId="365"/>
    <cellStyle name="常规 2 3" xfId="366"/>
    <cellStyle name="输入 3 2 2" xfId="367"/>
    <cellStyle name="常规_全国客服表格" xfId="368"/>
    <cellStyle name="常规 2 3 2" xfId="369"/>
    <cellStyle name="常规 2 3 3" xfId="370"/>
    <cellStyle name="常规 2 3 4" xfId="371"/>
    <cellStyle name="输入 3 3" xfId="372"/>
    <cellStyle name="常规 2 4" xfId="373"/>
    <cellStyle name="常规 2 4 2" xfId="374"/>
    <cellStyle name="强调文字颜色 4 2" xfId="375"/>
    <cellStyle name="常规 2 5" xfId="376"/>
    <cellStyle name="强调文字颜色 4 2 2" xfId="377"/>
    <cellStyle name="常规 2 5 2" xfId="378"/>
    <cellStyle name="强调文字颜色 4 3" xfId="379"/>
    <cellStyle name="常规 2 6" xfId="380"/>
    <cellStyle name="强调文字颜色 4 3 2" xfId="381"/>
    <cellStyle name="常规 2 6 2" xfId="382"/>
    <cellStyle name="常规 2 6 2 2" xfId="383"/>
    <cellStyle name="常规 27" xfId="384"/>
    <cellStyle name="适中 4" xfId="385"/>
    <cellStyle name="常规 3 2 2" xfId="386"/>
    <cellStyle name="常规 3 3 2" xfId="387"/>
    <cellStyle name="常规 3 3 3" xfId="388"/>
    <cellStyle name="常规 3 4" xfId="389"/>
    <cellStyle name="常规 3 4 2" xfId="390"/>
    <cellStyle name="强调文字颜色 5 2" xfId="391"/>
    <cellStyle name="常规 3 5" xfId="392"/>
    <cellStyle name="强调文字颜色 5 2 2" xfId="393"/>
    <cellStyle name="常规 3 5 2" xfId="394"/>
    <cellStyle name="常规 4 4" xfId="395"/>
    <cellStyle name="常规 4 2 2" xfId="396"/>
    <cellStyle name="输入 5 2" xfId="397"/>
    <cellStyle name="常规 4 3" xfId="398"/>
    <cellStyle name="常规 7 2" xfId="399"/>
    <cellStyle name="强调文字颜色 6 3 2" xfId="400"/>
    <cellStyle name="常规 8 4" xfId="401"/>
    <cellStyle name="常规 9" xfId="402"/>
    <cellStyle name="常规_0705 UL South CS meeting (chonghua)" xfId="403"/>
    <cellStyle name="强调文字颜色 3 5" xfId="404"/>
    <cellStyle name="汇总 5 2" xfId="405"/>
    <cellStyle name="常规_Sheet1" xfId="406"/>
    <cellStyle name="注释 5 2" xfId="407"/>
    <cellStyle name="警告文本 2" xfId="408"/>
    <cellStyle name="常规_付款通知书智联（神数系统）" xfId="409"/>
    <cellStyle name="好 2 2" xfId="410"/>
    <cellStyle name="好 3" xfId="411"/>
    <cellStyle name="好 4" xfId="412"/>
    <cellStyle name="汇总 2" xfId="413"/>
    <cellStyle name="检查单元格 2 2" xfId="414"/>
    <cellStyle name="汇总 2 3 2" xfId="415"/>
    <cellStyle name="汇总 4" xfId="416"/>
    <cellStyle name="汇总 5" xfId="417"/>
    <cellStyle name="检查单元格 2 3" xfId="418"/>
    <cellStyle name="检查单元格 4" xfId="419"/>
    <cellStyle name="检查单元格 5" xfId="420"/>
    <cellStyle name="解释性文本 2" xfId="421"/>
    <cellStyle name="解释性文本 3 2" xfId="422"/>
    <cellStyle name="解释性文本 4" xfId="423"/>
    <cellStyle name="注释 5 3" xfId="424"/>
    <cellStyle name="警告文本 3" xfId="425"/>
    <cellStyle name="警告文本 4" xfId="426"/>
    <cellStyle name="警告文本 5" xfId="427"/>
    <cellStyle name="注释 2 3 2" xfId="428"/>
    <cellStyle name="链接单元格 2" xfId="429"/>
    <cellStyle name="注释 2 3 2 2" xfId="430"/>
    <cellStyle name="链接单元格 2 2" xfId="431"/>
    <cellStyle name="链接单元格 2 3" xfId="432"/>
    <cellStyle name="千位分隔 2" xfId="433"/>
    <cellStyle name="千位分隔 2 2" xfId="434"/>
    <cellStyle name="强调文字颜色 1 2" xfId="435"/>
    <cellStyle name="强调文字颜色 1 2 2" xfId="436"/>
    <cellStyle name="强调文字颜色 1 3" xfId="437"/>
    <cellStyle name="强调文字颜色 1 3 2" xfId="438"/>
    <cellStyle name="强调文字颜色 2 2" xfId="439"/>
    <cellStyle name="强调文字颜色 2 2 2" xfId="440"/>
    <cellStyle name="强调文字颜色 2 3" xfId="441"/>
    <cellStyle name="输入 2 4" xfId="442"/>
    <cellStyle name="强调文字颜色 3 2" xfId="443"/>
    <cellStyle name="强调文字颜色 3 3" xfId="444"/>
    <cellStyle name="强调文字颜色 3 4" xfId="445"/>
    <cellStyle name="强调文字颜色 4 4" xfId="446"/>
    <cellStyle name="输入 2" xfId="447"/>
    <cellStyle name="强调文字颜色 4 5" xfId="448"/>
    <cellStyle name="强调文字颜色 5 3" xfId="449"/>
    <cellStyle name="强调文字颜色 5 3 2" xfId="450"/>
    <cellStyle name="强调文字颜色 5 4" xfId="451"/>
    <cellStyle name="强调文字颜色 6 2" xfId="452"/>
    <cellStyle name="强调文字颜色 6 2 2" xfId="453"/>
    <cellStyle name="强调文字颜色 6 2 3" xfId="454"/>
    <cellStyle name="强调文字颜色 6 3" xfId="455"/>
    <cellStyle name="强调文字颜色 6 4" xfId="456"/>
    <cellStyle name="强调文字颜色 6 5" xfId="457"/>
    <cellStyle name="适中 3" xfId="458"/>
    <cellStyle name="适中 3 2" xfId="459"/>
    <cellStyle name="适中 5" xfId="460"/>
    <cellStyle name="输出 2 2 2 2" xfId="461"/>
    <cellStyle name="输出 2 3 2 2" xfId="462"/>
    <cellStyle name="输出 2 3 3" xfId="463"/>
    <cellStyle name="输出 3 2 2 2" xfId="464"/>
    <cellStyle name="样式 2 4" xfId="465"/>
    <cellStyle name="输入 2 2" xfId="466"/>
    <cellStyle name="样式 2 5" xfId="467"/>
    <cellStyle name="输入 2 3" xfId="468"/>
    <cellStyle name="输入 3" xfId="469"/>
    <cellStyle name="输入 4" xfId="470"/>
    <cellStyle name="输入 5" xfId="471"/>
    <cellStyle name="㼿㼿㼿㼿? 2" xfId="472"/>
    <cellStyle name="㼿㼿㼿㼿㼿" xfId="473"/>
    <cellStyle name="㼿㼿㼿㼿㼿㼿㼿" xfId="474"/>
    <cellStyle name="样式 1 2" xfId="475"/>
    <cellStyle name="样式 2" xfId="476"/>
    <cellStyle name="样式 2 2" xfId="477"/>
    <cellStyle name="样式 2 3" xfId="478"/>
    <cellStyle name="注释 2 2" xfId="479"/>
    <cellStyle name="注释 2 2 2" xfId="480"/>
    <cellStyle name="注释 2 2 2 2" xfId="481"/>
    <cellStyle name="注释 2 2 3" xfId="482"/>
    <cellStyle name="注释 2 4" xfId="483"/>
    <cellStyle name="注释 2 5" xfId="484"/>
    <cellStyle name="注释 3" xfId="485"/>
    <cellStyle name="注释 3 2" xfId="486"/>
    <cellStyle name="注释 3 3" xfId="487"/>
    <cellStyle name="注释 3 3 2" xfId="488"/>
    <cellStyle name="注释 3 4" xfId="489"/>
    <cellStyle name="注释 4" xfId="490"/>
    <cellStyle name="注释 4 2" xfId="491"/>
    <cellStyle name="注释 4 2 2" xfId="492"/>
    <cellStyle name="注释 4 3" xfId="493"/>
  </cellStyles>
  <dxfs count="5">
    <dxf>
      <font>
        <b val="0"/>
        <color indexed="20"/>
      </font>
      <fill>
        <patternFill patternType="solid">
          <bgColor indexed="45"/>
        </patternFill>
      </fill>
    </dxf>
    <dxf>
      <fill>
        <patternFill patternType="solid">
          <bgColor indexed="45"/>
        </patternFill>
      </fill>
    </dxf>
    <dxf>
      <fill>
        <patternFill patternType="solid">
          <bgColor indexed="43"/>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79EBA7"/>
      <color rgb="00FF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customXml" Target="../customXml/item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r:embed="rId1" cstate="print"/>
        <a:srcRect/>
        <a:stretch>
          <a:fillRect/>
        </a:stretch>
      </xdr:blipFill>
      <xdr:spPr>
        <a:xfrm>
          <a:off x="0" y="0"/>
          <a:ext cx="2407920" cy="600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131;&#25165;&#20010;&#3124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B2" t="str">
            <v>孙海娟</v>
          </cell>
          <cell r="C2" t="str">
            <v>招商银行北京德胜门支行</v>
          </cell>
          <cell r="D2" t="str">
            <v>6214830177230132</v>
          </cell>
          <cell r="E2">
            <v>4598.8</v>
          </cell>
          <cell r="F2">
            <v>352</v>
          </cell>
          <cell r="G2">
            <v>22</v>
          </cell>
          <cell r="H2">
            <v>109</v>
          </cell>
          <cell r="I2">
            <v>483</v>
          </cell>
          <cell r="J2">
            <v>109</v>
          </cell>
        </row>
        <row r="3">
          <cell r="B3" t="str">
            <v>谭江月</v>
          </cell>
          <cell r="C3">
            <v>0</v>
          </cell>
          <cell r="D3">
            <v>0</v>
          </cell>
          <cell r="E3">
            <v>5500</v>
          </cell>
          <cell r="F3">
            <v>316.56</v>
          </cell>
          <cell r="G3">
            <v>19.79</v>
          </cell>
          <cell r="H3">
            <v>84.14</v>
          </cell>
          <cell r="I3">
            <v>420.49</v>
          </cell>
          <cell r="J3">
            <v>105</v>
          </cell>
        </row>
        <row r="4">
          <cell r="B4" t="str">
            <v>赵亮</v>
          </cell>
          <cell r="C4" t="str">
            <v>工商银行四平市分行站前支行营业室</v>
          </cell>
          <cell r="D4" t="str">
            <v>6222020804003031858</v>
          </cell>
          <cell r="E4">
            <v>8000</v>
          </cell>
          <cell r="F4">
            <v>296.26</v>
          </cell>
          <cell r="G4">
            <v>11.11</v>
          </cell>
          <cell r="H4">
            <v>76.62</v>
          </cell>
          <cell r="I4">
            <v>383.99</v>
          </cell>
          <cell r="J4">
            <v>177</v>
          </cell>
        </row>
        <row r="5">
          <cell r="B5" t="str">
            <v>梁敏霞</v>
          </cell>
          <cell r="C5" t="str">
            <v>招商银行广州汇景新城支行</v>
          </cell>
          <cell r="D5" t="str">
            <v>6214832018318951</v>
          </cell>
          <cell r="E5">
            <v>5700</v>
          </cell>
          <cell r="F5">
            <v>367.04</v>
          </cell>
          <cell r="G5">
            <v>4.6</v>
          </cell>
          <cell r="H5">
            <v>113.48</v>
          </cell>
          <cell r="I5">
            <v>485.12</v>
          </cell>
          <cell r="J5">
            <v>115</v>
          </cell>
        </row>
        <row r="6">
          <cell r="B6" t="str">
            <v>徐明龙</v>
          </cell>
          <cell r="C6" t="str">
            <v>招商银行南京分行江宁支行</v>
          </cell>
          <cell r="D6" t="str">
            <v>6214832537063526</v>
          </cell>
          <cell r="E6">
            <v>7000</v>
          </cell>
          <cell r="F6">
            <v>306.56</v>
          </cell>
          <cell r="G6">
            <v>19.16</v>
          </cell>
          <cell r="H6">
            <v>84.64</v>
          </cell>
          <cell r="I6">
            <v>410.36</v>
          </cell>
          <cell r="J6">
            <v>162</v>
          </cell>
        </row>
        <row r="7">
          <cell r="B7" t="str">
            <v>陈佳文</v>
          </cell>
          <cell r="C7" t="str">
            <v>中国建设银行股份有限公司阜阳二里井支行</v>
          </cell>
          <cell r="D7" t="str">
            <v>6215340300708911830</v>
          </cell>
          <cell r="E7">
            <v>8000</v>
          </cell>
          <cell r="F7">
            <v>306.56</v>
          </cell>
          <cell r="G7">
            <v>19.16</v>
          </cell>
          <cell r="H7">
            <v>82.64</v>
          </cell>
          <cell r="I7">
            <v>408.36</v>
          </cell>
          <cell r="J7">
            <v>172</v>
          </cell>
        </row>
        <row r="8">
          <cell r="B8" t="str">
            <v>龙治旺</v>
          </cell>
          <cell r="C8" t="str">
            <v>中国建设银行常德市分行营业部</v>
          </cell>
          <cell r="D8" t="str">
            <v>6217003000110990521</v>
          </cell>
          <cell r="E8">
            <v>6500</v>
          </cell>
          <cell r="F8">
            <v>315.6</v>
          </cell>
          <cell r="G8">
            <v>11.84</v>
          </cell>
          <cell r="H8">
            <v>86.72</v>
          </cell>
          <cell r="I8">
            <v>414.16</v>
          </cell>
          <cell r="J8">
            <v>100</v>
          </cell>
        </row>
        <row r="9">
          <cell r="B9" t="str">
            <v>冯玉</v>
          </cell>
          <cell r="C9" t="str">
            <v>工商银行上海市陆家嘴支行</v>
          </cell>
          <cell r="D9" t="str">
            <v>9558801001160680036</v>
          </cell>
          <cell r="E9">
            <v>30060</v>
          </cell>
          <cell r="F9">
            <v>521.6</v>
          </cell>
          <cell r="G9">
            <v>32.6</v>
          </cell>
          <cell r="H9">
            <v>130.4</v>
          </cell>
          <cell r="I9">
            <v>684.6</v>
          </cell>
          <cell r="J9">
            <v>181.3</v>
          </cell>
        </row>
        <row r="10">
          <cell r="B10" t="str">
            <v>汤祥文</v>
          </cell>
          <cell r="C10" t="str">
            <v>建设银行南京白下支行</v>
          </cell>
          <cell r="D10" t="str">
            <v>6217001370042867291</v>
          </cell>
          <cell r="E10">
            <v>7000</v>
          </cell>
          <cell r="F10">
            <v>306.56</v>
          </cell>
          <cell r="G10">
            <v>19.16</v>
          </cell>
          <cell r="H10">
            <v>112.49</v>
          </cell>
          <cell r="I10">
            <v>438.21</v>
          </cell>
          <cell r="J10">
            <v>97</v>
          </cell>
        </row>
        <row r="11">
          <cell r="B11" t="str">
            <v>杨旭</v>
          </cell>
          <cell r="C11" t="str">
            <v>安徽省阜阳市建设银行颍州支行</v>
          </cell>
          <cell r="D11" t="str">
            <v>6217001730001833495</v>
          </cell>
          <cell r="E11">
            <v>5500</v>
          </cell>
          <cell r="F11">
            <v>306.56</v>
          </cell>
          <cell r="G11">
            <v>19.16</v>
          </cell>
          <cell r="H11">
            <v>82.64</v>
          </cell>
          <cell r="I11">
            <v>408.36</v>
          </cell>
          <cell r="J11">
            <v>172</v>
          </cell>
        </row>
        <row r="12">
          <cell r="B12" t="str">
            <v>任志伟</v>
          </cell>
          <cell r="C12" t="str">
            <v>中国邮政储蓄银行股份有限公司鲖城镇营业所</v>
          </cell>
          <cell r="D12" t="str">
            <v>6221803720000127710</v>
          </cell>
          <cell r="E12">
            <v>5500</v>
          </cell>
          <cell r="F12">
            <v>306.56</v>
          </cell>
          <cell r="G12">
            <v>19.16</v>
          </cell>
          <cell r="H12">
            <v>82.64</v>
          </cell>
          <cell r="I12">
            <v>408.36</v>
          </cell>
          <cell r="J12">
            <v>172</v>
          </cell>
        </row>
        <row r="13">
          <cell r="B13" t="str">
            <v>朱必丰</v>
          </cell>
          <cell r="C13" t="str">
            <v>浦发银行安徽自贸试验区芜湖片区支行</v>
          </cell>
          <cell r="D13" t="str">
            <v>6217921396100052</v>
          </cell>
          <cell r="E13">
            <v>7000</v>
          </cell>
          <cell r="F13">
            <v>306.56</v>
          </cell>
          <cell r="G13">
            <v>19.16</v>
          </cell>
          <cell r="H13">
            <v>112.49</v>
          </cell>
          <cell r="I13">
            <v>438.21</v>
          </cell>
          <cell r="J13">
            <v>97</v>
          </cell>
        </row>
        <row r="14">
          <cell r="B14" t="str">
            <v>周阳阳</v>
          </cell>
          <cell r="C14" t="str">
            <v>中国农业银行股份有限公司怀远荆山支行</v>
          </cell>
          <cell r="D14" t="str">
            <v>6228480679193409076</v>
          </cell>
          <cell r="E14">
            <v>6060</v>
          </cell>
          <cell r="F14">
            <v>306.56</v>
          </cell>
          <cell r="G14">
            <v>19.16</v>
          </cell>
          <cell r="H14">
            <v>84.64</v>
          </cell>
          <cell r="I14">
            <v>410.36</v>
          </cell>
          <cell r="J14">
            <v>162</v>
          </cell>
        </row>
        <row r="15">
          <cell r="B15" t="str">
            <v>杨文</v>
          </cell>
          <cell r="C15" t="str">
            <v>交通银行益阳资阳支行</v>
          </cell>
          <cell r="D15" t="str">
            <v>6222624390002781578</v>
          </cell>
          <cell r="E15">
            <v>6560</v>
          </cell>
          <cell r="F15">
            <v>315.6</v>
          </cell>
          <cell r="G15">
            <v>11.84</v>
          </cell>
          <cell r="H15">
            <v>86.72</v>
          </cell>
          <cell r="I15">
            <v>414.16</v>
          </cell>
          <cell r="J15">
            <v>175</v>
          </cell>
        </row>
        <row r="16">
          <cell r="B16" t="str">
            <v>张莉</v>
          </cell>
          <cell r="C16" t="str">
            <v>中国建设银行股份有限公司合肥天鹅湖支行</v>
          </cell>
          <cell r="D16" t="str">
            <v>6217001630028201504</v>
          </cell>
          <cell r="E16">
            <v>2836.37</v>
          </cell>
          <cell r="F16">
            <v>613.12</v>
          </cell>
          <cell r="G16">
            <v>38.32</v>
          </cell>
          <cell r="H16">
            <v>153.28</v>
          </cell>
          <cell r="I16">
            <v>804.72</v>
          </cell>
          <cell r="J16">
            <v>206</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H22"/>
  <sheetViews>
    <sheetView workbookViewId="0">
      <selection activeCell="C27" sqref="C27"/>
    </sheetView>
  </sheetViews>
  <sheetFormatPr defaultColWidth="9" defaultRowHeight="16.5"/>
  <cols>
    <col min="1" max="1" width="5" style="154" customWidth="1"/>
    <col min="2" max="2" width="25" style="154" customWidth="1"/>
    <col min="3" max="3" width="7.36666666666667" style="154" customWidth="1"/>
    <col min="4" max="4" width="9.45" style="154" customWidth="1"/>
    <col min="5" max="5" width="8.26666666666667" style="154" customWidth="1"/>
    <col min="6" max="6" width="11.9083333333333" style="154" customWidth="1"/>
    <col min="7" max="7" width="16.3666666666667" style="154" customWidth="1"/>
    <col min="8" max="11" width="8.45" style="154" customWidth="1"/>
    <col min="12" max="12" width="9.09166666666667" style="154" customWidth="1"/>
    <col min="13" max="14" width="9.26666666666667" style="154" customWidth="1"/>
    <col min="15" max="15" width="7.45" style="154" customWidth="1"/>
    <col min="16" max="16" width="11.2666666666667" style="154" customWidth="1"/>
    <col min="17" max="17" width="9.09166666666667" style="154" customWidth="1"/>
    <col min="18" max="21" width="9.26666666666667" style="154" customWidth="1"/>
    <col min="22" max="22" width="9.09166666666667" style="154" customWidth="1"/>
    <col min="23" max="26" width="9.26666666666667" style="154" customWidth="1"/>
    <col min="27" max="28" width="9.09166666666667" style="154" customWidth="1"/>
    <col min="29" max="29" width="9" style="154" customWidth="1"/>
    <col min="30" max="30" width="9.09166666666667" style="154" customWidth="1"/>
    <col min="31" max="31" width="9.26666666666667" style="154" customWidth="1"/>
    <col min="32" max="32" width="8.90833333333333" style="154" customWidth="1"/>
    <col min="33" max="33" width="9.09166666666667" style="154" customWidth="1"/>
    <col min="34" max="34" width="9.26666666666667" style="154" customWidth="1"/>
    <col min="35" max="35" width="11.0916666666667" style="154" customWidth="1"/>
    <col min="36" max="36" width="9.26666666666667" style="154" customWidth="1"/>
    <col min="37" max="37" width="8.45" style="154" customWidth="1"/>
    <col min="38" max="38" width="9.09166666666667" style="154" hidden="1" customWidth="1"/>
    <col min="39" max="42" width="9.26666666666667" style="154" hidden="1" customWidth="1"/>
    <col min="43" max="43" width="9.90833333333333" style="154" customWidth="1"/>
    <col min="44" max="44" width="9.36666666666667" style="154" customWidth="1"/>
    <col min="45" max="45" width="10.2666666666667" style="155" customWidth="1"/>
    <col min="46" max="46" width="10" style="155" customWidth="1"/>
    <col min="47" max="49" width="9.26666666666667" style="155" customWidth="1"/>
    <col min="50" max="50" width="9.26666666666667" style="154" customWidth="1"/>
    <col min="51" max="51" width="5.90833333333333" style="154" customWidth="1"/>
    <col min="52" max="52" width="8.36666666666667" style="154" customWidth="1"/>
    <col min="53" max="53" width="5.90833333333333" style="154" customWidth="1"/>
    <col min="54" max="54" width="8.90833333333333" style="154" customWidth="1"/>
    <col min="55" max="55" width="10.9083333333333" style="154" customWidth="1"/>
    <col min="56" max="56" width="40.2666666666667" style="156" customWidth="1"/>
    <col min="57" max="57" width="10.6333333333333" style="154" customWidth="1"/>
    <col min="58" max="16384" width="9" style="154"/>
  </cols>
  <sheetData>
    <row r="1" s="147" customFormat="1" ht="22.5" customHeight="1" spans="1:56">
      <c r="A1" s="157" t="s">
        <v>0</v>
      </c>
      <c r="B1" s="158" t="s">
        <v>1</v>
      </c>
      <c r="C1" s="158" t="s">
        <v>2</v>
      </c>
      <c r="D1" s="157" t="s">
        <v>3</v>
      </c>
      <c r="E1" s="158" t="s">
        <v>4</v>
      </c>
      <c r="F1" s="158" t="s">
        <v>5</v>
      </c>
      <c r="G1" s="158" t="s">
        <v>6</v>
      </c>
      <c r="H1" s="158" t="s">
        <v>7</v>
      </c>
      <c r="I1" s="158" t="s">
        <v>8</v>
      </c>
      <c r="J1" s="158" t="s">
        <v>9</v>
      </c>
      <c r="K1" s="158" t="s">
        <v>10</v>
      </c>
      <c r="L1" s="193" t="s">
        <v>11</v>
      </c>
      <c r="M1" s="193"/>
      <c r="N1" s="193"/>
      <c r="O1" s="193"/>
      <c r="P1" s="193"/>
      <c r="Q1" s="193" t="s">
        <v>12</v>
      </c>
      <c r="R1" s="193"/>
      <c r="S1" s="193"/>
      <c r="T1" s="193"/>
      <c r="U1" s="193"/>
      <c r="V1" s="193" t="s">
        <v>13</v>
      </c>
      <c r="W1" s="193"/>
      <c r="X1" s="193"/>
      <c r="Y1" s="193"/>
      <c r="Z1" s="193"/>
      <c r="AA1" s="157" t="s">
        <v>14</v>
      </c>
      <c r="AB1" s="157"/>
      <c r="AC1" s="157"/>
      <c r="AD1" s="157" t="s">
        <v>15</v>
      </c>
      <c r="AE1" s="157"/>
      <c r="AF1" s="157"/>
      <c r="AG1" s="193" t="s">
        <v>16</v>
      </c>
      <c r="AH1" s="193"/>
      <c r="AI1" s="193"/>
      <c r="AJ1" s="193"/>
      <c r="AK1" s="193"/>
      <c r="AL1" s="157" t="s">
        <v>17</v>
      </c>
      <c r="AM1" s="157"/>
      <c r="AN1" s="157"/>
      <c r="AO1" s="157"/>
      <c r="AP1" s="157"/>
      <c r="AQ1" s="157" t="s">
        <v>18</v>
      </c>
      <c r="AR1" s="157"/>
      <c r="AS1" s="209" t="s">
        <v>19</v>
      </c>
      <c r="AT1" s="209"/>
      <c r="AU1" s="209"/>
      <c r="AV1" s="209"/>
      <c r="AW1" s="209"/>
      <c r="AX1" s="157" t="s">
        <v>20</v>
      </c>
      <c r="AY1" s="157"/>
      <c r="AZ1" s="157" t="s">
        <v>21</v>
      </c>
      <c r="BA1" s="157"/>
      <c r="BB1" s="157" t="s">
        <v>22</v>
      </c>
      <c r="BC1" s="157" t="s">
        <v>23</v>
      </c>
      <c r="BD1" s="222" t="s">
        <v>24</v>
      </c>
    </row>
    <row r="2" ht="22.5" customHeight="1" spans="1:56">
      <c r="A2" s="157"/>
      <c r="B2" s="159"/>
      <c r="C2" s="158"/>
      <c r="D2" s="157"/>
      <c r="E2" s="158"/>
      <c r="F2" s="160"/>
      <c r="G2" s="160"/>
      <c r="H2" s="158"/>
      <c r="I2" s="158"/>
      <c r="J2" s="158"/>
      <c r="K2" s="158"/>
      <c r="L2" s="194" t="s">
        <v>25</v>
      </c>
      <c r="M2" s="194" t="s">
        <v>26</v>
      </c>
      <c r="N2" s="194" t="s">
        <v>27</v>
      </c>
      <c r="O2" s="194" t="s">
        <v>28</v>
      </c>
      <c r="P2" s="194" t="s">
        <v>29</v>
      </c>
      <c r="Q2" s="194" t="s">
        <v>25</v>
      </c>
      <c r="R2" s="194" t="s">
        <v>26</v>
      </c>
      <c r="S2" s="194" t="s">
        <v>27</v>
      </c>
      <c r="T2" s="194" t="s">
        <v>28</v>
      </c>
      <c r="U2" s="194" t="s">
        <v>29</v>
      </c>
      <c r="V2" s="194" t="s">
        <v>25</v>
      </c>
      <c r="W2" s="194" t="s">
        <v>26</v>
      </c>
      <c r="X2" s="194" t="s">
        <v>27</v>
      </c>
      <c r="Y2" s="194" t="s">
        <v>28</v>
      </c>
      <c r="Z2" s="194" t="s">
        <v>29</v>
      </c>
      <c r="AA2" s="194" t="s">
        <v>25</v>
      </c>
      <c r="AB2" s="194" t="s">
        <v>30</v>
      </c>
      <c r="AC2" s="194" t="s">
        <v>31</v>
      </c>
      <c r="AD2" s="194" t="s">
        <v>25</v>
      </c>
      <c r="AE2" s="194" t="s">
        <v>30</v>
      </c>
      <c r="AF2" s="194" t="s">
        <v>31</v>
      </c>
      <c r="AG2" s="194" t="s">
        <v>25</v>
      </c>
      <c r="AH2" s="194" t="s">
        <v>26</v>
      </c>
      <c r="AI2" s="194" t="s">
        <v>27</v>
      </c>
      <c r="AJ2" s="194" t="s">
        <v>28</v>
      </c>
      <c r="AK2" s="194" t="s">
        <v>29</v>
      </c>
      <c r="AL2" s="194" t="s">
        <v>25</v>
      </c>
      <c r="AM2" s="194" t="s">
        <v>26</v>
      </c>
      <c r="AN2" s="194" t="s">
        <v>27</v>
      </c>
      <c r="AO2" s="194" t="s">
        <v>28</v>
      </c>
      <c r="AP2" s="194" t="s">
        <v>29</v>
      </c>
      <c r="AQ2" s="194" t="s">
        <v>32</v>
      </c>
      <c r="AR2" s="194" t="s">
        <v>33</v>
      </c>
      <c r="AS2" s="210" t="s">
        <v>34</v>
      </c>
      <c r="AT2" s="210" t="s">
        <v>35</v>
      </c>
      <c r="AU2" s="210" t="s">
        <v>36</v>
      </c>
      <c r="AV2" s="210" t="s">
        <v>37</v>
      </c>
      <c r="AW2" s="210" t="s">
        <v>38</v>
      </c>
      <c r="AX2" s="157"/>
      <c r="AY2" s="157"/>
      <c r="AZ2" s="157"/>
      <c r="BA2" s="157"/>
      <c r="BB2" s="157"/>
      <c r="BC2" s="157"/>
      <c r="BD2" s="222"/>
    </row>
    <row r="3" s="353" customFormat="1" ht="18" customHeight="1" spans="1:60">
      <c r="A3" s="355">
        <v>1</v>
      </c>
      <c r="B3" s="162" t="s">
        <v>39</v>
      </c>
      <c r="C3" s="163" t="s">
        <v>40</v>
      </c>
      <c r="D3" s="356" t="s">
        <v>41</v>
      </c>
      <c r="E3" s="162" t="s">
        <v>42</v>
      </c>
      <c r="F3" s="164" t="s">
        <v>43</v>
      </c>
      <c r="G3" s="165" t="s">
        <v>44</v>
      </c>
      <c r="H3" s="356" t="s">
        <v>45</v>
      </c>
      <c r="I3" s="356" t="s">
        <v>45</v>
      </c>
      <c r="J3" s="356" t="s">
        <v>46</v>
      </c>
      <c r="K3" s="356" t="s">
        <v>46</v>
      </c>
      <c r="L3" s="355">
        <v>3300</v>
      </c>
      <c r="M3" s="355">
        <v>0.16</v>
      </c>
      <c r="N3" s="355">
        <f t="shared" ref="N3:N8" si="0">ROUND(L3*M3,2)</f>
        <v>528</v>
      </c>
      <c r="O3" s="355">
        <v>0.08</v>
      </c>
      <c r="P3" s="355">
        <f t="shared" ref="P3:P8" si="1">ROUND(L3*O3,2)</f>
        <v>264</v>
      </c>
      <c r="Q3" s="355">
        <v>3300</v>
      </c>
      <c r="R3" s="355">
        <v>0.08</v>
      </c>
      <c r="S3" s="355">
        <f t="shared" ref="S3:S8" si="2">ROUND(Q3*R3,2)</f>
        <v>264</v>
      </c>
      <c r="T3" s="355">
        <v>0.02</v>
      </c>
      <c r="U3" s="355">
        <f t="shared" ref="U3:U8" si="3">ROUND(Q3*T3,2)</f>
        <v>66</v>
      </c>
      <c r="V3" s="355">
        <v>3300</v>
      </c>
      <c r="W3" s="355">
        <v>0.007</v>
      </c>
      <c r="X3" s="355">
        <f t="shared" ref="X3:X8" si="4">ROUND(V3*W3,2)</f>
        <v>23.1</v>
      </c>
      <c r="Y3" s="355">
        <v>0.003</v>
      </c>
      <c r="Z3" s="355">
        <f t="shared" ref="Z3:Z8" si="5">ROUND(V3*Y3,2)</f>
        <v>9.9</v>
      </c>
      <c r="AA3" s="355"/>
      <c r="AB3" s="355"/>
      <c r="AC3" s="355"/>
      <c r="AD3" s="355">
        <v>3300</v>
      </c>
      <c r="AE3" s="355">
        <v>0.002</v>
      </c>
      <c r="AF3" s="355">
        <f t="shared" ref="AF3:AF15" si="6">ROUND(AD3*AE3,2)</f>
        <v>6.6</v>
      </c>
      <c r="AG3" s="355">
        <v>3000</v>
      </c>
      <c r="AH3" s="355">
        <v>0.1</v>
      </c>
      <c r="AI3" s="355">
        <f>ROUND(AG3*AH3,2)</f>
        <v>300</v>
      </c>
      <c r="AJ3" s="355">
        <v>0.06</v>
      </c>
      <c r="AK3" s="355">
        <f>ROUND(AG3*AJ3,2)</f>
        <v>180</v>
      </c>
      <c r="AL3" s="364"/>
      <c r="AM3" s="355"/>
      <c r="AN3" s="355"/>
      <c r="AO3" s="355"/>
      <c r="AP3" s="162" t="s">
        <v>47</v>
      </c>
      <c r="AQ3" s="366">
        <v>5</v>
      </c>
      <c r="AR3" s="355"/>
      <c r="AS3" s="367">
        <f t="shared" ref="AS3:AS15" si="7">N3+S3+X3+AC3+AF3+AN3+AQ3</f>
        <v>826.7</v>
      </c>
      <c r="AT3" s="367">
        <f t="shared" ref="AT3:AT15" si="8">P3+U3+Z3</f>
        <v>339.9</v>
      </c>
      <c r="AU3" s="367">
        <f t="shared" ref="AU3:AU15" si="9">AI3</f>
        <v>300</v>
      </c>
      <c r="AV3" s="367">
        <f t="shared" ref="AV3:AV15" si="10">AK3</f>
        <v>180</v>
      </c>
      <c r="AW3" s="367">
        <f t="shared" ref="AW3:AW15" si="11">AV3+AS3+AT3+AU3</f>
        <v>1646.6</v>
      </c>
      <c r="AX3" s="223">
        <f t="shared" ref="AX3:AX15" si="12">AS3+AT3</f>
        <v>1166.6</v>
      </c>
      <c r="AY3" s="223"/>
      <c r="AZ3" s="223">
        <f t="shared" ref="AZ3:AZ8" si="13">AU3+AV3</f>
        <v>480</v>
      </c>
      <c r="BA3" s="223"/>
      <c r="BB3" s="224">
        <v>80</v>
      </c>
      <c r="BC3" s="223">
        <f t="shared" ref="BC3:BC15" si="14">AX3+AZ3+BB3</f>
        <v>1726.6</v>
      </c>
      <c r="BD3" s="370"/>
      <c r="BE3" s="374"/>
      <c r="BF3" s="375"/>
      <c r="BG3" s="375"/>
      <c r="BH3" s="376" t="s">
        <v>47</v>
      </c>
    </row>
    <row r="4" s="353" customFormat="1" ht="18" customHeight="1" spans="1:60">
      <c r="A4" s="355"/>
      <c r="B4" s="162" t="s">
        <v>39</v>
      </c>
      <c r="C4" s="163" t="s">
        <v>40</v>
      </c>
      <c r="D4" s="356" t="s">
        <v>41</v>
      </c>
      <c r="E4" s="162" t="s">
        <v>42</v>
      </c>
      <c r="F4" s="164" t="s">
        <v>43</v>
      </c>
      <c r="G4" s="165" t="s">
        <v>44</v>
      </c>
      <c r="H4" s="356" t="s">
        <v>45</v>
      </c>
      <c r="I4" s="356" t="s">
        <v>45</v>
      </c>
      <c r="J4" s="356" t="s">
        <v>48</v>
      </c>
      <c r="K4" s="356" t="s">
        <v>48</v>
      </c>
      <c r="L4" s="355">
        <v>3300</v>
      </c>
      <c r="M4" s="355">
        <v>0.16</v>
      </c>
      <c r="N4" s="355">
        <f t="shared" si="0"/>
        <v>528</v>
      </c>
      <c r="O4" s="355">
        <v>0.08</v>
      </c>
      <c r="P4" s="355">
        <f t="shared" si="1"/>
        <v>264</v>
      </c>
      <c r="Q4" s="355">
        <v>3300</v>
      </c>
      <c r="R4" s="355">
        <v>0.08</v>
      </c>
      <c r="S4" s="355">
        <f t="shared" si="2"/>
        <v>264</v>
      </c>
      <c r="T4" s="355">
        <v>0.02</v>
      </c>
      <c r="U4" s="355">
        <f t="shared" si="3"/>
        <v>66</v>
      </c>
      <c r="V4" s="355">
        <v>3300</v>
      </c>
      <c r="W4" s="355">
        <v>0.007</v>
      </c>
      <c r="X4" s="355">
        <f t="shared" si="4"/>
        <v>23.1</v>
      </c>
      <c r="Y4" s="355">
        <v>0.003</v>
      </c>
      <c r="Z4" s="355">
        <f t="shared" si="5"/>
        <v>9.9</v>
      </c>
      <c r="AA4" s="355"/>
      <c r="AB4" s="355"/>
      <c r="AC4" s="355"/>
      <c r="AD4" s="355">
        <v>3300</v>
      </c>
      <c r="AE4" s="355">
        <v>0.002</v>
      </c>
      <c r="AF4" s="355">
        <f t="shared" si="6"/>
        <v>6.6</v>
      </c>
      <c r="AG4" s="355">
        <v>3000</v>
      </c>
      <c r="AH4" s="355">
        <v>0.1</v>
      </c>
      <c r="AI4" s="355">
        <f>ROUND(AG4*AH4,2)</f>
        <v>300</v>
      </c>
      <c r="AJ4" s="355">
        <v>0.06</v>
      </c>
      <c r="AK4" s="355">
        <f>ROUND(AG4*AJ4,2)</f>
        <v>180</v>
      </c>
      <c r="AL4" s="364"/>
      <c r="AM4" s="355"/>
      <c r="AN4" s="355"/>
      <c r="AO4" s="355"/>
      <c r="AP4" s="162" t="s">
        <v>47</v>
      </c>
      <c r="AQ4" s="366">
        <v>5</v>
      </c>
      <c r="AR4" s="355"/>
      <c r="AS4" s="367">
        <f t="shared" si="7"/>
        <v>826.7</v>
      </c>
      <c r="AT4" s="367">
        <f t="shared" si="8"/>
        <v>339.9</v>
      </c>
      <c r="AU4" s="367">
        <f t="shared" si="9"/>
        <v>300</v>
      </c>
      <c r="AV4" s="367">
        <f t="shared" si="10"/>
        <v>180</v>
      </c>
      <c r="AW4" s="367">
        <f t="shared" si="11"/>
        <v>1646.6</v>
      </c>
      <c r="AX4" s="223">
        <f t="shared" si="12"/>
        <v>1166.6</v>
      </c>
      <c r="AY4" s="223"/>
      <c r="AZ4" s="223">
        <f t="shared" si="13"/>
        <v>480</v>
      </c>
      <c r="BA4" s="223"/>
      <c r="BB4" s="224">
        <v>80</v>
      </c>
      <c r="BC4" s="223">
        <f t="shared" si="14"/>
        <v>1726.6</v>
      </c>
      <c r="BD4" s="370"/>
      <c r="BE4" s="374"/>
      <c r="BF4" s="375"/>
      <c r="BG4" s="375"/>
      <c r="BH4" s="376" t="s">
        <v>47</v>
      </c>
    </row>
    <row r="5" s="353" customFormat="1" ht="18" customHeight="1" spans="1:60">
      <c r="A5" s="355"/>
      <c r="B5" s="162" t="s">
        <v>39</v>
      </c>
      <c r="C5" s="163" t="s">
        <v>40</v>
      </c>
      <c r="D5" s="356" t="s">
        <v>41</v>
      </c>
      <c r="E5" s="162" t="s">
        <v>42</v>
      </c>
      <c r="F5" s="164" t="s">
        <v>43</v>
      </c>
      <c r="G5" s="165" t="s">
        <v>44</v>
      </c>
      <c r="H5" s="356" t="s">
        <v>45</v>
      </c>
      <c r="I5" s="356" t="s">
        <v>45</v>
      </c>
      <c r="J5" s="356" t="s">
        <v>49</v>
      </c>
      <c r="K5" s="356" t="s">
        <v>49</v>
      </c>
      <c r="L5" s="355">
        <v>3300</v>
      </c>
      <c r="M5" s="355">
        <v>0.16</v>
      </c>
      <c r="N5" s="355">
        <f t="shared" si="0"/>
        <v>528</v>
      </c>
      <c r="O5" s="355">
        <v>0.08</v>
      </c>
      <c r="P5" s="355">
        <f t="shared" si="1"/>
        <v>264</v>
      </c>
      <c r="Q5" s="355">
        <v>3300</v>
      </c>
      <c r="R5" s="355">
        <v>0.08</v>
      </c>
      <c r="S5" s="355">
        <f t="shared" si="2"/>
        <v>264</v>
      </c>
      <c r="T5" s="355">
        <v>0.02</v>
      </c>
      <c r="U5" s="355">
        <f t="shared" si="3"/>
        <v>66</v>
      </c>
      <c r="V5" s="355">
        <v>3300</v>
      </c>
      <c r="W5" s="355">
        <v>0.007</v>
      </c>
      <c r="X5" s="355">
        <f t="shared" si="4"/>
        <v>23.1</v>
      </c>
      <c r="Y5" s="355">
        <v>0.003</v>
      </c>
      <c r="Z5" s="355">
        <f t="shared" si="5"/>
        <v>9.9</v>
      </c>
      <c r="AA5" s="355"/>
      <c r="AB5" s="355"/>
      <c r="AC5" s="355"/>
      <c r="AD5" s="355">
        <v>3300</v>
      </c>
      <c r="AE5" s="355">
        <v>0.002</v>
      </c>
      <c r="AF5" s="355">
        <f t="shared" si="6"/>
        <v>6.6</v>
      </c>
      <c r="AG5" s="355">
        <v>3000</v>
      </c>
      <c r="AH5" s="355">
        <v>0.1</v>
      </c>
      <c r="AI5" s="355">
        <f>ROUND(AG5*AH5,2)</f>
        <v>300</v>
      </c>
      <c r="AJ5" s="355">
        <v>0.06</v>
      </c>
      <c r="AK5" s="355">
        <f>ROUND(AG5*AJ5,2)</f>
        <v>180</v>
      </c>
      <c r="AL5" s="364"/>
      <c r="AM5" s="355"/>
      <c r="AN5" s="355"/>
      <c r="AO5" s="355"/>
      <c r="AP5" s="162" t="s">
        <v>47</v>
      </c>
      <c r="AQ5" s="366">
        <v>5</v>
      </c>
      <c r="AR5" s="355"/>
      <c r="AS5" s="367">
        <f t="shared" si="7"/>
        <v>826.7</v>
      </c>
      <c r="AT5" s="367">
        <f t="shared" si="8"/>
        <v>339.9</v>
      </c>
      <c r="AU5" s="367">
        <f t="shared" si="9"/>
        <v>300</v>
      </c>
      <c r="AV5" s="367">
        <f t="shared" si="10"/>
        <v>180</v>
      </c>
      <c r="AW5" s="367">
        <f t="shared" si="11"/>
        <v>1646.6</v>
      </c>
      <c r="AX5" s="223">
        <f t="shared" si="12"/>
        <v>1166.6</v>
      </c>
      <c r="AY5" s="223"/>
      <c r="AZ5" s="223">
        <f t="shared" si="13"/>
        <v>480</v>
      </c>
      <c r="BA5" s="223"/>
      <c r="BB5" s="224">
        <v>80</v>
      </c>
      <c r="BC5" s="223">
        <f t="shared" si="14"/>
        <v>1726.6</v>
      </c>
      <c r="BD5" s="370"/>
      <c r="BE5" s="374"/>
      <c r="BF5" s="375"/>
      <c r="BG5" s="375"/>
      <c r="BH5" s="376" t="s">
        <v>47</v>
      </c>
    </row>
    <row r="6" s="353" customFormat="1" ht="18" customHeight="1" spans="1:60">
      <c r="A6" s="355">
        <v>2</v>
      </c>
      <c r="B6" s="162" t="s">
        <v>39</v>
      </c>
      <c r="C6" s="163" t="s">
        <v>50</v>
      </c>
      <c r="D6" s="356" t="s">
        <v>41</v>
      </c>
      <c r="E6" s="162" t="s">
        <v>51</v>
      </c>
      <c r="F6" s="164" t="s">
        <v>52</v>
      </c>
      <c r="G6" s="379" t="s">
        <v>53</v>
      </c>
      <c r="H6" s="356" t="s">
        <v>45</v>
      </c>
      <c r="I6" s="356" t="s">
        <v>54</v>
      </c>
      <c r="J6" s="356" t="s">
        <v>46</v>
      </c>
      <c r="K6" s="356" t="s">
        <v>54</v>
      </c>
      <c r="L6" s="355">
        <v>3803</v>
      </c>
      <c r="M6" s="355">
        <v>0.14</v>
      </c>
      <c r="N6" s="355">
        <f t="shared" si="0"/>
        <v>532.42</v>
      </c>
      <c r="O6" s="355">
        <v>0.08</v>
      </c>
      <c r="P6" s="355">
        <f t="shared" si="1"/>
        <v>304.24</v>
      </c>
      <c r="Q6" s="355">
        <v>6175</v>
      </c>
      <c r="R6" s="355">
        <v>0.055</v>
      </c>
      <c r="S6" s="355">
        <f t="shared" si="2"/>
        <v>339.63</v>
      </c>
      <c r="T6" s="355">
        <v>0.02</v>
      </c>
      <c r="U6" s="355">
        <f t="shared" si="3"/>
        <v>123.5</v>
      </c>
      <c r="V6" s="355">
        <v>3803</v>
      </c>
      <c r="W6" s="355">
        <v>0.0032</v>
      </c>
      <c r="X6" s="355">
        <f t="shared" si="4"/>
        <v>12.17</v>
      </c>
      <c r="Y6" s="355">
        <v>0.002</v>
      </c>
      <c r="Z6" s="355">
        <f t="shared" si="5"/>
        <v>7.61</v>
      </c>
      <c r="AA6" s="355">
        <v>6175</v>
      </c>
      <c r="AB6" s="355">
        <v>0.0085</v>
      </c>
      <c r="AC6" s="355">
        <f t="shared" ref="AC6:AC8" si="15">ROUND(AA6*AB6,2)</f>
        <v>52.49</v>
      </c>
      <c r="AD6" s="355">
        <v>3803</v>
      </c>
      <c r="AE6" s="355">
        <v>0.0016</v>
      </c>
      <c r="AF6" s="355">
        <f t="shared" si="6"/>
        <v>6.08</v>
      </c>
      <c r="AG6" s="355"/>
      <c r="AH6" s="355"/>
      <c r="AI6" s="355"/>
      <c r="AJ6" s="355"/>
      <c r="AK6" s="355"/>
      <c r="AL6" s="364"/>
      <c r="AM6" s="355"/>
      <c r="AN6" s="355"/>
      <c r="AO6" s="355"/>
      <c r="AP6" s="162"/>
      <c r="AQ6" s="366">
        <v>26.76</v>
      </c>
      <c r="AR6" s="355"/>
      <c r="AS6" s="367">
        <f t="shared" si="7"/>
        <v>969.55</v>
      </c>
      <c r="AT6" s="367">
        <f t="shared" si="8"/>
        <v>435.35</v>
      </c>
      <c r="AU6" s="367">
        <f t="shared" si="9"/>
        <v>0</v>
      </c>
      <c r="AV6" s="367">
        <f t="shared" si="10"/>
        <v>0</v>
      </c>
      <c r="AW6" s="367">
        <f t="shared" si="11"/>
        <v>1404.9</v>
      </c>
      <c r="AX6" s="223">
        <f t="shared" si="12"/>
        <v>1404.9</v>
      </c>
      <c r="AY6" s="223"/>
      <c r="AZ6" s="223">
        <f t="shared" si="13"/>
        <v>0</v>
      </c>
      <c r="BA6" s="223"/>
      <c r="BB6" s="224">
        <v>80</v>
      </c>
      <c r="BC6" s="223">
        <f t="shared" si="14"/>
        <v>1484.9</v>
      </c>
      <c r="BD6" s="370"/>
      <c r="BE6" s="377"/>
      <c r="BF6" s="377"/>
      <c r="BG6" s="377"/>
      <c r="BH6" s="377"/>
    </row>
    <row r="7" s="353" customFormat="1" ht="18" customHeight="1" spans="1:60">
      <c r="A7" s="355"/>
      <c r="B7" s="162" t="s">
        <v>39</v>
      </c>
      <c r="C7" s="163" t="s">
        <v>50</v>
      </c>
      <c r="D7" s="356" t="s">
        <v>41</v>
      </c>
      <c r="E7" s="162" t="s">
        <v>51</v>
      </c>
      <c r="F7" s="164" t="s">
        <v>52</v>
      </c>
      <c r="G7" s="379" t="s">
        <v>53</v>
      </c>
      <c r="H7" s="356" t="s">
        <v>45</v>
      </c>
      <c r="I7" s="356" t="s">
        <v>54</v>
      </c>
      <c r="J7" s="356" t="s">
        <v>48</v>
      </c>
      <c r="K7" s="356" t="s">
        <v>54</v>
      </c>
      <c r="L7" s="355">
        <v>3803</v>
      </c>
      <c r="M7" s="355">
        <v>0.14</v>
      </c>
      <c r="N7" s="355">
        <f t="shared" si="0"/>
        <v>532.42</v>
      </c>
      <c r="O7" s="355">
        <v>0.08</v>
      </c>
      <c r="P7" s="355">
        <f t="shared" si="1"/>
        <v>304.24</v>
      </c>
      <c r="Q7" s="355">
        <v>6175</v>
      </c>
      <c r="R7" s="355">
        <v>0.055</v>
      </c>
      <c r="S7" s="355">
        <f t="shared" si="2"/>
        <v>339.63</v>
      </c>
      <c r="T7" s="355">
        <v>0.02</v>
      </c>
      <c r="U7" s="355">
        <f t="shared" si="3"/>
        <v>123.5</v>
      </c>
      <c r="V7" s="355">
        <v>3803</v>
      </c>
      <c r="W7" s="355">
        <v>0.0032</v>
      </c>
      <c r="X7" s="355">
        <f t="shared" si="4"/>
        <v>12.17</v>
      </c>
      <c r="Y7" s="355">
        <v>0.002</v>
      </c>
      <c r="Z7" s="355">
        <f t="shared" si="5"/>
        <v>7.61</v>
      </c>
      <c r="AA7" s="355">
        <v>6175</v>
      </c>
      <c r="AB7" s="355">
        <v>0.0085</v>
      </c>
      <c r="AC7" s="355">
        <f t="shared" si="15"/>
        <v>52.49</v>
      </c>
      <c r="AD7" s="355">
        <v>3803</v>
      </c>
      <c r="AE7" s="355">
        <v>0.0016</v>
      </c>
      <c r="AF7" s="355">
        <f t="shared" si="6"/>
        <v>6.08</v>
      </c>
      <c r="AG7" s="355"/>
      <c r="AH7" s="355"/>
      <c r="AI7" s="355"/>
      <c r="AJ7" s="355"/>
      <c r="AK7" s="355"/>
      <c r="AL7" s="364"/>
      <c r="AM7" s="355"/>
      <c r="AN7" s="355"/>
      <c r="AO7" s="355"/>
      <c r="AP7" s="162"/>
      <c r="AQ7" s="366">
        <v>26.76</v>
      </c>
      <c r="AR7" s="355"/>
      <c r="AS7" s="367">
        <f t="shared" si="7"/>
        <v>969.55</v>
      </c>
      <c r="AT7" s="367">
        <f t="shared" si="8"/>
        <v>435.35</v>
      </c>
      <c r="AU7" s="367">
        <f t="shared" si="9"/>
        <v>0</v>
      </c>
      <c r="AV7" s="367">
        <f t="shared" si="10"/>
        <v>0</v>
      </c>
      <c r="AW7" s="367">
        <f t="shared" si="11"/>
        <v>1404.9</v>
      </c>
      <c r="AX7" s="223">
        <f t="shared" si="12"/>
        <v>1404.9</v>
      </c>
      <c r="AY7" s="223"/>
      <c r="AZ7" s="223">
        <f t="shared" si="13"/>
        <v>0</v>
      </c>
      <c r="BA7" s="223"/>
      <c r="BB7" s="224">
        <v>80</v>
      </c>
      <c r="BC7" s="223">
        <f t="shared" si="14"/>
        <v>1484.9</v>
      </c>
      <c r="BD7" s="370"/>
      <c r="BE7" s="377"/>
      <c r="BF7" s="377"/>
      <c r="BG7" s="377"/>
      <c r="BH7" s="377"/>
    </row>
    <row r="8" s="353" customFormat="1" ht="18" customHeight="1" spans="1:60">
      <c r="A8" s="355"/>
      <c r="B8" s="162" t="s">
        <v>39</v>
      </c>
      <c r="C8" s="163" t="s">
        <v>50</v>
      </c>
      <c r="D8" s="356" t="s">
        <v>41</v>
      </c>
      <c r="E8" s="162" t="s">
        <v>51</v>
      </c>
      <c r="F8" s="164" t="s">
        <v>52</v>
      </c>
      <c r="G8" s="379" t="s">
        <v>53</v>
      </c>
      <c r="H8" s="356" t="s">
        <v>45</v>
      </c>
      <c r="I8" s="356" t="s">
        <v>54</v>
      </c>
      <c r="J8" s="356" t="s">
        <v>49</v>
      </c>
      <c r="K8" s="356" t="s">
        <v>54</v>
      </c>
      <c r="L8" s="355">
        <v>3803</v>
      </c>
      <c r="M8" s="355">
        <v>0.14</v>
      </c>
      <c r="N8" s="355">
        <f t="shared" si="0"/>
        <v>532.42</v>
      </c>
      <c r="O8" s="355">
        <v>0.08</v>
      </c>
      <c r="P8" s="355">
        <f t="shared" si="1"/>
        <v>304.24</v>
      </c>
      <c r="Q8" s="355">
        <v>6175</v>
      </c>
      <c r="R8" s="355">
        <v>0.055</v>
      </c>
      <c r="S8" s="355">
        <f t="shared" si="2"/>
        <v>339.63</v>
      </c>
      <c r="T8" s="355">
        <v>0.02</v>
      </c>
      <c r="U8" s="355">
        <f t="shared" si="3"/>
        <v>123.5</v>
      </c>
      <c r="V8" s="355">
        <v>3803</v>
      </c>
      <c r="W8" s="355">
        <v>0.0032</v>
      </c>
      <c r="X8" s="355">
        <f t="shared" si="4"/>
        <v>12.17</v>
      </c>
      <c r="Y8" s="355">
        <v>0.002</v>
      </c>
      <c r="Z8" s="355">
        <f t="shared" si="5"/>
        <v>7.61</v>
      </c>
      <c r="AA8" s="355">
        <v>6175</v>
      </c>
      <c r="AB8" s="355">
        <v>0.0085</v>
      </c>
      <c r="AC8" s="355">
        <f t="shared" si="15"/>
        <v>52.49</v>
      </c>
      <c r="AD8" s="355">
        <v>3803</v>
      </c>
      <c r="AE8" s="355">
        <v>0.0016</v>
      </c>
      <c r="AF8" s="355">
        <f t="shared" si="6"/>
        <v>6.08</v>
      </c>
      <c r="AG8" s="355"/>
      <c r="AH8" s="355"/>
      <c r="AI8" s="355"/>
      <c r="AJ8" s="355"/>
      <c r="AK8" s="355"/>
      <c r="AL8" s="364"/>
      <c r="AM8" s="355"/>
      <c r="AN8" s="355"/>
      <c r="AO8" s="355"/>
      <c r="AP8" s="162"/>
      <c r="AQ8" s="366">
        <v>26.76</v>
      </c>
      <c r="AR8" s="355"/>
      <c r="AS8" s="367">
        <f t="shared" si="7"/>
        <v>969.55</v>
      </c>
      <c r="AT8" s="367">
        <f t="shared" si="8"/>
        <v>435.35</v>
      </c>
      <c r="AU8" s="367">
        <f t="shared" si="9"/>
        <v>0</v>
      </c>
      <c r="AV8" s="367">
        <f t="shared" si="10"/>
        <v>0</v>
      </c>
      <c r="AW8" s="367">
        <f t="shared" si="11"/>
        <v>1404.9</v>
      </c>
      <c r="AX8" s="223">
        <f t="shared" si="12"/>
        <v>1404.9</v>
      </c>
      <c r="AY8" s="223"/>
      <c r="AZ8" s="223">
        <f t="shared" si="13"/>
        <v>0</v>
      </c>
      <c r="BA8" s="223"/>
      <c r="BB8" s="224">
        <v>80</v>
      </c>
      <c r="BC8" s="223">
        <f t="shared" si="14"/>
        <v>1484.9</v>
      </c>
      <c r="BD8" s="370"/>
      <c r="BE8" s="377"/>
      <c r="BF8" s="377"/>
      <c r="BG8" s="377"/>
      <c r="BH8" s="377"/>
    </row>
    <row r="9" s="354" customFormat="1" ht="18" customHeight="1" spans="1:60">
      <c r="A9" s="357" t="s">
        <v>55</v>
      </c>
      <c r="B9" s="358" t="s">
        <v>39</v>
      </c>
      <c r="C9" s="359" t="s">
        <v>50</v>
      </c>
      <c r="D9" s="360" t="s">
        <v>41</v>
      </c>
      <c r="E9" s="358" t="s">
        <v>51</v>
      </c>
      <c r="F9" s="361" t="s">
        <v>52</v>
      </c>
      <c r="G9" s="380" t="s">
        <v>53</v>
      </c>
      <c r="H9" s="360" t="s">
        <v>45</v>
      </c>
      <c r="I9" s="360" t="s">
        <v>54</v>
      </c>
      <c r="J9" s="360" t="s">
        <v>56</v>
      </c>
      <c r="K9" s="360" t="s">
        <v>54</v>
      </c>
      <c r="L9" s="357"/>
      <c r="M9" s="357"/>
      <c r="N9" s="357"/>
      <c r="O9" s="357"/>
      <c r="P9" s="357"/>
      <c r="Q9" s="357"/>
      <c r="R9" s="357"/>
      <c r="S9" s="357"/>
      <c r="T9" s="357"/>
      <c r="U9" s="357"/>
      <c r="V9" s="357"/>
      <c r="W9" s="357"/>
      <c r="X9" s="357"/>
      <c r="Y9" s="357"/>
      <c r="Z9" s="357"/>
      <c r="AA9" s="357"/>
      <c r="AB9" s="357"/>
      <c r="AC9" s="357"/>
      <c r="AD9" s="363">
        <f t="shared" ref="AD9:AD11" si="16">3803-3000</f>
        <v>803</v>
      </c>
      <c r="AE9" s="363">
        <v>0.0016</v>
      </c>
      <c r="AF9" s="363">
        <f t="shared" si="6"/>
        <v>1.28</v>
      </c>
      <c r="AG9" s="357"/>
      <c r="AH9" s="357"/>
      <c r="AI9" s="357"/>
      <c r="AJ9" s="357"/>
      <c r="AK9" s="357"/>
      <c r="AL9" s="365"/>
      <c r="AM9" s="357"/>
      <c r="AN9" s="357"/>
      <c r="AO9" s="357"/>
      <c r="AP9" s="358"/>
      <c r="AQ9" s="368"/>
      <c r="AR9" s="357"/>
      <c r="AS9" s="369">
        <f t="shared" si="7"/>
        <v>1.28</v>
      </c>
      <c r="AT9" s="369">
        <f t="shared" si="8"/>
        <v>0</v>
      </c>
      <c r="AU9" s="369">
        <f t="shared" si="9"/>
        <v>0</v>
      </c>
      <c r="AV9" s="369">
        <f t="shared" si="10"/>
        <v>0</v>
      </c>
      <c r="AW9" s="369">
        <f t="shared" si="11"/>
        <v>1.28</v>
      </c>
      <c r="AX9" s="371">
        <f t="shared" si="12"/>
        <v>1.28</v>
      </c>
      <c r="AY9" s="371"/>
      <c r="AZ9" s="371"/>
      <c r="BA9" s="371"/>
      <c r="BB9" s="372"/>
      <c r="BC9" s="371">
        <f t="shared" si="14"/>
        <v>1.28</v>
      </c>
      <c r="BD9" s="373" t="s">
        <v>57</v>
      </c>
      <c r="BE9" s="378"/>
      <c r="BF9" s="378"/>
      <c r="BG9" s="378"/>
      <c r="BH9" s="378"/>
    </row>
    <row r="10" s="354" customFormat="1" ht="18" customHeight="1" spans="1:60">
      <c r="A10" s="357" t="s">
        <v>55</v>
      </c>
      <c r="B10" s="358" t="s">
        <v>39</v>
      </c>
      <c r="C10" s="359" t="s">
        <v>50</v>
      </c>
      <c r="D10" s="360" t="s">
        <v>41</v>
      </c>
      <c r="E10" s="358" t="s">
        <v>51</v>
      </c>
      <c r="F10" s="361" t="s">
        <v>52</v>
      </c>
      <c r="G10" s="380" t="s">
        <v>53</v>
      </c>
      <c r="H10" s="360" t="s">
        <v>45</v>
      </c>
      <c r="I10" s="360" t="s">
        <v>54</v>
      </c>
      <c r="J10" s="360" t="s">
        <v>58</v>
      </c>
      <c r="K10" s="360" t="s">
        <v>54</v>
      </c>
      <c r="L10" s="357"/>
      <c r="M10" s="357"/>
      <c r="N10" s="357"/>
      <c r="O10" s="357"/>
      <c r="P10" s="357"/>
      <c r="Q10" s="357"/>
      <c r="R10" s="357"/>
      <c r="S10" s="357"/>
      <c r="T10" s="357"/>
      <c r="U10" s="357"/>
      <c r="V10" s="357"/>
      <c r="W10" s="357"/>
      <c r="X10" s="357"/>
      <c r="Y10" s="357"/>
      <c r="Z10" s="357"/>
      <c r="AA10" s="357"/>
      <c r="AB10" s="357"/>
      <c r="AC10" s="357"/>
      <c r="AD10" s="363">
        <f t="shared" si="16"/>
        <v>803</v>
      </c>
      <c r="AE10" s="363">
        <v>0.0016</v>
      </c>
      <c r="AF10" s="363">
        <f t="shared" si="6"/>
        <v>1.28</v>
      </c>
      <c r="AG10" s="357"/>
      <c r="AH10" s="357"/>
      <c r="AI10" s="357"/>
      <c r="AJ10" s="357"/>
      <c r="AK10" s="357"/>
      <c r="AL10" s="365"/>
      <c r="AM10" s="357"/>
      <c r="AN10" s="357"/>
      <c r="AO10" s="357"/>
      <c r="AP10" s="358"/>
      <c r="AQ10" s="368"/>
      <c r="AR10" s="357"/>
      <c r="AS10" s="369">
        <f t="shared" si="7"/>
        <v>1.28</v>
      </c>
      <c r="AT10" s="369">
        <f t="shared" si="8"/>
        <v>0</v>
      </c>
      <c r="AU10" s="369">
        <f t="shared" si="9"/>
        <v>0</v>
      </c>
      <c r="AV10" s="369">
        <f t="shared" si="10"/>
        <v>0</v>
      </c>
      <c r="AW10" s="369">
        <f t="shared" si="11"/>
        <v>1.28</v>
      </c>
      <c r="AX10" s="371">
        <f t="shared" si="12"/>
        <v>1.28</v>
      </c>
      <c r="AY10" s="371"/>
      <c r="AZ10" s="371"/>
      <c r="BA10" s="371"/>
      <c r="BB10" s="372"/>
      <c r="BC10" s="371">
        <f t="shared" si="14"/>
        <v>1.28</v>
      </c>
      <c r="BD10" s="373" t="s">
        <v>57</v>
      </c>
      <c r="BE10" s="378"/>
      <c r="BF10" s="378"/>
      <c r="BG10" s="378"/>
      <c r="BH10" s="378"/>
    </row>
    <row r="11" s="354" customFormat="1" ht="18" customHeight="1" spans="1:60">
      <c r="A11" s="357" t="s">
        <v>55</v>
      </c>
      <c r="B11" s="358" t="s">
        <v>39</v>
      </c>
      <c r="C11" s="359" t="s">
        <v>50</v>
      </c>
      <c r="D11" s="360" t="s">
        <v>41</v>
      </c>
      <c r="E11" s="358" t="s">
        <v>51</v>
      </c>
      <c r="F11" s="361" t="s">
        <v>52</v>
      </c>
      <c r="G11" s="380" t="s">
        <v>53</v>
      </c>
      <c r="H11" s="360" t="s">
        <v>45</v>
      </c>
      <c r="I11" s="360" t="s">
        <v>54</v>
      </c>
      <c r="J11" s="360" t="s">
        <v>59</v>
      </c>
      <c r="K11" s="360" t="s">
        <v>54</v>
      </c>
      <c r="L11" s="357"/>
      <c r="M11" s="357"/>
      <c r="N11" s="357"/>
      <c r="O11" s="357"/>
      <c r="P11" s="357"/>
      <c r="Q11" s="357"/>
      <c r="R11" s="357"/>
      <c r="S11" s="357"/>
      <c r="T11" s="357"/>
      <c r="U11" s="357"/>
      <c r="V11" s="357"/>
      <c r="W11" s="357"/>
      <c r="X11" s="357"/>
      <c r="Y11" s="357"/>
      <c r="Z11" s="357"/>
      <c r="AA11" s="357"/>
      <c r="AB11" s="357"/>
      <c r="AC11" s="357"/>
      <c r="AD11" s="363">
        <f t="shared" si="16"/>
        <v>803</v>
      </c>
      <c r="AE11" s="363">
        <v>0.0016</v>
      </c>
      <c r="AF11" s="363">
        <f t="shared" si="6"/>
        <v>1.28</v>
      </c>
      <c r="AG11" s="357"/>
      <c r="AH11" s="357"/>
      <c r="AI11" s="357"/>
      <c r="AJ11" s="357"/>
      <c r="AK11" s="357"/>
      <c r="AL11" s="365"/>
      <c r="AM11" s="357"/>
      <c r="AN11" s="357"/>
      <c r="AO11" s="357"/>
      <c r="AP11" s="358"/>
      <c r="AQ11" s="368"/>
      <c r="AR11" s="357"/>
      <c r="AS11" s="369">
        <f t="shared" si="7"/>
        <v>1.28</v>
      </c>
      <c r="AT11" s="369">
        <f t="shared" si="8"/>
        <v>0</v>
      </c>
      <c r="AU11" s="369">
        <f t="shared" si="9"/>
        <v>0</v>
      </c>
      <c r="AV11" s="369">
        <f t="shared" si="10"/>
        <v>0</v>
      </c>
      <c r="AW11" s="369">
        <f t="shared" si="11"/>
        <v>1.28</v>
      </c>
      <c r="AX11" s="371">
        <f t="shared" si="12"/>
        <v>1.28</v>
      </c>
      <c r="AY11" s="371"/>
      <c r="AZ11" s="371"/>
      <c r="BA11" s="371"/>
      <c r="BB11" s="372"/>
      <c r="BC11" s="371">
        <f t="shared" si="14"/>
        <v>1.28</v>
      </c>
      <c r="BD11" s="373" t="s">
        <v>57</v>
      </c>
      <c r="BE11" s="378"/>
      <c r="BF11" s="378"/>
      <c r="BG11" s="378"/>
      <c r="BH11" s="378"/>
    </row>
    <row r="12" s="353" customFormat="1" ht="18" customHeight="1" spans="1:60">
      <c r="A12" s="355">
        <v>3</v>
      </c>
      <c r="B12" s="162" t="s">
        <v>39</v>
      </c>
      <c r="C12" s="163" t="s">
        <v>60</v>
      </c>
      <c r="D12" s="356" t="s">
        <v>41</v>
      </c>
      <c r="E12" s="162" t="s">
        <v>51</v>
      </c>
      <c r="F12" s="164" t="s">
        <v>61</v>
      </c>
      <c r="G12" s="165" t="s">
        <v>62</v>
      </c>
      <c r="H12" s="356" t="s">
        <v>63</v>
      </c>
      <c r="I12" s="356" t="s">
        <v>63</v>
      </c>
      <c r="J12" s="356" t="s">
        <v>48</v>
      </c>
      <c r="K12" s="356" t="s">
        <v>48</v>
      </c>
      <c r="L12" s="355">
        <v>3053.05</v>
      </c>
      <c r="M12" s="355">
        <v>0.16</v>
      </c>
      <c r="N12" s="355">
        <f t="shared" ref="N12:N15" si="17">ROUND(L12*M12,2)</f>
        <v>488.49</v>
      </c>
      <c r="O12" s="355">
        <v>0.08</v>
      </c>
      <c r="P12" s="355">
        <f t="shared" ref="P12:P15" si="18">ROUND(L12*O12,2)</f>
        <v>244.24</v>
      </c>
      <c r="Q12" s="355">
        <v>3053.05</v>
      </c>
      <c r="R12" s="355">
        <v>0.06</v>
      </c>
      <c r="S12" s="355">
        <f t="shared" ref="S12:S15" si="19">ROUND(Q12*R12,2)</f>
        <v>183.18</v>
      </c>
      <c r="T12" s="355">
        <v>0.02</v>
      </c>
      <c r="U12" s="355">
        <f t="shared" ref="U12:U15" si="20">ROUND(Q12*T12,2)</f>
        <v>61.06</v>
      </c>
      <c r="V12" s="355">
        <v>3053.05</v>
      </c>
      <c r="W12" s="355">
        <v>0.007</v>
      </c>
      <c r="X12" s="355">
        <f t="shared" ref="X12:X15" si="21">ROUND(V12*W12,2)</f>
        <v>21.37</v>
      </c>
      <c r="Y12" s="355">
        <v>0.003</v>
      </c>
      <c r="Z12" s="355">
        <f t="shared" ref="Z12:Z15" si="22">ROUND(V12*Y12,2)</f>
        <v>9.16</v>
      </c>
      <c r="AA12" s="355">
        <v>3053.05</v>
      </c>
      <c r="AB12" s="355">
        <v>0.007</v>
      </c>
      <c r="AC12" s="355">
        <f t="shared" ref="AC12:AC15" si="23">ROUND(AA12*AB12,2)</f>
        <v>21.37</v>
      </c>
      <c r="AD12" s="355">
        <v>3053.05</v>
      </c>
      <c r="AE12" s="355">
        <v>0.002</v>
      </c>
      <c r="AF12" s="355">
        <f t="shared" si="6"/>
        <v>6.11</v>
      </c>
      <c r="AG12" s="355" t="s">
        <v>64</v>
      </c>
      <c r="AH12" s="355">
        <v>0.05</v>
      </c>
      <c r="AI12" s="355">
        <f t="shared" ref="AI12:AI15" si="24">ROUND(AG12*AH12,2)</f>
        <v>79</v>
      </c>
      <c r="AJ12" s="355">
        <v>0.05</v>
      </c>
      <c r="AK12" s="355">
        <f t="shared" ref="AK12:AK15" si="25">ROUND(AG12*AJ12,2)</f>
        <v>79</v>
      </c>
      <c r="AL12" s="364"/>
      <c r="AM12" s="355"/>
      <c r="AN12" s="355"/>
      <c r="AO12" s="355"/>
      <c r="AP12" s="162"/>
      <c r="AQ12" s="366"/>
      <c r="AR12" s="355">
        <v>96</v>
      </c>
      <c r="AS12" s="367">
        <f t="shared" si="7"/>
        <v>720.52</v>
      </c>
      <c r="AT12" s="367">
        <f t="shared" si="8"/>
        <v>314.46</v>
      </c>
      <c r="AU12" s="367">
        <f t="shared" si="9"/>
        <v>79</v>
      </c>
      <c r="AV12" s="367">
        <f t="shared" si="10"/>
        <v>79</v>
      </c>
      <c r="AW12" s="367">
        <f t="shared" si="11"/>
        <v>1192.98</v>
      </c>
      <c r="AX12" s="223">
        <f t="shared" si="12"/>
        <v>1034.98</v>
      </c>
      <c r="AY12" s="223"/>
      <c r="AZ12" s="223">
        <f t="shared" ref="AZ12:AZ15" si="26">AU12+AV12</f>
        <v>158</v>
      </c>
      <c r="BA12" s="223"/>
      <c r="BB12" s="224">
        <v>80</v>
      </c>
      <c r="BC12" s="223">
        <f t="shared" si="14"/>
        <v>1272.98</v>
      </c>
      <c r="BD12" s="370"/>
      <c r="BE12" s="377"/>
      <c r="BF12" s="377"/>
      <c r="BG12" s="377"/>
      <c r="BH12" s="377"/>
    </row>
    <row r="13" s="353" customFormat="1" ht="18" customHeight="1" spans="1:60">
      <c r="A13" s="355"/>
      <c r="B13" s="162" t="s">
        <v>39</v>
      </c>
      <c r="C13" s="163" t="s">
        <v>60</v>
      </c>
      <c r="D13" s="356" t="s">
        <v>41</v>
      </c>
      <c r="E13" s="162" t="s">
        <v>51</v>
      </c>
      <c r="F13" s="164" t="s">
        <v>61</v>
      </c>
      <c r="G13" s="165" t="s">
        <v>62</v>
      </c>
      <c r="H13" s="356" t="s">
        <v>63</v>
      </c>
      <c r="I13" s="356" t="s">
        <v>63</v>
      </c>
      <c r="J13" s="356" t="s">
        <v>49</v>
      </c>
      <c r="K13" s="356" t="s">
        <v>49</v>
      </c>
      <c r="L13" s="355">
        <v>3053.05</v>
      </c>
      <c r="M13" s="355">
        <v>0.16</v>
      </c>
      <c r="N13" s="355">
        <f t="shared" si="17"/>
        <v>488.49</v>
      </c>
      <c r="O13" s="355">
        <v>0.08</v>
      </c>
      <c r="P13" s="355">
        <f t="shared" si="18"/>
        <v>244.24</v>
      </c>
      <c r="Q13" s="355">
        <v>3053.05</v>
      </c>
      <c r="R13" s="355">
        <v>0.06</v>
      </c>
      <c r="S13" s="355">
        <f t="shared" si="19"/>
        <v>183.18</v>
      </c>
      <c r="T13" s="355">
        <v>0.02</v>
      </c>
      <c r="U13" s="355">
        <f t="shared" si="20"/>
        <v>61.06</v>
      </c>
      <c r="V13" s="355">
        <v>3053.05</v>
      </c>
      <c r="W13" s="355">
        <v>0.007</v>
      </c>
      <c r="X13" s="355">
        <f t="shared" si="21"/>
        <v>21.37</v>
      </c>
      <c r="Y13" s="355">
        <v>0.003</v>
      </c>
      <c r="Z13" s="355">
        <f t="shared" si="22"/>
        <v>9.16</v>
      </c>
      <c r="AA13" s="355">
        <v>3053.05</v>
      </c>
      <c r="AB13" s="355">
        <v>0.007</v>
      </c>
      <c r="AC13" s="355">
        <f t="shared" si="23"/>
        <v>21.37</v>
      </c>
      <c r="AD13" s="355">
        <v>3053.05</v>
      </c>
      <c r="AE13" s="355">
        <v>0.002</v>
      </c>
      <c r="AF13" s="355">
        <f t="shared" si="6"/>
        <v>6.11</v>
      </c>
      <c r="AG13" s="355" t="s">
        <v>64</v>
      </c>
      <c r="AH13" s="355">
        <v>0.05</v>
      </c>
      <c r="AI13" s="355">
        <f t="shared" si="24"/>
        <v>79</v>
      </c>
      <c r="AJ13" s="355">
        <v>0.05</v>
      </c>
      <c r="AK13" s="355">
        <f t="shared" si="25"/>
        <v>79</v>
      </c>
      <c r="AL13" s="364"/>
      <c r="AM13" s="355"/>
      <c r="AN13" s="355"/>
      <c r="AO13" s="355"/>
      <c r="AP13" s="162"/>
      <c r="AQ13" s="366"/>
      <c r="AR13" s="366"/>
      <c r="AS13" s="367">
        <f t="shared" si="7"/>
        <v>720.52</v>
      </c>
      <c r="AT13" s="367">
        <f t="shared" si="8"/>
        <v>314.46</v>
      </c>
      <c r="AU13" s="367">
        <f t="shared" si="9"/>
        <v>79</v>
      </c>
      <c r="AV13" s="367">
        <f t="shared" si="10"/>
        <v>79</v>
      </c>
      <c r="AW13" s="367">
        <f t="shared" si="11"/>
        <v>1192.98</v>
      </c>
      <c r="AX13" s="223">
        <f t="shared" si="12"/>
        <v>1034.98</v>
      </c>
      <c r="AY13" s="223"/>
      <c r="AZ13" s="223">
        <f t="shared" si="26"/>
        <v>158</v>
      </c>
      <c r="BA13" s="223"/>
      <c r="BB13" s="224">
        <v>80</v>
      </c>
      <c r="BC13" s="223">
        <f t="shared" si="14"/>
        <v>1272.98</v>
      </c>
      <c r="BD13" s="370"/>
      <c r="BE13" s="377"/>
      <c r="BF13" s="377"/>
      <c r="BG13" s="377"/>
      <c r="BH13" s="377"/>
    </row>
    <row r="14" s="353" customFormat="1" ht="18" customHeight="1" spans="1:60">
      <c r="A14" s="355"/>
      <c r="B14" s="162" t="s">
        <v>39</v>
      </c>
      <c r="C14" s="163" t="s">
        <v>60</v>
      </c>
      <c r="D14" s="356" t="s">
        <v>41</v>
      </c>
      <c r="E14" s="162" t="s">
        <v>51</v>
      </c>
      <c r="F14" s="164" t="s">
        <v>61</v>
      </c>
      <c r="G14" s="165" t="s">
        <v>62</v>
      </c>
      <c r="H14" s="356" t="s">
        <v>63</v>
      </c>
      <c r="I14" s="356" t="s">
        <v>63</v>
      </c>
      <c r="J14" s="356" t="s">
        <v>65</v>
      </c>
      <c r="K14" s="356" t="s">
        <v>65</v>
      </c>
      <c r="L14" s="355">
        <v>3053.05</v>
      </c>
      <c r="M14" s="355">
        <v>0.16</v>
      </c>
      <c r="N14" s="355">
        <f t="shared" si="17"/>
        <v>488.49</v>
      </c>
      <c r="O14" s="355">
        <v>0.08</v>
      </c>
      <c r="P14" s="355">
        <f t="shared" si="18"/>
        <v>244.24</v>
      </c>
      <c r="Q14" s="355">
        <v>3053.05</v>
      </c>
      <c r="R14" s="355">
        <v>0.06</v>
      </c>
      <c r="S14" s="355">
        <f t="shared" si="19"/>
        <v>183.18</v>
      </c>
      <c r="T14" s="355">
        <v>0.02</v>
      </c>
      <c r="U14" s="355">
        <f t="shared" si="20"/>
        <v>61.06</v>
      </c>
      <c r="V14" s="355">
        <v>3053.05</v>
      </c>
      <c r="W14" s="355">
        <v>0.007</v>
      </c>
      <c r="X14" s="355">
        <f t="shared" si="21"/>
        <v>21.37</v>
      </c>
      <c r="Y14" s="355">
        <v>0.003</v>
      </c>
      <c r="Z14" s="355">
        <f t="shared" si="22"/>
        <v>9.16</v>
      </c>
      <c r="AA14" s="355">
        <v>3053.05</v>
      </c>
      <c r="AB14" s="355">
        <v>0.007</v>
      </c>
      <c r="AC14" s="355">
        <f t="shared" si="23"/>
        <v>21.37</v>
      </c>
      <c r="AD14" s="355">
        <v>3053.05</v>
      </c>
      <c r="AE14" s="355">
        <v>0.002</v>
      </c>
      <c r="AF14" s="355">
        <f t="shared" si="6"/>
        <v>6.11</v>
      </c>
      <c r="AG14" s="355" t="s">
        <v>64</v>
      </c>
      <c r="AH14" s="355">
        <v>0.05</v>
      </c>
      <c r="AI14" s="355">
        <f t="shared" si="24"/>
        <v>79</v>
      </c>
      <c r="AJ14" s="355">
        <v>0.05</v>
      </c>
      <c r="AK14" s="355">
        <f t="shared" si="25"/>
        <v>79</v>
      </c>
      <c r="AL14" s="364"/>
      <c r="AM14" s="355"/>
      <c r="AN14" s="355"/>
      <c r="AO14" s="355"/>
      <c r="AP14" s="162"/>
      <c r="AQ14" s="366"/>
      <c r="AR14" s="366"/>
      <c r="AS14" s="367">
        <f t="shared" si="7"/>
        <v>720.52</v>
      </c>
      <c r="AT14" s="367">
        <f t="shared" si="8"/>
        <v>314.46</v>
      </c>
      <c r="AU14" s="367">
        <f t="shared" si="9"/>
        <v>79</v>
      </c>
      <c r="AV14" s="367">
        <f t="shared" si="10"/>
        <v>79</v>
      </c>
      <c r="AW14" s="367">
        <f t="shared" si="11"/>
        <v>1192.98</v>
      </c>
      <c r="AX14" s="223">
        <f t="shared" si="12"/>
        <v>1034.98</v>
      </c>
      <c r="AY14" s="223"/>
      <c r="AZ14" s="223">
        <f t="shared" si="26"/>
        <v>158</v>
      </c>
      <c r="BA14" s="223"/>
      <c r="BB14" s="224">
        <v>80</v>
      </c>
      <c r="BC14" s="223">
        <f t="shared" si="14"/>
        <v>1272.98</v>
      </c>
      <c r="BD14" s="370"/>
      <c r="BE14" s="377"/>
      <c r="BF14" s="377"/>
      <c r="BG14" s="377"/>
      <c r="BH14" s="377"/>
    </row>
    <row r="15" s="354" customFormat="1" ht="18" customHeight="1" spans="1:60">
      <c r="A15" s="357" t="s">
        <v>55</v>
      </c>
      <c r="B15" s="358" t="s">
        <v>39</v>
      </c>
      <c r="C15" s="359" t="s">
        <v>60</v>
      </c>
      <c r="D15" s="360" t="s">
        <v>41</v>
      </c>
      <c r="E15" s="358" t="s">
        <v>51</v>
      </c>
      <c r="F15" s="361" t="s">
        <v>61</v>
      </c>
      <c r="G15" s="362" t="s">
        <v>62</v>
      </c>
      <c r="H15" s="360" t="s">
        <v>63</v>
      </c>
      <c r="I15" s="360" t="s">
        <v>63</v>
      </c>
      <c r="J15" s="360" t="s">
        <v>63</v>
      </c>
      <c r="K15" s="360" t="s">
        <v>63</v>
      </c>
      <c r="L15" s="357">
        <v>3053.05</v>
      </c>
      <c r="M15" s="357">
        <v>0.16</v>
      </c>
      <c r="N15" s="357">
        <f t="shared" si="17"/>
        <v>488.49</v>
      </c>
      <c r="O15" s="357">
        <v>0.08</v>
      </c>
      <c r="P15" s="357">
        <f t="shared" si="18"/>
        <v>244.24</v>
      </c>
      <c r="Q15" s="357">
        <v>3053.05</v>
      </c>
      <c r="R15" s="357">
        <v>0.06</v>
      </c>
      <c r="S15" s="357">
        <f t="shared" si="19"/>
        <v>183.18</v>
      </c>
      <c r="T15" s="357">
        <v>0.02</v>
      </c>
      <c r="U15" s="357">
        <f t="shared" si="20"/>
        <v>61.06</v>
      </c>
      <c r="V15" s="357">
        <v>3053.05</v>
      </c>
      <c r="W15" s="357">
        <v>0.007</v>
      </c>
      <c r="X15" s="357">
        <f t="shared" si="21"/>
        <v>21.37</v>
      </c>
      <c r="Y15" s="357">
        <v>0.003</v>
      </c>
      <c r="Z15" s="357">
        <f t="shared" si="22"/>
        <v>9.16</v>
      </c>
      <c r="AA15" s="357">
        <v>3053.05</v>
      </c>
      <c r="AB15" s="357">
        <v>0.007</v>
      </c>
      <c r="AC15" s="357">
        <f t="shared" si="23"/>
        <v>21.37</v>
      </c>
      <c r="AD15" s="357">
        <v>3053.05</v>
      </c>
      <c r="AE15" s="357">
        <v>0.002</v>
      </c>
      <c r="AF15" s="357">
        <f t="shared" si="6"/>
        <v>6.11</v>
      </c>
      <c r="AG15" s="357" t="s">
        <v>64</v>
      </c>
      <c r="AH15" s="357">
        <v>0.05</v>
      </c>
      <c r="AI15" s="357">
        <f t="shared" si="24"/>
        <v>79</v>
      </c>
      <c r="AJ15" s="357">
        <v>0.05</v>
      </c>
      <c r="AK15" s="357">
        <f t="shared" si="25"/>
        <v>79</v>
      </c>
      <c r="AL15" s="365"/>
      <c r="AM15" s="357"/>
      <c r="AN15" s="357"/>
      <c r="AO15" s="357"/>
      <c r="AP15" s="358"/>
      <c r="AQ15" s="368"/>
      <c r="AR15" s="368"/>
      <c r="AS15" s="369">
        <f t="shared" si="7"/>
        <v>720.52</v>
      </c>
      <c r="AT15" s="369">
        <f t="shared" si="8"/>
        <v>314.46</v>
      </c>
      <c r="AU15" s="369">
        <f t="shared" si="9"/>
        <v>79</v>
      </c>
      <c r="AV15" s="369">
        <f t="shared" si="10"/>
        <v>79</v>
      </c>
      <c r="AW15" s="369">
        <f t="shared" si="11"/>
        <v>1192.98</v>
      </c>
      <c r="AX15" s="371">
        <f t="shared" si="12"/>
        <v>1034.98</v>
      </c>
      <c r="AY15" s="371"/>
      <c r="AZ15" s="371">
        <f t="shared" si="26"/>
        <v>158</v>
      </c>
      <c r="BA15" s="371"/>
      <c r="BB15" s="372">
        <v>80</v>
      </c>
      <c r="BC15" s="371">
        <f t="shared" si="14"/>
        <v>1272.98</v>
      </c>
      <c r="BD15" s="373"/>
      <c r="BE15" s="378"/>
      <c r="BF15" s="378"/>
      <c r="BG15" s="378"/>
      <c r="BH15" s="378"/>
    </row>
    <row r="16" s="151" customFormat="1" ht="18" customHeight="1" spans="1:60">
      <c r="A16" s="175"/>
      <c r="B16" s="176"/>
      <c r="C16" s="177"/>
      <c r="D16" s="178"/>
      <c r="E16" s="179"/>
      <c r="F16" s="180"/>
      <c r="G16" s="181"/>
      <c r="H16" s="182"/>
      <c r="I16" s="178"/>
      <c r="J16" s="182"/>
      <c r="K16" s="182"/>
      <c r="L16" s="198"/>
      <c r="M16" s="198"/>
      <c r="N16" s="199"/>
      <c r="O16" s="198"/>
      <c r="P16" s="198"/>
      <c r="Q16" s="198"/>
      <c r="R16" s="198"/>
      <c r="S16" s="198"/>
      <c r="T16" s="198"/>
      <c r="U16" s="198"/>
      <c r="V16" s="202"/>
      <c r="W16" s="202"/>
      <c r="X16" s="203"/>
      <c r="Y16" s="202"/>
      <c r="Z16" s="198"/>
      <c r="AA16" s="198"/>
      <c r="AB16" s="198"/>
      <c r="AC16" s="198"/>
      <c r="AD16" s="198"/>
      <c r="AE16" s="198"/>
      <c r="AF16" s="199"/>
      <c r="AG16" s="198"/>
      <c r="AH16" s="198"/>
      <c r="AI16" s="198"/>
      <c r="AJ16" s="198"/>
      <c r="AK16" s="198"/>
      <c r="AL16" s="208"/>
      <c r="AM16" s="198"/>
      <c r="AN16" s="198"/>
      <c r="AO16" s="198"/>
      <c r="AP16" s="217"/>
      <c r="AQ16" s="218"/>
      <c r="AR16" s="198"/>
      <c r="AS16" s="219"/>
      <c r="AT16" s="219"/>
      <c r="AU16" s="219"/>
      <c r="AV16" s="219"/>
      <c r="AW16" s="219"/>
      <c r="AX16" s="234"/>
      <c r="AY16" s="235"/>
      <c r="AZ16" s="234"/>
      <c r="BA16" s="235"/>
      <c r="BB16" s="236"/>
      <c r="BC16" s="234"/>
      <c r="BD16" s="238"/>
      <c r="BE16" s="154"/>
      <c r="BF16" s="154"/>
      <c r="BG16" s="154"/>
      <c r="BH16" s="154"/>
    </row>
    <row r="17" ht="14.25" spans="1:56">
      <c r="A17" s="183" t="s">
        <v>66</v>
      </c>
      <c r="B17" s="184"/>
      <c r="C17" s="185"/>
      <c r="D17" s="185"/>
      <c r="E17" s="186"/>
      <c r="F17" s="185"/>
      <c r="G17" s="185"/>
      <c r="H17" s="185"/>
      <c r="I17" s="185"/>
      <c r="J17" s="185"/>
      <c r="K17" s="185"/>
      <c r="L17" s="186">
        <f t="shared" ref="L17:BC17" si="27">SUM(L3:L15)</f>
        <v>33521.2</v>
      </c>
      <c r="M17" s="186">
        <f t="shared" si="27"/>
        <v>1.54</v>
      </c>
      <c r="N17" s="186">
        <f t="shared" si="27"/>
        <v>5135.22</v>
      </c>
      <c r="O17" s="186">
        <f t="shared" si="27"/>
        <v>0.8</v>
      </c>
      <c r="P17" s="186">
        <f t="shared" si="27"/>
        <v>2681.68</v>
      </c>
      <c r="Q17" s="186">
        <f t="shared" si="27"/>
        <v>40637.2</v>
      </c>
      <c r="R17" s="186">
        <f t="shared" si="27"/>
        <v>0.645</v>
      </c>
      <c r="S17" s="186">
        <f t="shared" si="27"/>
        <v>2543.61</v>
      </c>
      <c r="T17" s="186">
        <f t="shared" si="27"/>
        <v>0.2</v>
      </c>
      <c r="U17" s="186">
        <f t="shared" si="27"/>
        <v>812.74</v>
      </c>
      <c r="V17" s="186">
        <f t="shared" si="27"/>
        <v>33521.2</v>
      </c>
      <c r="W17" s="186">
        <f t="shared" si="27"/>
        <v>0.0586</v>
      </c>
      <c r="X17" s="186">
        <f t="shared" si="27"/>
        <v>191.29</v>
      </c>
      <c r="Y17" s="186">
        <f t="shared" si="27"/>
        <v>0.027</v>
      </c>
      <c r="Z17" s="186">
        <f t="shared" si="27"/>
        <v>89.17</v>
      </c>
      <c r="AA17" s="186">
        <f t="shared" si="27"/>
        <v>30737.2</v>
      </c>
      <c r="AB17" s="186">
        <f t="shared" si="27"/>
        <v>0.0535</v>
      </c>
      <c r="AC17" s="186">
        <f t="shared" si="27"/>
        <v>242.95</v>
      </c>
      <c r="AD17" s="186">
        <f t="shared" si="27"/>
        <v>35930.2</v>
      </c>
      <c r="AE17" s="186">
        <f t="shared" si="27"/>
        <v>0.0236</v>
      </c>
      <c r="AF17" s="186">
        <f t="shared" si="27"/>
        <v>66.32</v>
      </c>
      <c r="AG17" s="186">
        <f t="shared" si="27"/>
        <v>9000</v>
      </c>
      <c r="AH17" s="186">
        <f t="shared" si="27"/>
        <v>0.5</v>
      </c>
      <c r="AI17" s="186">
        <f t="shared" si="27"/>
        <v>1216</v>
      </c>
      <c r="AJ17" s="186">
        <f t="shared" si="27"/>
        <v>0.38</v>
      </c>
      <c r="AK17" s="186">
        <f t="shared" si="27"/>
        <v>856</v>
      </c>
      <c r="AL17" s="186">
        <f t="shared" si="27"/>
        <v>0</v>
      </c>
      <c r="AM17" s="186">
        <f t="shared" si="27"/>
        <v>0</v>
      </c>
      <c r="AN17" s="186">
        <f t="shared" si="27"/>
        <v>0</v>
      </c>
      <c r="AO17" s="186">
        <f t="shared" si="27"/>
        <v>0</v>
      </c>
      <c r="AP17" s="186">
        <f t="shared" si="27"/>
        <v>0</v>
      </c>
      <c r="AQ17" s="186">
        <f t="shared" si="27"/>
        <v>95.28</v>
      </c>
      <c r="AR17" s="186">
        <f t="shared" si="27"/>
        <v>96</v>
      </c>
      <c r="AS17" s="186">
        <f t="shared" si="27"/>
        <v>8274.67</v>
      </c>
      <c r="AT17" s="186">
        <f t="shared" si="27"/>
        <v>3583.59</v>
      </c>
      <c r="AU17" s="186">
        <f t="shared" si="27"/>
        <v>1216</v>
      </c>
      <c r="AV17" s="186">
        <f t="shared" si="27"/>
        <v>856</v>
      </c>
      <c r="AW17" s="186">
        <f t="shared" si="27"/>
        <v>13930.26</v>
      </c>
      <c r="AX17" s="186">
        <f t="shared" si="27"/>
        <v>11858.26</v>
      </c>
      <c r="AY17" s="186">
        <f t="shared" si="27"/>
        <v>0</v>
      </c>
      <c r="AZ17" s="186">
        <f t="shared" si="27"/>
        <v>2072</v>
      </c>
      <c r="BA17" s="186">
        <f t="shared" si="27"/>
        <v>0</v>
      </c>
      <c r="BB17" s="186">
        <f t="shared" si="27"/>
        <v>800</v>
      </c>
      <c r="BC17" s="186">
        <f t="shared" si="27"/>
        <v>14730.26</v>
      </c>
      <c r="BD17" s="239"/>
    </row>
    <row r="18" ht="15" spans="1:56">
      <c r="A18" s="187" t="s">
        <v>23</v>
      </c>
      <c r="B18" s="188"/>
      <c r="C18" s="189"/>
      <c r="D18" s="189"/>
      <c r="E18" s="190"/>
      <c r="F18" s="190"/>
      <c r="G18" s="190"/>
      <c r="H18" s="190"/>
      <c r="I18" s="190"/>
      <c r="J18" s="190"/>
      <c r="K18" s="190"/>
      <c r="L18" s="200">
        <f t="shared" ref="L18:AX18" si="28">SUM(L17:L17)</f>
        <v>33521.2</v>
      </c>
      <c r="M18" s="200">
        <f t="shared" si="28"/>
        <v>1.54</v>
      </c>
      <c r="N18" s="200">
        <f t="shared" si="28"/>
        <v>5135.22</v>
      </c>
      <c r="O18" s="200">
        <f t="shared" si="28"/>
        <v>0.8</v>
      </c>
      <c r="P18" s="200">
        <f t="shared" si="28"/>
        <v>2681.68</v>
      </c>
      <c r="Q18" s="200">
        <f t="shared" si="28"/>
        <v>40637.2</v>
      </c>
      <c r="R18" s="200">
        <f t="shared" si="28"/>
        <v>0.645</v>
      </c>
      <c r="S18" s="200">
        <f t="shared" si="28"/>
        <v>2543.61</v>
      </c>
      <c r="T18" s="200">
        <f t="shared" si="28"/>
        <v>0.2</v>
      </c>
      <c r="U18" s="200">
        <f t="shared" si="28"/>
        <v>812.74</v>
      </c>
      <c r="V18" s="200">
        <f t="shared" si="28"/>
        <v>33521.2</v>
      </c>
      <c r="W18" s="200">
        <f t="shared" si="28"/>
        <v>0.0586</v>
      </c>
      <c r="X18" s="200">
        <f t="shared" si="28"/>
        <v>191.29</v>
      </c>
      <c r="Y18" s="200">
        <f t="shared" si="28"/>
        <v>0.027</v>
      </c>
      <c r="Z18" s="200">
        <f t="shared" si="28"/>
        <v>89.17</v>
      </c>
      <c r="AA18" s="200">
        <f t="shared" si="28"/>
        <v>30737.2</v>
      </c>
      <c r="AB18" s="200">
        <f t="shared" si="28"/>
        <v>0.0535</v>
      </c>
      <c r="AC18" s="200">
        <f t="shared" si="28"/>
        <v>242.95</v>
      </c>
      <c r="AD18" s="200">
        <f t="shared" si="28"/>
        <v>35930.2</v>
      </c>
      <c r="AE18" s="200">
        <f t="shared" si="28"/>
        <v>0.0236</v>
      </c>
      <c r="AF18" s="200">
        <f t="shared" si="28"/>
        <v>66.32</v>
      </c>
      <c r="AG18" s="200">
        <f t="shared" si="28"/>
        <v>9000</v>
      </c>
      <c r="AH18" s="200">
        <f t="shared" si="28"/>
        <v>0.5</v>
      </c>
      <c r="AI18" s="200">
        <f t="shared" si="28"/>
        <v>1216</v>
      </c>
      <c r="AJ18" s="200">
        <f t="shared" si="28"/>
        <v>0.38</v>
      </c>
      <c r="AK18" s="200">
        <f t="shared" si="28"/>
        <v>856</v>
      </c>
      <c r="AL18" s="200">
        <f t="shared" si="28"/>
        <v>0</v>
      </c>
      <c r="AM18" s="200">
        <f t="shared" si="28"/>
        <v>0</v>
      </c>
      <c r="AN18" s="200">
        <f t="shared" si="28"/>
        <v>0</v>
      </c>
      <c r="AO18" s="200">
        <f t="shared" si="28"/>
        <v>0</v>
      </c>
      <c r="AP18" s="200">
        <f t="shared" si="28"/>
        <v>0</v>
      </c>
      <c r="AQ18" s="200">
        <f t="shared" si="28"/>
        <v>95.28</v>
      </c>
      <c r="AR18" s="200">
        <f t="shared" si="28"/>
        <v>96</v>
      </c>
      <c r="AS18" s="220">
        <f t="shared" si="28"/>
        <v>8274.67</v>
      </c>
      <c r="AT18" s="220">
        <f t="shared" si="28"/>
        <v>3583.59</v>
      </c>
      <c r="AU18" s="220">
        <f t="shared" si="28"/>
        <v>1216</v>
      </c>
      <c r="AV18" s="220">
        <f t="shared" si="28"/>
        <v>856</v>
      </c>
      <c r="AW18" s="220">
        <f t="shared" si="28"/>
        <v>13930.26</v>
      </c>
      <c r="AX18" s="240">
        <f t="shared" si="28"/>
        <v>11858.26</v>
      </c>
      <c r="AY18" s="240"/>
      <c r="AZ18" s="240">
        <f t="shared" ref="AZ18:BC18" si="29">SUM(AZ17:AZ17)</f>
        <v>2072</v>
      </c>
      <c r="BA18" s="240"/>
      <c r="BB18" s="200">
        <f t="shared" si="29"/>
        <v>800</v>
      </c>
      <c r="BC18" s="200">
        <f t="shared" si="29"/>
        <v>14730.26</v>
      </c>
      <c r="BD18" s="241"/>
    </row>
    <row r="19" s="152" customFormat="1" spans="1:56">
      <c r="A19" s="191"/>
      <c r="B19" s="191"/>
      <c r="C19" s="191"/>
      <c r="D19" s="191"/>
      <c r="E19" s="191"/>
      <c r="F19" s="192"/>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221"/>
      <c r="AT19" s="221"/>
      <c r="AU19" s="221"/>
      <c r="AV19" s="221"/>
      <c r="AW19" s="221"/>
      <c r="AX19" s="191"/>
      <c r="AY19" s="191"/>
      <c r="AZ19" s="191"/>
      <c r="BA19" s="191"/>
      <c r="BB19" s="191"/>
      <c r="BC19" s="191"/>
      <c r="BD19" s="242"/>
    </row>
    <row r="20" s="153" customFormat="1" spans="1:56">
      <c r="A20" s="154"/>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91"/>
      <c r="AA20" s="191"/>
      <c r="AB20" s="191"/>
      <c r="AC20" s="191"/>
      <c r="AD20" s="191"/>
      <c r="AE20" s="191"/>
      <c r="AF20" s="191"/>
      <c r="AG20" s="191"/>
      <c r="AH20" s="191"/>
      <c r="AI20" s="191"/>
      <c r="AJ20" s="154"/>
      <c r="AK20" s="154"/>
      <c r="AL20" s="154"/>
      <c r="AM20" s="154"/>
      <c r="AN20" s="154"/>
      <c r="AO20" s="154"/>
      <c r="AP20" s="154"/>
      <c r="AQ20" s="154"/>
      <c r="AR20" s="154"/>
      <c r="AS20" s="155"/>
      <c r="AT20" s="155"/>
      <c r="AU20" s="155"/>
      <c r="AV20" s="155"/>
      <c r="AW20" s="155"/>
      <c r="AX20" s="154"/>
      <c r="AY20" s="154"/>
      <c r="AZ20" s="154"/>
      <c r="BA20" s="154"/>
      <c r="BB20" s="154"/>
      <c r="BC20" s="154"/>
      <c r="BD20" s="156"/>
    </row>
    <row r="22" spans="50:55">
      <c r="AX22" s="243"/>
      <c r="AY22" s="243"/>
      <c r="BC22" s="244"/>
    </row>
  </sheetData>
  <mergeCells count="54">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8:AY18"/>
    <mergeCell ref="AZ18:BA18"/>
    <mergeCell ref="AX22:AY22"/>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50"/>
    <pageSetUpPr fitToPage="1"/>
  </sheetPr>
  <dimension ref="A1:AV29"/>
  <sheetViews>
    <sheetView workbookViewId="0">
      <pane xSplit="6" ySplit="3" topLeftCell="S4" activePane="bottomRight" state="frozen"/>
      <selection/>
      <selection pane="topRight"/>
      <selection pane="bottomLeft"/>
      <selection pane="bottomRight" activeCell="AU4" sqref="AU4:AU5"/>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194</v>
      </c>
      <c r="C4" s="37" t="s">
        <v>43</v>
      </c>
      <c r="D4" s="37" t="s">
        <v>195</v>
      </c>
      <c r="E4" s="37" t="s">
        <v>44</v>
      </c>
      <c r="F4" s="38" t="s">
        <v>196</v>
      </c>
      <c r="G4" s="41">
        <v>18035163638</v>
      </c>
      <c r="H4" s="40"/>
      <c r="I4" s="40"/>
      <c r="J4" s="70"/>
      <c r="K4" s="40"/>
      <c r="L4" s="73">
        <v>10560</v>
      </c>
      <c r="M4" s="72">
        <v>283.84</v>
      </c>
      <c r="N4" s="72">
        <v>70.96</v>
      </c>
      <c r="O4" s="72">
        <v>10.64</v>
      </c>
      <c r="P4" s="72">
        <v>180</v>
      </c>
      <c r="Q4" s="91">
        <f t="shared" ref="Q4:Q12" si="0">ROUND(SUM(M4:P4),2)</f>
        <v>545.44</v>
      </c>
      <c r="R4" s="73">
        <v>0</v>
      </c>
      <c r="S4" s="92">
        <f>L4+IFERROR(VLOOKUP($E:$E,'（居民）工资表-10月'!$E:$S,15,0),0)</f>
        <v>52470</v>
      </c>
      <c r="T4" s="93">
        <f>5000+IFERROR(VLOOKUP($E:$E,'（居民）工资表-10月'!$E:$T,16,0),0)</f>
        <v>25000</v>
      </c>
      <c r="U4" s="93">
        <f>Q4+IFERROR(VLOOKUP($E:$E,'（居民）工资表-10月'!$E:$U,17,0),0)</f>
        <v>2880.44</v>
      </c>
      <c r="V4" s="73">
        <v>11000</v>
      </c>
      <c r="W4" s="73"/>
      <c r="X4" s="73"/>
      <c r="Y4" s="73">
        <v>11000</v>
      </c>
      <c r="Z4" s="73">
        <v>4400</v>
      </c>
      <c r="AA4" s="73"/>
      <c r="AB4" s="92">
        <f t="shared" ref="AB4:AB12" si="1">ROUND(SUM(V4:AA4),2)</f>
        <v>26400</v>
      </c>
      <c r="AC4" s="92">
        <f>R4+IFERROR(VLOOKUP($E:$E,'（居民）工资表-10月'!$E:$AC,25,0),0)</f>
        <v>0</v>
      </c>
      <c r="AD4" s="97">
        <f t="shared" ref="AD4:AD12" si="2">ROUND(S4-T4-U4-AB4-AC4,2)</f>
        <v>-1810.44</v>
      </c>
      <c r="AE4" s="98">
        <f>ROUND(MAX((AD4)*{0.03;0.1;0.2;0.25;0.3;0.35;0.45}-{0;2520;16920;31920;52920;85920;181920},0),2)</f>
        <v>0</v>
      </c>
      <c r="AF4" s="99">
        <f>IFERROR(VLOOKUP(E:E,'（居民）工资表-10月'!E:AF,28,0)+VLOOKUP(E:E,'（居民）工资表-10月'!E:AG,29,0),0)</f>
        <v>0</v>
      </c>
      <c r="AG4" s="99">
        <f>IF((AE4-AF4)&lt;0,0,AE4-AF4)</f>
        <v>0</v>
      </c>
      <c r="AH4" s="109">
        <f t="shared" ref="AH4:AH12" si="3">ROUND(IF((L4-Q4-AG4)&lt;0,0,(L4-Q4-AG4)),2)</f>
        <v>10014.56</v>
      </c>
      <c r="AI4" s="110"/>
      <c r="AJ4" s="109">
        <f t="shared" ref="AJ4:AJ12" si="4">AH4+AI4</f>
        <v>10014.56</v>
      </c>
      <c r="AK4" s="111"/>
      <c r="AL4" s="109">
        <f t="shared" ref="AL4:AL12" si="5">AJ4+AG4+AK4</f>
        <v>10014.56</v>
      </c>
      <c r="AM4" s="111"/>
      <c r="AN4" s="111"/>
      <c r="AO4" s="111"/>
      <c r="AP4" s="111"/>
      <c r="AQ4" s="111"/>
      <c r="AR4" s="11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2" si="7">IF(SUMPRODUCT(N(E$1:E$6=E4))&gt;1,"重复","不")</f>
        <v>不</v>
      </c>
      <c r="AT4" s="118" t="str">
        <f t="shared" ref="AT4:AT12" si="8">IF(SUMPRODUCT(N(AO$1:AO$6=AO4))&gt;1,"重复","不")</f>
        <v>重复</v>
      </c>
      <c r="AU4" s="12" t="s">
        <v>40</v>
      </c>
      <c r="AV4" s="12" t="s">
        <v>42</v>
      </c>
    </row>
    <row r="5" s="12" customFormat="1" ht="18" customHeight="1" spans="1:48">
      <c r="A5" s="36">
        <v>2</v>
      </c>
      <c r="B5" s="37" t="s">
        <v>194</v>
      </c>
      <c r="C5" s="37" t="s">
        <v>61</v>
      </c>
      <c r="D5" s="37" t="s">
        <v>195</v>
      </c>
      <c r="E5" s="37" t="s">
        <v>62</v>
      </c>
      <c r="F5" s="38" t="s">
        <v>196</v>
      </c>
      <c r="G5" s="41">
        <v>13944441728</v>
      </c>
      <c r="H5" s="40"/>
      <c r="I5" s="40"/>
      <c r="J5" s="70"/>
      <c r="K5" s="40"/>
      <c r="L5" s="73">
        <v>7000</v>
      </c>
      <c r="M5" s="72">
        <v>296.26</v>
      </c>
      <c r="N5" s="72">
        <v>72.06</v>
      </c>
      <c r="O5" s="72">
        <v>11.11</v>
      </c>
      <c r="P5" s="72">
        <v>82</v>
      </c>
      <c r="Q5" s="91">
        <f t="shared" si="0"/>
        <v>461.43</v>
      </c>
      <c r="R5" s="73">
        <v>0</v>
      </c>
      <c r="S5" s="92">
        <f>L5+IFERROR(VLOOKUP($E:$E,'（居民）工资表-10月'!$E:$S,15,0),0)</f>
        <v>81000</v>
      </c>
      <c r="T5" s="93">
        <f>5000+IFERROR(VLOOKUP($E:$E,'（居民）工资表-10月'!$E:$T,16,0),0)</f>
        <v>55000</v>
      </c>
      <c r="U5" s="93">
        <f>Q5+IFERROR(VLOOKUP($E:$E,'（居民）工资表-10月'!$E:$U,17,0),0)</f>
        <v>5860.38</v>
      </c>
      <c r="V5" s="73"/>
      <c r="W5" s="73"/>
      <c r="X5" s="73"/>
      <c r="Y5" s="73"/>
      <c r="Z5" s="73"/>
      <c r="AA5" s="73"/>
      <c r="AB5" s="92">
        <f t="shared" si="1"/>
        <v>0</v>
      </c>
      <c r="AC5" s="92">
        <f>R5+IFERROR(VLOOKUP($E:$E,'（居民）工资表-10月'!$E:$AC,25,0),0)</f>
        <v>0</v>
      </c>
      <c r="AD5" s="97">
        <f t="shared" si="2"/>
        <v>20139.62</v>
      </c>
      <c r="AE5" s="98">
        <f>ROUND(MAX((AD5)*{0.03;0.1;0.2;0.25;0.3;0.35;0.45}-{0;2520;16920;31920;52920;85920;181920},0),2)</f>
        <v>604.19</v>
      </c>
      <c r="AF5" s="99">
        <f>IFERROR(VLOOKUP(E:E,'（居民）工资表-10月'!E:AF,28,0)+VLOOKUP(E:E,'（居民）工资表-10月'!E:AG,29,0),0)</f>
        <v>558.03</v>
      </c>
      <c r="AG5" s="99">
        <f t="shared" ref="AG5:AG12" si="9">IF((AE5-AF5)&lt;0,0,AE5-AF5)</f>
        <v>46.1600000000001</v>
      </c>
      <c r="AH5" s="109">
        <f t="shared" si="3"/>
        <v>6492.41</v>
      </c>
      <c r="AI5" s="110"/>
      <c r="AJ5" s="109">
        <f t="shared" si="4"/>
        <v>6492.41</v>
      </c>
      <c r="AK5" s="111"/>
      <c r="AL5" s="109">
        <f t="shared" si="5"/>
        <v>6538.57</v>
      </c>
      <c r="AM5" s="111"/>
      <c r="AN5" s="111"/>
      <c r="AO5" s="111"/>
      <c r="AP5" s="111"/>
      <c r="AQ5" s="111"/>
      <c r="AR5" s="118" t="str">
        <f t="shared" si="6"/>
        <v>正确</v>
      </c>
      <c r="AS5" s="118" t="str">
        <f t="shared" si="7"/>
        <v>不</v>
      </c>
      <c r="AT5" s="118" t="str">
        <f t="shared" si="8"/>
        <v>重复</v>
      </c>
      <c r="AU5" s="12" t="s">
        <v>197</v>
      </c>
      <c r="AV5" s="12" t="s">
        <v>51</v>
      </c>
    </row>
    <row r="6" s="12" customFormat="1" ht="18" customHeight="1" spans="1:48">
      <c r="A6" s="36">
        <v>3</v>
      </c>
      <c r="B6" s="37" t="s">
        <v>194</v>
      </c>
      <c r="C6" s="37" t="s">
        <v>101</v>
      </c>
      <c r="D6" s="37" t="s">
        <v>195</v>
      </c>
      <c r="E6" s="37" t="s">
        <v>102</v>
      </c>
      <c r="F6" s="38" t="s">
        <v>198</v>
      </c>
      <c r="G6" s="41">
        <v>15360550807</v>
      </c>
      <c r="H6" s="40"/>
      <c r="I6" s="40"/>
      <c r="J6" s="70"/>
      <c r="K6" s="40"/>
      <c r="L6" s="73">
        <v>5700</v>
      </c>
      <c r="M6" s="72">
        <v>367.04</v>
      </c>
      <c r="N6" s="72">
        <v>144.28</v>
      </c>
      <c r="O6" s="72">
        <v>4.6</v>
      </c>
      <c r="P6" s="72">
        <v>115</v>
      </c>
      <c r="Q6" s="91">
        <f t="shared" si="0"/>
        <v>630.92</v>
      </c>
      <c r="R6" s="73">
        <v>0</v>
      </c>
      <c r="S6" s="92">
        <f>L6+IFERROR(VLOOKUP($E:$E,'（居民）工资表-10月'!$E:$S,15,0),0)</f>
        <v>62700</v>
      </c>
      <c r="T6" s="93">
        <f>5000+IFERROR(VLOOKUP($E:$E,'（居民）工资表-10月'!$E:$T,16,0),0)</f>
        <v>55000</v>
      </c>
      <c r="U6" s="93">
        <f>Q6+IFERROR(VLOOKUP($E:$E,'（居民）工资表-10月'!$E:$U,17,0),0)</f>
        <v>6755.32</v>
      </c>
      <c r="V6" s="73"/>
      <c r="W6" s="73"/>
      <c r="X6" s="73"/>
      <c r="Y6" s="73"/>
      <c r="Z6" s="73"/>
      <c r="AA6" s="73"/>
      <c r="AB6" s="92">
        <f t="shared" si="1"/>
        <v>0</v>
      </c>
      <c r="AC6" s="92">
        <f>R6+IFERROR(VLOOKUP($E:$E,'（居民）工资表-10月'!$E:$AC,25,0),0)</f>
        <v>0</v>
      </c>
      <c r="AD6" s="97">
        <f t="shared" si="2"/>
        <v>944.68</v>
      </c>
      <c r="AE6" s="98">
        <f>ROUND(MAX((AD6)*{0.03;0.1;0.2;0.25;0.3;0.35;0.45}-{0;2520;16920;31920;52920;85920;181920},0),2)</f>
        <v>28.34</v>
      </c>
      <c r="AF6" s="99">
        <f>IFERROR(VLOOKUP(E:E,'（居民）工资表-10月'!E:AF,28,0)+VLOOKUP(E:E,'（居民）工资表-10月'!E:AG,29,0),0)</f>
        <v>26.27</v>
      </c>
      <c r="AG6" s="99">
        <f t="shared" si="9"/>
        <v>2.07</v>
      </c>
      <c r="AH6" s="109">
        <f t="shared" si="3"/>
        <v>5067.01</v>
      </c>
      <c r="AI6" s="110"/>
      <c r="AJ6" s="109">
        <f t="shared" si="4"/>
        <v>5067.01</v>
      </c>
      <c r="AK6" s="111"/>
      <c r="AL6" s="109">
        <f t="shared" si="5"/>
        <v>5069.08</v>
      </c>
      <c r="AM6" s="111"/>
      <c r="AN6" s="111"/>
      <c r="AO6" s="111"/>
      <c r="AP6" s="111"/>
      <c r="AQ6" s="111"/>
      <c r="AR6" s="118" t="str">
        <f t="shared" si="6"/>
        <v>正确</v>
      </c>
      <c r="AS6" s="118" t="str">
        <f t="shared" si="7"/>
        <v>不</v>
      </c>
      <c r="AT6" s="118" t="str">
        <f t="shared" si="8"/>
        <v>重复</v>
      </c>
      <c r="AU6" s="12" t="s">
        <v>50</v>
      </c>
      <c r="AV6" s="12" t="s">
        <v>51</v>
      </c>
    </row>
    <row r="7" s="12" customFormat="1" ht="19" customHeight="1" spans="1:48">
      <c r="A7" s="36">
        <v>4</v>
      </c>
      <c r="B7" s="37" t="s">
        <v>194</v>
      </c>
      <c r="C7" s="37" t="s">
        <v>108</v>
      </c>
      <c r="D7" s="37" t="s">
        <v>195</v>
      </c>
      <c r="E7" s="381" t="s">
        <v>109</v>
      </c>
      <c r="F7" s="38" t="s">
        <v>196</v>
      </c>
      <c r="G7" s="41" t="s">
        <v>199</v>
      </c>
      <c r="H7" s="40"/>
      <c r="I7" s="40"/>
      <c r="J7" s="70"/>
      <c r="K7" s="40"/>
      <c r="L7" s="73">
        <v>30060</v>
      </c>
      <c r="M7" s="72">
        <v>521.6</v>
      </c>
      <c r="N7" s="72">
        <v>130.4</v>
      </c>
      <c r="O7" s="72">
        <v>32.6</v>
      </c>
      <c r="P7" s="72">
        <v>181.3</v>
      </c>
      <c r="Q7" s="91">
        <f t="shared" si="0"/>
        <v>865.9</v>
      </c>
      <c r="R7" s="73">
        <v>0</v>
      </c>
      <c r="S7" s="92">
        <f>L7+IFERROR(VLOOKUP($E:$E,'（居民）工资表-10月'!$E:$S,15,0),0)</f>
        <v>79685.22</v>
      </c>
      <c r="T7" s="93">
        <f>5000+IFERROR(VLOOKUP($E:$E,'（居民）工资表-10月'!$E:$T,16,0),0)</f>
        <v>15000</v>
      </c>
      <c r="U7" s="93">
        <f>Q7+IFERROR(VLOOKUP($E:$E,'（居民）工资表-10月'!$E:$U,17,0),0)</f>
        <v>3463.6</v>
      </c>
      <c r="V7" s="73"/>
      <c r="W7" s="73"/>
      <c r="X7" s="73"/>
      <c r="Y7" s="73"/>
      <c r="Z7" s="73"/>
      <c r="AA7" s="73"/>
      <c r="AB7" s="92">
        <f t="shared" si="1"/>
        <v>0</v>
      </c>
      <c r="AC7" s="92">
        <f>R7+IFERROR(VLOOKUP($E:$E,'（居民）工资表-10月'!$E:$AC,25,0),0)</f>
        <v>0</v>
      </c>
      <c r="AD7" s="97">
        <f t="shared" si="2"/>
        <v>61221.62</v>
      </c>
      <c r="AE7" s="98">
        <f>ROUND(MAX((AD7)*{0.03;0.1;0.2;0.25;0.3;0.35;0.45}-{0;2520;16920;31920;52920;85920;181920},0),2)</f>
        <v>3602.16</v>
      </c>
      <c r="AF7" s="99">
        <f>IFERROR(VLOOKUP(E:E,'（居民）工资表-10月'!E:AF,28,0)+VLOOKUP(E:E,'（居民）工资表-10月'!E:AG,29,0),0)</f>
        <v>1182.75</v>
      </c>
      <c r="AG7" s="99">
        <f t="shared" si="9"/>
        <v>2419.41</v>
      </c>
      <c r="AH7" s="109">
        <f t="shared" si="3"/>
        <v>26774.69</v>
      </c>
      <c r="AI7" s="110"/>
      <c r="AJ7" s="109">
        <f t="shared" si="4"/>
        <v>26774.69</v>
      </c>
      <c r="AK7" s="111"/>
      <c r="AL7" s="109">
        <f t="shared" si="5"/>
        <v>29194.1</v>
      </c>
      <c r="AM7" s="111"/>
      <c r="AN7" s="111"/>
      <c r="AO7" s="111"/>
      <c r="AP7" s="111"/>
      <c r="AQ7" s="111"/>
      <c r="AR7" s="118" t="str">
        <f t="shared" si="6"/>
        <v>正确</v>
      </c>
      <c r="AS7" s="118" t="str">
        <f t="shared" si="7"/>
        <v>不</v>
      </c>
      <c r="AT7" s="118" t="str">
        <f t="shared" si="8"/>
        <v>重复</v>
      </c>
      <c r="AU7" s="12" t="s">
        <v>107</v>
      </c>
      <c r="AV7" s="12" t="s">
        <v>200</v>
      </c>
    </row>
    <row r="8" s="12" customFormat="1" ht="19" customHeight="1" spans="1:48">
      <c r="A8" s="36">
        <v>5</v>
      </c>
      <c r="B8" s="37" t="s">
        <v>194</v>
      </c>
      <c r="C8" s="37" t="s">
        <v>112</v>
      </c>
      <c r="D8" s="37" t="s">
        <v>195</v>
      </c>
      <c r="E8" s="381" t="s">
        <v>113</v>
      </c>
      <c r="F8" s="38" t="s">
        <v>196</v>
      </c>
      <c r="G8" s="41" t="s">
        <v>201</v>
      </c>
      <c r="H8" s="40"/>
      <c r="I8" s="40"/>
      <c r="J8" s="70"/>
      <c r="K8" s="40"/>
      <c r="L8" s="73">
        <v>4909.09</v>
      </c>
      <c r="M8" s="72">
        <v>274.4</v>
      </c>
      <c r="N8" s="72">
        <v>76.6</v>
      </c>
      <c r="O8" s="72">
        <v>17.15</v>
      </c>
      <c r="P8" s="72">
        <v>75</v>
      </c>
      <c r="Q8" s="91">
        <f t="shared" si="0"/>
        <v>443.15</v>
      </c>
      <c r="R8" s="73">
        <v>0</v>
      </c>
      <c r="S8" s="92">
        <f>L8+IFERROR(VLOOKUP($E:$E,'（居民）工资表-10月'!$E:$S,15,0),0)</f>
        <v>14079.93</v>
      </c>
      <c r="T8" s="93">
        <f>5000+IFERROR(VLOOKUP($E:$E,'（居民）工资表-10月'!$E:$T,16,0),0)</f>
        <v>20000</v>
      </c>
      <c r="U8" s="93">
        <f>Q8+IFERROR(VLOOKUP($E:$E,'（居民）工资表-10月'!$E:$U,17,0),0)</f>
        <v>1558.02</v>
      </c>
      <c r="V8" s="73"/>
      <c r="W8" s="73"/>
      <c r="X8" s="73"/>
      <c r="Y8" s="73"/>
      <c r="Z8" s="73"/>
      <c r="AA8" s="73"/>
      <c r="AB8" s="92">
        <f t="shared" si="1"/>
        <v>0</v>
      </c>
      <c r="AC8" s="92">
        <f>R8+IFERROR(VLOOKUP($E:$E,'（居民）工资表-10月'!$E:$AC,25,0),0)</f>
        <v>0</v>
      </c>
      <c r="AD8" s="97">
        <f t="shared" si="2"/>
        <v>-7478.09</v>
      </c>
      <c r="AE8" s="98">
        <f>ROUND(MAX((AD8)*{0.03;0.1;0.2;0.25;0.3;0.35;0.45}-{0;2520;16920;31920;52920;85920;181920},0),2)</f>
        <v>0</v>
      </c>
      <c r="AF8" s="99">
        <f>IFERROR(VLOOKUP(E:E,'（居民）工资表-10月'!E:AF,28,0)+VLOOKUP(E:E,'（居民）工资表-10月'!E:AG,29,0),0)</f>
        <v>0</v>
      </c>
      <c r="AG8" s="99">
        <f t="shared" si="9"/>
        <v>0</v>
      </c>
      <c r="AH8" s="109">
        <f t="shared" si="3"/>
        <v>4465.94</v>
      </c>
      <c r="AI8" s="110"/>
      <c r="AJ8" s="109">
        <f t="shared" si="4"/>
        <v>4465.94</v>
      </c>
      <c r="AK8" s="111"/>
      <c r="AL8" s="109">
        <f t="shared" si="5"/>
        <v>4465.94</v>
      </c>
      <c r="AM8" s="111"/>
      <c r="AN8" s="111"/>
      <c r="AO8" s="111"/>
      <c r="AP8" s="111"/>
      <c r="AQ8" s="111"/>
      <c r="AR8" s="118" t="str">
        <f t="shared" si="6"/>
        <v>正确</v>
      </c>
      <c r="AS8" s="118" t="str">
        <f t="shared" si="7"/>
        <v>不</v>
      </c>
      <c r="AT8" s="118" t="str">
        <f t="shared" si="8"/>
        <v>重复</v>
      </c>
      <c r="AU8" s="12" t="s">
        <v>144</v>
      </c>
      <c r="AV8" s="12" t="s">
        <v>51</v>
      </c>
    </row>
    <row r="9" s="12" customFormat="1" ht="19" customHeight="1" spans="1:48">
      <c r="A9" s="36">
        <v>6</v>
      </c>
      <c r="B9" s="37" t="s">
        <v>194</v>
      </c>
      <c r="C9" s="37" t="s">
        <v>119</v>
      </c>
      <c r="D9" s="37" t="s">
        <v>195</v>
      </c>
      <c r="E9" s="381" t="s">
        <v>120</v>
      </c>
      <c r="F9" s="38" t="s">
        <v>196</v>
      </c>
      <c r="G9" s="41">
        <v>19356875630</v>
      </c>
      <c r="H9" s="40"/>
      <c r="I9" s="40"/>
      <c r="J9" s="70"/>
      <c r="K9" s="40"/>
      <c r="L9" s="73">
        <v>5200</v>
      </c>
      <c r="M9" s="72">
        <v>274.4</v>
      </c>
      <c r="N9" s="72">
        <v>74.6</v>
      </c>
      <c r="O9" s="72">
        <v>17.15</v>
      </c>
      <c r="P9" s="72">
        <v>170</v>
      </c>
      <c r="Q9" s="91">
        <f t="shared" si="0"/>
        <v>536.15</v>
      </c>
      <c r="R9" s="73">
        <v>0</v>
      </c>
      <c r="S9" s="92">
        <f>L9+IFERROR(VLOOKUP($E:$E,'（居民）工资表-10月'!$E:$S,15,0),0)</f>
        <v>15373.92</v>
      </c>
      <c r="T9" s="93">
        <f>5000+IFERROR(VLOOKUP($E:$E,'（居民）工资表-10月'!$E:$T,16,0),0)</f>
        <v>15000</v>
      </c>
      <c r="U9" s="93">
        <f>Q9+IFERROR(VLOOKUP($E:$E,'（居民）工资表-10月'!$E:$U,17,0),0)</f>
        <v>2680.75</v>
      </c>
      <c r="V9" s="73"/>
      <c r="W9" s="73"/>
      <c r="X9" s="73"/>
      <c r="Y9" s="73"/>
      <c r="Z9" s="73"/>
      <c r="AA9" s="73"/>
      <c r="AB9" s="92">
        <f t="shared" si="1"/>
        <v>0</v>
      </c>
      <c r="AC9" s="92">
        <f>R9+IFERROR(VLOOKUP($E:$E,'（居民）工资表-10月'!$E:$AC,25,0),0)</f>
        <v>0</v>
      </c>
      <c r="AD9" s="97">
        <f t="shared" si="2"/>
        <v>-2306.83</v>
      </c>
      <c r="AE9" s="98">
        <f>ROUND(MAX((AD9)*{0.03;0.1;0.2;0.25;0.3;0.35;0.45}-{0;2520;16920;31920;52920;85920;181920},0),2)</f>
        <v>0</v>
      </c>
      <c r="AF9" s="99">
        <f>IFERROR(VLOOKUP(E:E,'（居民）工资表-10月'!E:AF,28,0)+VLOOKUP(E:E,'（居民）工资表-10月'!E:AG,29,0),0)</f>
        <v>0</v>
      </c>
      <c r="AG9" s="99">
        <f t="shared" si="9"/>
        <v>0</v>
      </c>
      <c r="AH9" s="109">
        <f t="shared" si="3"/>
        <v>4663.85</v>
      </c>
      <c r="AI9" s="110"/>
      <c r="AJ9" s="109">
        <f t="shared" si="4"/>
        <v>4663.85</v>
      </c>
      <c r="AK9" s="111"/>
      <c r="AL9" s="109">
        <f t="shared" si="5"/>
        <v>4663.85</v>
      </c>
      <c r="AM9" s="111"/>
      <c r="AN9" s="111"/>
      <c r="AO9" s="111"/>
      <c r="AP9" s="111"/>
      <c r="AQ9" s="111"/>
      <c r="AR9" s="118" t="str">
        <f t="shared" si="6"/>
        <v>正确</v>
      </c>
      <c r="AS9" s="118" t="str">
        <f t="shared" si="7"/>
        <v>不</v>
      </c>
      <c r="AT9" s="118" t="str">
        <f t="shared" si="8"/>
        <v>重复</v>
      </c>
      <c r="AU9" s="12" t="s">
        <v>144</v>
      </c>
      <c r="AV9" s="12" t="s">
        <v>51</v>
      </c>
    </row>
    <row r="10" s="12" customFormat="1" ht="19" customHeight="1" spans="1:48">
      <c r="A10" s="36">
        <v>7</v>
      </c>
      <c r="B10" s="37" t="s">
        <v>194</v>
      </c>
      <c r="C10" s="37" t="s">
        <v>131</v>
      </c>
      <c r="D10" s="37" t="s">
        <v>195</v>
      </c>
      <c r="E10" s="381" t="s">
        <v>132</v>
      </c>
      <c r="F10" s="38" t="s">
        <v>196</v>
      </c>
      <c r="G10" s="41">
        <v>13973652684</v>
      </c>
      <c r="H10" s="40"/>
      <c r="I10" s="40"/>
      <c r="J10" s="70"/>
      <c r="K10" s="40"/>
      <c r="L10" s="73">
        <v>5200</v>
      </c>
      <c r="M10" s="72">
        <v>288.32</v>
      </c>
      <c r="N10" s="72">
        <v>73.52</v>
      </c>
      <c r="O10" s="72">
        <v>10.81</v>
      </c>
      <c r="P10" s="72">
        <v>100</v>
      </c>
      <c r="Q10" s="91">
        <f t="shared" si="0"/>
        <v>472.65</v>
      </c>
      <c r="R10" s="73">
        <v>0</v>
      </c>
      <c r="S10" s="92">
        <f>L10+IFERROR(VLOOKUP($E:$E,'（居民）工资表-10月'!$E:$S,15,0),0)</f>
        <v>14017.39</v>
      </c>
      <c r="T10" s="93">
        <f>5000+IFERROR(VLOOKUP($E:$E,'（居民）工资表-10月'!$E:$T,16,0),0)</f>
        <v>15000</v>
      </c>
      <c r="U10" s="93">
        <f>Q10+IFERROR(VLOOKUP($E:$E,'（居民）工资表-10月'!$E:$U,17,0),0)</f>
        <v>1890.6</v>
      </c>
      <c r="V10" s="73"/>
      <c r="W10" s="73"/>
      <c r="X10" s="73"/>
      <c r="Y10" s="73"/>
      <c r="Z10" s="73"/>
      <c r="AA10" s="73"/>
      <c r="AB10" s="92">
        <f t="shared" si="1"/>
        <v>0</v>
      </c>
      <c r="AC10" s="92">
        <f>R10+IFERROR(VLOOKUP($E:$E,'（居民）工资表-10月'!$E:$AC,25,0),0)</f>
        <v>0</v>
      </c>
      <c r="AD10" s="97">
        <f t="shared" si="2"/>
        <v>-2873.21</v>
      </c>
      <c r="AE10" s="98">
        <f>ROUND(MAX((AD10)*{0.03;0.1;0.2;0.25;0.3;0.35;0.45}-{0;2520;16920;31920;52920;85920;181920},0),2)</f>
        <v>0</v>
      </c>
      <c r="AF10" s="99">
        <f>IFERROR(VLOOKUP(E:E,'（居民）工资表-10月'!E:AF,28,0)+VLOOKUP(E:E,'（居民）工资表-10月'!E:AG,29,0),0)</f>
        <v>0</v>
      </c>
      <c r="AG10" s="99">
        <f t="shared" si="9"/>
        <v>0</v>
      </c>
      <c r="AH10" s="109">
        <f t="shared" si="3"/>
        <v>4727.35</v>
      </c>
      <c r="AI10" s="110"/>
      <c r="AJ10" s="109">
        <f t="shared" si="4"/>
        <v>4727.35</v>
      </c>
      <c r="AK10" s="111"/>
      <c r="AL10" s="109">
        <f t="shared" si="5"/>
        <v>4727.35</v>
      </c>
      <c r="AM10" s="111"/>
      <c r="AN10" s="111"/>
      <c r="AO10" s="111"/>
      <c r="AP10" s="111"/>
      <c r="AQ10" s="111"/>
      <c r="AR10" s="118" t="str">
        <f t="shared" si="6"/>
        <v>正确</v>
      </c>
      <c r="AS10" s="118" t="str">
        <f t="shared" si="7"/>
        <v>不</v>
      </c>
      <c r="AT10" s="118" t="str">
        <f t="shared" si="8"/>
        <v>重复</v>
      </c>
      <c r="AU10" s="12" t="s">
        <v>202</v>
      </c>
      <c r="AV10" s="12" t="s">
        <v>51</v>
      </c>
    </row>
    <row r="11" s="12" customFormat="1" ht="18" customHeight="1" spans="1:48">
      <c r="A11" s="36">
        <v>8</v>
      </c>
      <c r="B11" s="37" t="s">
        <v>194</v>
      </c>
      <c r="C11" s="37" t="s">
        <v>134</v>
      </c>
      <c r="D11" s="37" t="s">
        <v>195</v>
      </c>
      <c r="E11" s="37" t="s">
        <v>135</v>
      </c>
      <c r="F11" s="38" t="s">
        <v>196</v>
      </c>
      <c r="G11" s="41" t="s">
        <v>203</v>
      </c>
      <c r="H11" s="40"/>
      <c r="I11" s="40"/>
      <c r="J11" s="70"/>
      <c r="K11" s="40"/>
      <c r="L11" s="73">
        <v>5500</v>
      </c>
      <c r="M11" s="72">
        <v>543.6</v>
      </c>
      <c r="N11" s="72">
        <v>140.9</v>
      </c>
      <c r="O11" s="72">
        <v>33.98</v>
      </c>
      <c r="P11" s="72">
        <v>105</v>
      </c>
      <c r="Q11" s="91">
        <f t="shared" si="0"/>
        <v>823.48</v>
      </c>
      <c r="R11" s="73">
        <v>0</v>
      </c>
      <c r="S11" s="92">
        <f>L11+IFERROR(VLOOKUP($E:$E,'（居民）工资表-10月'!$E:$S,15,0),0)</f>
        <v>11000</v>
      </c>
      <c r="T11" s="93">
        <f>5000+IFERROR(VLOOKUP($E:$E,'（居民）工资表-10月'!$E:$T,16,0),0)</f>
        <v>10000</v>
      </c>
      <c r="U11" s="93">
        <f>Q11+IFERROR(VLOOKUP($E:$E,'（居民）工资表-10月'!$E:$U,17,0),0)</f>
        <v>1321.88</v>
      </c>
      <c r="V11" s="73"/>
      <c r="W11" s="73"/>
      <c r="X11" s="73"/>
      <c r="Y11" s="73"/>
      <c r="Z11" s="73"/>
      <c r="AA11" s="73"/>
      <c r="AB11" s="92">
        <f t="shared" si="1"/>
        <v>0</v>
      </c>
      <c r="AC11" s="92">
        <f>R11+IFERROR(VLOOKUP($E:$E,'（居民）工资表-10月'!$E:$AC,25,0),0)</f>
        <v>0</v>
      </c>
      <c r="AD11" s="97">
        <f t="shared" si="2"/>
        <v>-321.88</v>
      </c>
      <c r="AE11" s="98">
        <f>ROUND(MAX((AD11)*{0.03;0.1;0.2;0.25;0.3;0.35;0.45}-{0;2520;16920;31920;52920;85920;181920},0),2)</f>
        <v>0</v>
      </c>
      <c r="AF11" s="99">
        <f>IFERROR(VLOOKUP(E:E,'（居民）工资表-10月'!E:AF,28,0)+VLOOKUP(E:E,'（居民）工资表-10月'!E:AG,29,0),0)</f>
        <v>0.05</v>
      </c>
      <c r="AG11" s="99">
        <f t="shared" si="9"/>
        <v>0</v>
      </c>
      <c r="AH11" s="109">
        <f t="shared" si="3"/>
        <v>4676.52</v>
      </c>
      <c r="AI11" s="110"/>
      <c r="AJ11" s="109">
        <f t="shared" si="4"/>
        <v>4676.52</v>
      </c>
      <c r="AK11" s="111"/>
      <c r="AL11" s="109">
        <f t="shared" si="5"/>
        <v>4676.52</v>
      </c>
      <c r="AM11" s="111"/>
      <c r="AN11" s="111"/>
      <c r="AO11" s="111"/>
      <c r="AP11" s="111"/>
      <c r="AQ11" s="111"/>
      <c r="AR11" s="118" t="str">
        <f t="shared" si="6"/>
        <v>正确</v>
      </c>
      <c r="AS11" s="118" t="str">
        <f t="shared" si="7"/>
        <v>不</v>
      </c>
      <c r="AT11" s="118" t="str">
        <f t="shared" si="8"/>
        <v>重复</v>
      </c>
      <c r="AU11" s="12" t="s">
        <v>133</v>
      </c>
      <c r="AV11" s="12" t="s">
        <v>204</v>
      </c>
    </row>
    <row r="12" s="12" customFormat="1" ht="18" customHeight="1" spans="1:48">
      <c r="A12" s="36">
        <v>9</v>
      </c>
      <c r="B12" s="37" t="s">
        <v>194</v>
      </c>
      <c r="C12" s="37" t="s">
        <v>138</v>
      </c>
      <c r="D12" s="37" t="s">
        <v>195</v>
      </c>
      <c r="E12" s="37" t="s">
        <v>139</v>
      </c>
      <c r="F12" s="38" t="s">
        <v>198</v>
      </c>
      <c r="G12" s="41" t="s">
        <v>205</v>
      </c>
      <c r="H12" s="40"/>
      <c r="I12" s="40"/>
      <c r="J12" s="70"/>
      <c r="K12" s="40"/>
      <c r="L12" s="73">
        <v>3197.6</v>
      </c>
      <c r="M12" s="72">
        <v>704</v>
      </c>
      <c r="N12" s="72">
        <v>220</v>
      </c>
      <c r="O12" s="72">
        <v>44</v>
      </c>
      <c r="P12" s="72">
        <v>218</v>
      </c>
      <c r="Q12" s="91">
        <f t="shared" si="0"/>
        <v>1186</v>
      </c>
      <c r="R12" s="73">
        <v>0</v>
      </c>
      <c r="S12" s="92">
        <f>L12+IFERROR(VLOOKUP($E:$E,'（居民）工资表-10月'!$E:$S,15,0),0)</f>
        <v>3197.6</v>
      </c>
      <c r="T12" s="93">
        <f>5000+IFERROR(VLOOKUP($E:$E,'（居民）工资表-10月'!$E:$T,16,0),0)</f>
        <v>5000</v>
      </c>
      <c r="U12" s="93">
        <f>Q12+IFERROR(VLOOKUP($E:$E,'（居民）工资表-10月'!$E:$U,17,0),0)</f>
        <v>1186</v>
      </c>
      <c r="V12" s="73"/>
      <c r="W12" s="73"/>
      <c r="X12" s="73"/>
      <c r="Y12" s="73"/>
      <c r="Z12" s="73"/>
      <c r="AA12" s="73"/>
      <c r="AB12" s="92">
        <f t="shared" si="1"/>
        <v>0</v>
      </c>
      <c r="AC12" s="92">
        <f>R12+IFERROR(VLOOKUP($E:$E,'（居民）工资表-10月'!$E:$AC,25,0),0)</f>
        <v>0</v>
      </c>
      <c r="AD12" s="97">
        <f t="shared" si="2"/>
        <v>-2988.4</v>
      </c>
      <c r="AE12" s="98">
        <f>ROUND(MAX((AD12)*{0.03;0.1;0.2;0.25;0.3;0.35;0.45}-{0;2520;16920;31920;52920;85920;181920},0),2)</f>
        <v>0</v>
      </c>
      <c r="AF12" s="99">
        <f>IFERROR(VLOOKUP(E:E,'（居民）工资表-10月'!E:AF,28,0)+VLOOKUP(E:E,'（居民）工资表-10月'!E:AG,29,0),0)</f>
        <v>0</v>
      </c>
      <c r="AG12" s="99">
        <f t="shared" si="9"/>
        <v>0</v>
      </c>
      <c r="AH12" s="109">
        <f t="shared" si="3"/>
        <v>2011.6</v>
      </c>
      <c r="AI12" s="110"/>
      <c r="AJ12" s="109">
        <f t="shared" si="4"/>
        <v>2011.6</v>
      </c>
      <c r="AK12" s="111"/>
      <c r="AL12" s="109">
        <f t="shared" si="5"/>
        <v>2011.6</v>
      </c>
      <c r="AM12" s="111"/>
      <c r="AN12" s="111"/>
      <c r="AO12" s="111"/>
      <c r="AP12" s="111"/>
      <c r="AQ12" s="111"/>
      <c r="AR12" s="118" t="str">
        <f t="shared" si="6"/>
        <v>正确</v>
      </c>
      <c r="AS12" s="118" t="str">
        <f t="shared" si="7"/>
        <v>不</v>
      </c>
      <c r="AT12" s="118" t="str">
        <f t="shared" si="8"/>
        <v>重复</v>
      </c>
      <c r="AU12" s="12" t="s">
        <v>137</v>
      </c>
      <c r="AV12" s="12" t="s">
        <v>206</v>
      </c>
    </row>
    <row r="13" s="13" customFormat="1" ht="18" customHeight="1" spans="1:46">
      <c r="A13" s="42"/>
      <c r="B13" s="43" t="s">
        <v>208</v>
      </c>
      <c r="C13" s="43"/>
      <c r="D13" s="44"/>
      <c r="E13" s="45"/>
      <c r="F13" s="46"/>
      <c r="G13" s="47"/>
      <c r="H13" s="46"/>
      <c r="I13" s="74"/>
      <c r="J13" s="75"/>
      <c r="K13" s="74"/>
      <c r="L13" s="76">
        <f>SUM(L4:L12)</f>
        <v>77326.69</v>
      </c>
      <c r="M13" s="76">
        <f t="shared" ref="M13:AL13" si="10">SUM(M4:M12)</f>
        <v>3553.46</v>
      </c>
      <c r="N13" s="76">
        <f t="shared" si="10"/>
        <v>1003.32</v>
      </c>
      <c r="O13" s="76">
        <f t="shared" si="10"/>
        <v>182.04</v>
      </c>
      <c r="P13" s="76">
        <f t="shared" si="10"/>
        <v>1226.3</v>
      </c>
      <c r="Q13" s="76">
        <f t="shared" si="10"/>
        <v>5965.12</v>
      </c>
      <c r="R13" s="76">
        <f t="shared" si="10"/>
        <v>0</v>
      </c>
      <c r="S13" s="76">
        <f t="shared" si="10"/>
        <v>333524.06</v>
      </c>
      <c r="T13" s="76">
        <f t="shared" si="10"/>
        <v>215000</v>
      </c>
      <c r="U13" s="76">
        <f t="shared" si="10"/>
        <v>27596.99</v>
      </c>
      <c r="V13" s="76">
        <f t="shared" si="10"/>
        <v>11000</v>
      </c>
      <c r="W13" s="76">
        <f t="shared" si="10"/>
        <v>0</v>
      </c>
      <c r="X13" s="76">
        <f t="shared" si="10"/>
        <v>0</v>
      </c>
      <c r="Y13" s="76">
        <f t="shared" si="10"/>
        <v>11000</v>
      </c>
      <c r="Z13" s="76">
        <f t="shared" si="10"/>
        <v>4400</v>
      </c>
      <c r="AA13" s="76">
        <f t="shared" si="10"/>
        <v>0</v>
      </c>
      <c r="AB13" s="76">
        <f t="shared" si="10"/>
        <v>26400</v>
      </c>
      <c r="AC13" s="76">
        <f t="shared" si="10"/>
        <v>0</v>
      </c>
      <c r="AD13" s="76">
        <f t="shared" si="10"/>
        <v>64527.07</v>
      </c>
      <c r="AE13" s="76">
        <f t="shared" si="10"/>
        <v>4234.69</v>
      </c>
      <c r="AF13" s="76">
        <f t="shared" si="10"/>
        <v>1767.1</v>
      </c>
      <c r="AG13" s="76">
        <f t="shared" si="10"/>
        <v>2467.64</v>
      </c>
      <c r="AH13" s="76">
        <f t="shared" si="10"/>
        <v>68893.93</v>
      </c>
      <c r="AI13" s="76">
        <f t="shared" si="10"/>
        <v>0</v>
      </c>
      <c r="AJ13" s="76">
        <f t="shared" si="10"/>
        <v>68893.93</v>
      </c>
      <c r="AK13" s="76">
        <f t="shared" si="10"/>
        <v>0</v>
      </c>
      <c r="AL13" s="76">
        <f t="shared" si="10"/>
        <v>71361.57</v>
      </c>
      <c r="AM13" s="112"/>
      <c r="AN13" s="112"/>
      <c r="AO13" s="112"/>
      <c r="AP13" s="112"/>
      <c r="AQ13" s="112"/>
      <c r="AR13" s="46"/>
      <c r="AS13" s="46"/>
      <c r="AT13" s="120"/>
    </row>
    <row r="16" spans="30:30">
      <c r="AD16" s="103"/>
    </row>
    <row r="17" ht="18.75" customHeight="1" spans="2:30">
      <c r="B17" s="48" t="s">
        <v>175</v>
      </c>
      <c r="C17" s="48" t="s">
        <v>209</v>
      </c>
      <c r="D17" s="48" t="s">
        <v>22</v>
      </c>
      <c r="E17" s="48" t="s">
        <v>23</v>
      </c>
      <c r="AD17" s="10"/>
    </row>
    <row r="18" ht="18.75" customHeight="1" spans="2:5">
      <c r="B18" s="49">
        <f>AJ13</f>
        <v>68893.93</v>
      </c>
      <c r="C18" s="49">
        <f>AG13</f>
        <v>2467.64</v>
      </c>
      <c r="D18" s="49">
        <f>AK13</f>
        <v>0</v>
      </c>
      <c r="E18" s="49">
        <f>B18+C18+D18</f>
        <v>71361.57</v>
      </c>
    </row>
    <row r="19" spans="2:5">
      <c r="B19" s="50"/>
      <c r="C19" s="50"/>
      <c r="D19" s="50"/>
      <c r="E19" s="50"/>
    </row>
    <row r="20" s="14" customFormat="1" spans="1:35">
      <c r="A20" s="52" t="s">
        <v>210</v>
      </c>
      <c r="B20" s="53" t="s">
        <v>211</v>
      </c>
      <c r="C20" s="51"/>
      <c r="D20" s="51"/>
      <c r="E20" s="51"/>
      <c r="G20" s="54"/>
      <c r="J20" s="77"/>
      <c r="M20" s="78"/>
      <c r="AI20" s="114"/>
    </row>
    <row r="21" s="14" customFormat="1" spans="1:35">
      <c r="A21" s="55"/>
      <c r="B21" s="56" t="s">
        <v>212</v>
      </c>
      <c r="C21" s="51"/>
      <c r="D21" s="51"/>
      <c r="E21" s="51"/>
      <c r="G21" s="54"/>
      <c r="J21" s="77"/>
      <c r="M21" s="78"/>
      <c r="AI21" s="114"/>
    </row>
    <row r="22" s="14" customFormat="1" spans="1:35">
      <c r="A22" s="53"/>
      <c r="B22" s="56" t="s">
        <v>213</v>
      </c>
      <c r="C22" s="57"/>
      <c r="D22" s="57"/>
      <c r="E22" s="57"/>
      <c r="F22" s="57"/>
      <c r="G22" s="57"/>
      <c r="H22" s="57"/>
      <c r="I22" s="57"/>
      <c r="J22" s="79"/>
      <c r="K22" s="57"/>
      <c r="L22" s="57"/>
      <c r="M22" s="80"/>
      <c r="N22" s="57"/>
      <c r="O22" s="57"/>
      <c r="P22" s="57"/>
      <c r="AI22" s="114"/>
    </row>
    <row r="23" s="14" customFormat="1" customHeight="1" spans="1:35">
      <c r="A23" s="56"/>
      <c r="B23" s="56" t="s">
        <v>214</v>
      </c>
      <c r="C23" s="58"/>
      <c r="D23" s="58"/>
      <c r="E23" s="58"/>
      <c r="F23" s="58"/>
      <c r="G23" s="58"/>
      <c r="H23" s="58"/>
      <c r="I23" s="81"/>
      <c r="J23" s="82"/>
      <c r="K23" s="81"/>
      <c r="L23" s="81"/>
      <c r="M23" s="83"/>
      <c r="N23" s="81"/>
      <c r="O23" s="81"/>
      <c r="P23" s="81"/>
      <c r="AI23" s="114"/>
    </row>
    <row r="24" s="14" customFormat="1" customHeight="1" spans="1:35">
      <c r="A24" s="56"/>
      <c r="B24" s="56" t="s">
        <v>215</v>
      </c>
      <c r="C24" s="58"/>
      <c r="D24" s="58"/>
      <c r="E24" s="58"/>
      <c r="F24" s="58"/>
      <c r="G24" s="58"/>
      <c r="H24" s="58"/>
      <c r="I24" s="58"/>
      <c r="J24" s="84"/>
      <c r="K24" s="58"/>
      <c r="L24" s="81"/>
      <c r="M24" s="83"/>
      <c r="N24" s="81"/>
      <c r="O24" s="81"/>
      <c r="P24" s="81"/>
      <c r="AI24" s="114"/>
    </row>
    <row r="25" s="14" customFormat="1" customHeight="1" spans="1:35">
      <c r="A25" s="56"/>
      <c r="B25" s="56" t="s">
        <v>216</v>
      </c>
      <c r="C25" s="58"/>
      <c r="D25" s="58"/>
      <c r="E25" s="58"/>
      <c r="F25" s="58"/>
      <c r="G25" s="58"/>
      <c r="H25" s="58"/>
      <c r="I25" s="81"/>
      <c r="J25" s="82"/>
      <c r="K25" s="81"/>
      <c r="L25" s="81"/>
      <c r="M25" s="83"/>
      <c r="N25" s="81"/>
      <c r="O25" s="81"/>
      <c r="P25" s="81"/>
      <c r="AI25" s="114"/>
    </row>
    <row r="27" ht="11.25" customHeight="1" spans="2:2">
      <c r="B27" s="59" t="s">
        <v>217</v>
      </c>
    </row>
    <row r="28" spans="2:2">
      <c r="B28" s="60" t="s">
        <v>218</v>
      </c>
    </row>
    <row r="29" spans="2:2">
      <c r="B29" s="60" t="s">
        <v>219</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50"/>
    <pageSetUpPr fitToPage="1"/>
  </sheetPr>
  <dimension ref="A1:AV36"/>
  <sheetViews>
    <sheetView workbookViewId="0">
      <pane xSplit="6" ySplit="3" topLeftCell="T4" activePane="bottomRight" state="frozen"/>
      <selection/>
      <selection pane="topRight"/>
      <selection pane="bottomLeft"/>
      <selection pane="bottomRight" activeCell="V4" sqref="V4:Z4"/>
    </sheetView>
  </sheetViews>
  <sheetFormatPr defaultColWidth="9" defaultRowHeight="13.5"/>
  <cols>
    <col min="1" max="1" width="4.45" style="15" customWidth="1"/>
    <col min="2" max="2" width="14"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194</v>
      </c>
      <c r="C4" s="37" t="s">
        <v>43</v>
      </c>
      <c r="D4" s="37" t="s">
        <v>195</v>
      </c>
      <c r="E4" s="37" t="s">
        <v>44</v>
      </c>
      <c r="F4" s="38" t="s">
        <v>196</v>
      </c>
      <c r="G4" s="41">
        <v>18035163638</v>
      </c>
      <c r="H4" s="40"/>
      <c r="I4" s="40"/>
      <c r="J4" s="70"/>
      <c r="K4" s="40"/>
      <c r="L4" s="73">
        <v>10560</v>
      </c>
      <c r="M4" s="72">
        <v>283.84</v>
      </c>
      <c r="N4" s="72">
        <v>70.96</v>
      </c>
      <c r="O4" s="72">
        <v>10.64</v>
      </c>
      <c r="P4" s="72">
        <v>180</v>
      </c>
      <c r="Q4" s="91">
        <f>ROUND(SUM(M4:P4),2)</f>
        <v>545.44</v>
      </c>
      <c r="R4" s="73">
        <v>0</v>
      </c>
      <c r="S4" s="92">
        <f>L4</f>
        <v>10560</v>
      </c>
      <c r="T4" s="93">
        <v>5000</v>
      </c>
      <c r="U4" s="93">
        <f>Q4</f>
        <v>545.44</v>
      </c>
      <c r="V4" s="73">
        <v>1000</v>
      </c>
      <c r="W4" s="73"/>
      <c r="X4" s="73">
        <v>1000</v>
      </c>
      <c r="Y4" s="73"/>
      <c r="Z4" s="73">
        <v>400</v>
      </c>
      <c r="AA4" s="73"/>
      <c r="AB4" s="92">
        <f>ROUND(SUM(V4:AA4),2)</f>
        <v>2400</v>
      </c>
      <c r="AC4" s="92">
        <f>R4</f>
        <v>0</v>
      </c>
      <c r="AD4" s="97">
        <f>ROUND(S4-T4-U4-AB4-AC4,2)</f>
        <v>2614.56</v>
      </c>
      <c r="AE4" s="98">
        <f>ROUND(MAX((AD4)*{0.03;0.1;0.2;0.25;0.3;0.35;0.45}-{0;2520;16920;31920;52920;85920;181920},0),2)</f>
        <v>78.44</v>
      </c>
      <c r="AF4" s="99">
        <v>0</v>
      </c>
      <c r="AG4" s="99">
        <f>IF((AE4-AF4)&lt;0,0,AE4-AF4)</f>
        <v>78.44</v>
      </c>
      <c r="AH4" s="109">
        <f>ROUND(IF((L4-Q4-AG4)&lt;0,0,(L4-Q4-AG4)),2)</f>
        <v>9936.12</v>
      </c>
      <c r="AI4" s="110"/>
      <c r="AJ4" s="109">
        <f>AH4+AI4</f>
        <v>9936.12</v>
      </c>
      <c r="AK4" s="111"/>
      <c r="AL4" s="109">
        <f>AJ4+AG4+AK4</f>
        <v>10014.56</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IF(SUMPRODUCT(N(E$1:E$19=E4))&gt;1,"重复","不")</f>
        <v>不</v>
      </c>
      <c r="AT4" s="118" t="str">
        <f>IF(SUMPRODUCT(N(AO$1:AO$19=AO4))&gt;1,"重复","不")</f>
        <v>重复</v>
      </c>
      <c r="AU4" s="12" t="s">
        <v>42</v>
      </c>
      <c r="AV4" s="12" t="s">
        <v>40</v>
      </c>
    </row>
    <row r="5" s="127" customFormat="1" ht="18" customHeight="1" spans="1:48">
      <c r="A5" s="128">
        <v>2</v>
      </c>
      <c r="B5" s="129" t="s">
        <v>194</v>
      </c>
      <c r="C5" s="129" t="s">
        <v>61</v>
      </c>
      <c r="D5" s="129" t="s">
        <v>195</v>
      </c>
      <c r="E5" s="129" t="s">
        <v>62</v>
      </c>
      <c r="F5" s="130" t="s">
        <v>196</v>
      </c>
      <c r="G5" s="131">
        <v>13944441728</v>
      </c>
      <c r="H5" s="132"/>
      <c r="I5" s="132"/>
      <c r="J5" s="133"/>
      <c r="K5" s="132"/>
      <c r="L5" s="134">
        <v>7000</v>
      </c>
      <c r="M5" s="135">
        <v>296.26</v>
      </c>
      <c r="N5" s="135">
        <v>72.06</v>
      </c>
      <c r="O5" s="135">
        <v>11.11</v>
      </c>
      <c r="P5" s="135">
        <v>82</v>
      </c>
      <c r="Q5" s="134">
        <f t="shared" ref="Q5:Q21" si="0">ROUND(SUM(M5:P5),2)</f>
        <v>461.43</v>
      </c>
      <c r="R5" s="134">
        <v>0</v>
      </c>
      <c r="S5" s="136">
        <f t="shared" ref="S5:S21" si="1">L5</f>
        <v>7000</v>
      </c>
      <c r="T5" s="137">
        <v>5000</v>
      </c>
      <c r="U5" s="137">
        <f t="shared" ref="U5:U21" si="2">Q5</f>
        <v>461.43</v>
      </c>
      <c r="V5" s="134"/>
      <c r="W5" s="134"/>
      <c r="X5" s="134"/>
      <c r="Y5" s="134"/>
      <c r="Z5" s="134"/>
      <c r="AA5" s="134"/>
      <c r="AB5" s="136">
        <f t="shared" ref="AB5:AB21" si="3">ROUND(SUM(V5:AA5),2)</f>
        <v>0</v>
      </c>
      <c r="AC5" s="136">
        <f t="shared" ref="AC5:AC21" si="4">R5</f>
        <v>0</v>
      </c>
      <c r="AD5" s="138">
        <f t="shared" ref="AD5:AD21" si="5">ROUND(S5-T5-U5-AB5-AC5,2)</f>
        <v>1538.57</v>
      </c>
      <c r="AE5" s="139">
        <f>ROUND(MAX((AD5)*{0.03;0.1;0.2;0.25;0.3;0.35;0.45}-{0;2520;16920;31920;52920;85920;181920},0),2)</f>
        <v>46.16</v>
      </c>
      <c r="AF5" s="140">
        <v>0</v>
      </c>
      <c r="AG5" s="140">
        <f t="shared" ref="AG5:AG21" si="6">IF((AE5-AF5)&lt;0,0,AE5-AF5)</f>
        <v>46.16</v>
      </c>
      <c r="AH5" s="141">
        <f t="shared" ref="AH5:AH21" si="7">ROUND(IF((L5-Q5-AG5)&lt;0,0,(L5-Q5-AG5)),2)</f>
        <v>6492.41</v>
      </c>
      <c r="AI5" s="142"/>
      <c r="AJ5" s="141">
        <f t="shared" ref="AJ5:AJ21" si="8">AH5+AI5</f>
        <v>6492.41</v>
      </c>
      <c r="AK5" s="141"/>
      <c r="AL5" s="141">
        <f t="shared" ref="AL5:AL21" si="9">AJ5+AG5+AK5</f>
        <v>6538.57</v>
      </c>
      <c r="AM5" s="141"/>
      <c r="AN5" s="141"/>
      <c r="AO5" s="141"/>
      <c r="AP5" s="141"/>
      <c r="AQ5" s="141"/>
      <c r="AR5" s="143" t="str">
        <f t="shared" ref="AR5:AR21" si="10">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43" t="str">
        <f t="shared" ref="AS5:AS21" si="11">IF(SUMPRODUCT(N(E$1:E$19=E5))&gt;1,"重复","不")</f>
        <v>不</v>
      </c>
      <c r="AT5" s="143" t="str">
        <f t="shared" ref="AT5:AT21" si="12">IF(SUMPRODUCT(N(AO$1:AO$19=AO5))&gt;1,"重复","不")</f>
        <v>重复</v>
      </c>
      <c r="AU5" s="12" t="s">
        <v>51</v>
      </c>
      <c r="AV5" s="12" t="s">
        <v>197</v>
      </c>
    </row>
    <row r="6" s="12" customFormat="1" ht="18" customHeight="1" spans="1:48">
      <c r="A6" s="36">
        <v>3</v>
      </c>
      <c r="B6" s="37" t="s">
        <v>194</v>
      </c>
      <c r="C6" s="129" t="s">
        <v>101</v>
      </c>
      <c r="D6" s="37" t="s">
        <v>195</v>
      </c>
      <c r="E6" s="381" t="s">
        <v>102</v>
      </c>
      <c r="F6" s="38" t="s">
        <v>198</v>
      </c>
      <c r="G6" s="41">
        <v>15360550807</v>
      </c>
      <c r="H6" s="40"/>
      <c r="I6" s="40"/>
      <c r="J6" s="70"/>
      <c r="K6" s="40"/>
      <c r="L6" s="73">
        <v>5700</v>
      </c>
      <c r="M6" s="72">
        <v>367.04</v>
      </c>
      <c r="N6" s="72">
        <v>144.28</v>
      </c>
      <c r="O6" s="72">
        <v>4.6</v>
      </c>
      <c r="P6" s="72">
        <v>115</v>
      </c>
      <c r="Q6" s="91">
        <f t="shared" si="0"/>
        <v>630.92</v>
      </c>
      <c r="R6" s="73">
        <v>0</v>
      </c>
      <c r="S6" s="92">
        <f t="shared" si="1"/>
        <v>5700</v>
      </c>
      <c r="T6" s="93">
        <v>5000</v>
      </c>
      <c r="U6" s="93">
        <f t="shared" si="2"/>
        <v>630.92</v>
      </c>
      <c r="V6" s="73"/>
      <c r="W6" s="73"/>
      <c r="X6" s="73"/>
      <c r="Y6" s="73"/>
      <c r="Z6" s="73"/>
      <c r="AA6" s="73"/>
      <c r="AB6" s="92">
        <f t="shared" si="3"/>
        <v>0</v>
      </c>
      <c r="AC6" s="92">
        <f t="shared" si="4"/>
        <v>0</v>
      </c>
      <c r="AD6" s="97">
        <f t="shared" si="5"/>
        <v>69.08</v>
      </c>
      <c r="AE6" s="98">
        <f>ROUND(MAX((AD6)*{0.03;0.1;0.2;0.25;0.3;0.35;0.45}-{0;2520;16920;31920;52920;85920;181920},0),2)</f>
        <v>2.07</v>
      </c>
      <c r="AF6" s="99">
        <v>0</v>
      </c>
      <c r="AG6" s="99">
        <f t="shared" si="6"/>
        <v>2.07</v>
      </c>
      <c r="AH6" s="109">
        <f t="shared" si="7"/>
        <v>5067.01</v>
      </c>
      <c r="AI6" s="110"/>
      <c r="AJ6" s="109">
        <f t="shared" si="8"/>
        <v>5067.01</v>
      </c>
      <c r="AK6" s="111"/>
      <c r="AL6" s="109">
        <f t="shared" si="9"/>
        <v>5069.08</v>
      </c>
      <c r="AM6" s="111"/>
      <c r="AN6" s="111"/>
      <c r="AO6" s="111"/>
      <c r="AP6" s="111"/>
      <c r="AQ6" s="111"/>
      <c r="AR6" s="118" t="str">
        <f t="shared" si="10"/>
        <v>正确</v>
      </c>
      <c r="AS6" s="118" t="str">
        <f t="shared" si="11"/>
        <v>不</v>
      </c>
      <c r="AT6" s="118" t="str">
        <f t="shared" si="12"/>
        <v>重复</v>
      </c>
      <c r="AU6" s="12" t="s">
        <v>51</v>
      </c>
      <c r="AV6" s="12" t="s">
        <v>50</v>
      </c>
    </row>
    <row r="7" s="12" customFormat="1" ht="18" customHeight="1" spans="1:48">
      <c r="A7" s="36">
        <v>4</v>
      </c>
      <c r="B7" s="37" t="s">
        <v>194</v>
      </c>
      <c r="C7" s="37" t="s">
        <v>108</v>
      </c>
      <c r="D7" s="37" t="s">
        <v>195</v>
      </c>
      <c r="E7" s="381" t="s">
        <v>109</v>
      </c>
      <c r="F7" s="38" t="s">
        <v>196</v>
      </c>
      <c r="G7" s="41" t="s">
        <v>199</v>
      </c>
      <c r="H7" s="40"/>
      <c r="I7" s="40"/>
      <c r="J7" s="70"/>
      <c r="K7" s="40"/>
      <c r="L7" s="73">
        <v>30060</v>
      </c>
      <c r="M7" s="72">
        <v>521.6</v>
      </c>
      <c r="N7" s="72">
        <v>130.4</v>
      </c>
      <c r="O7" s="72">
        <v>32.6</v>
      </c>
      <c r="P7" s="72">
        <v>181.3</v>
      </c>
      <c r="Q7" s="91">
        <f t="shared" si="0"/>
        <v>865.9</v>
      </c>
      <c r="R7" s="73">
        <v>0</v>
      </c>
      <c r="S7" s="92">
        <f t="shared" si="1"/>
        <v>30060</v>
      </c>
      <c r="T7" s="93">
        <v>5000</v>
      </c>
      <c r="U7" s="93">
        <f t="shared" si="2"/>
        <v>865.9</v>
      </c>
      <c r="V7" s="73"/>
      <c r="W7" s="73"/>
      <c r="X7" s="73"/>
      <c r="Y7" s="73"/>
      <c r="Z7" s="73"/>
      <c r="AA7" s="73"/>
      <c r="AB7" s="92">
        <f t="shared" si="3"/>
        <v>0</v>
      </c>
      <c r="AC7" s="92">
        <f t="shared" si="4"/>
        <v>0</v>
      </c>
      <c r="AD7" s="97">
        <f t="shared" si="5"/>
        <v>24194.1</v>
      </c>
      <c r="AE7" s="98">
        <f>ROUND(MAX((AD7)*{0.03;0.1;0.2;0.25;0.3;0.35;0.45}-{0;2520;16920;31920;52920;85920;181920},0),2)</f>
        <v>725.82</v>
      </c>
      <c r="AF7" s="99">
        <v>0</v>
      </c>
      <c r="AG7" s="99">
        <f t="shared" si="6"/>
        <v>725.82</v>
      </c>
      <c r="AH7" s="109">
        <f t="shared" si="7"/>
        <v>28468.28</v>
      </c>
      <c r="AI7" s="110"/>
      <c r="AJ7" s="109">
        <f t="shared" si="8"/>
        <v>28468.28</v>
      </c>
      <c r="AK7" s="111"/>
      <c r="AL7" s="109">
        <f t="shared" si="9"/>
        <v>29194.1</v>
      </c>
      <c r="AM7" s="111"/>
      <c r="AN7" s="111"/>
      <c r="AO7" s="111"/>
      <c r="AP7" s="111"/>
      <c r="AQ7" s="111"/>
      <c r="AR7" s="118" t="str">
        <f t="shared" si="10"/>
        <v>正确</v>
      </c>
      <c r="AS7" s="118" t="str">
        <f t="shared" si="11"/>
        <v>不</v>
      </c>
      <c r="AT7" s="118" t="str">
        <f t="shared" si="12"/>
        <v>重复</v>
      </c>
      <c r="AU7" s="12" t="s">
        <v>200</v>
      </c>
      <c r="AV7" s="12" t="s">
        <v>107</v>
      </c>
    </row>
    <row r="8" s="12" customFormat="1" ht="18" customHeight="1" spans="1:48">
      <c r="A8" s="36">
        <v>5</v>
      </c>
      <c r="B8" s="37" t="s">
        <v>194</v>
      </c>
      <c r="C8" s="129" t="s">
        <v>112</v>
      </c>
      <c r="D8" s="37" t="s">
        <v>195</v>
      </c>
      <c r="E8" s="381" t="s">
        <v>113</v>
      </c>
      <c r="F8" s="38" t="s">
        <v>196</v>
      </c>
      <c r="G8" s="41" t="s">
        <v>201</v>
      </c>
      <c r="H8" s="40"/>
      <c r="I8" s="40"/>
      <c r="J8" s="70"/>
      <c r="K8" s="40"/>
      <c r="L8" s="73">
        <v>6000</v>
      </c>
      <c r="M8" s="72">
        <v>499.52</v>
      </c>
      <c r="N8" s="72">
        <v>132.88</v>
      </c>
      <c r="O8" s="72">
        <v>31.22</v>
      </c>
      <c r="P8" s="72">
        <v>75</v>
      </c>
      <c r="Q8" s="91">
        <f t="shared" si="0"/>
        <v>738.62</v>
      </c>
      <c r="R8" s="73">
        <v>0</v>
      </c>
      <c r="S8" s="92">
        <f t="shared" si="1"/>
        <v>6000</v>
      </c>
      <c r="T8" s="93">
        <v>5000</v>
      </c>
      <c r="U8" s="93">
        <f t="shared" si="2"/>
        <v>738.62</v>
      </c>
      <c r="V8" s="73"/>
      <c r="W8" s="73"/>
      <c r="X8" s="73"/>
      <c r="Y8" s="73"/>
      <c r="Z8" s="73"/>
      <c r="AA8" s="73"/>
      <c r="AB8" s="92">
        <f t="shared" si="3"/>
        <v>0</v>
      </c>
      <c r="AC8" s="92">
        <f t="shared" si="4"/>
        <v>0</v>
      </c>
      <c r="AD8" s="97">
        <f t="shared" si="5"/>
        <v>261.38</v>
      </c>
      <c r="AE8" s="98">
        <f>ROUND(MAX((AD8)*{0.03;0.1;0.2;0.25;0.3;0.35;0.45}-{0;2520;16920;31920;52920;85920;181920},0),2)</f>
        <v>7.84</v>
      </c>
      <c r="AF8" s="99">
        <v>0</v>
      </c>
      <c r="AG8" s="99">
        <f t="shared" si="6"/>
        <v>7.84</v>
      </c>
      <c r="AH8" s="109">
        <f t="shared" si="7"/>
        <v>5253.54</v>
      </c>
      <c r="AI8" s="110"/>
      <c r="AJ8" s="109">
        <f t="shared" si="8"/>
        <v>5253.54</v>
      </c>
      <c r="AK8" s="111"/>
      <c r="AL8" s="109">
        <f t="shared" si="9"/>
        <v>5261.38</v>
      </c>
      <c r="AM8" s="111"/>
      <c r="AN8" s="111"/>
      <c r="AO8" s="111"/>
      <c r="AP8" s="111"/>
      <c r="AQ8" s="111"/>
      <c r="AR8" s="118" t="str">
        <f t="shared" si="10"/>
        <v>正确</v>
      </c>
      <c r="AS8" s="118" t="str">
        <f t="shared" si="11"/>
        <v>不</v>
      </c>
      <c r="AT8" s="118" t="str">
        <f t="shared" si="12"/>
        <v>重复</v>
      </c>
      <c r="AU8" s="12" t="s">
        <v>51</v>
      </c>
      <c r="AV8" s="12" t="s">
        <v>144</v>
      </c>
    </row>
    <row r="9" s="12" customFormat="1" ht="18" customHeight="1" spans="1:48">
      <c r="A9" s="36">
        <v>6</v>
      </c>
      <c r="B9" s="37" t="s">
        <v>194</v>
      </c>
      <c r="C9" s="129" t="s">
        <v>119</v>
      </c>
      <c r="D9" s="37" t="s">
        <v>195</v>
      </c>
      <c r="E9" s="381" t="s">
        <v>120</v>
      </c>
      <c r="F9" s="38" t="s">
        <v>196</v>
      </c>
      <c r="G9" s="41">
        <v>19356875630</v>
      </c>
      <c r="H9" s="40"/>
      <c r="I9" s="40"/>
      <c r="J9" s="70"/>
      <c r="K9" s="40"/>
      <c r="L9" s="73">
        <v>6500</v>
      </c>
      <c r="M9" s="72">
        <v>499.52</v>
      </c>
      <c r="N9" s="72">
        <v>130.88</v>
      </c>
      <c r="O9" s="72">
        <v>31.22</v>
      </c>
      <c r="P9" s="72">
        <v>85</v>
      </c>
      <c r="Q9" s="91">
        <f t="shared" si="0"/>
        <v>746.62</v>
      </c>
      <c r="R9" s="73">
        <v>0</v>
      </c>
      <c r="S9" s="92">
        <f t="shared" si="1"/>
        <v>6500</v>
      </c>
      <c r="T9" s="93">
        <v>5000</v>
      </c>
      <c r="U9" s="93">
        <f t="shared" si="2"/>
        <v>746.62</v>
      </c>
      <c r="V9" s="73"/>
      <c r="W9" s="73"/>
      <c r="X9" s="73"/>
      <c r="Y9" s="73"/>
      <c r="Z9" s="73"/>
      <c r="AA9" s="73"/>
      <c r="AB9" s="92">
        <f t="shared" si="3"/>
        <v>0</v>
      </c>
      <c r="AC9" s="92">
        <f t="shared" si="4"/>
        <v>0</v>
      </c>
      <c r="AD9" s="97">
        <f t="shared" si="5"/>
        <v>753.38</v>
      </c>
      <c r="AE9" s="98">
        <f>ROUND(MAX((AD9)*{0.03;0.1;0.2;0.25;0.3;0.35;0.45}-{0;2520;16920;31920;52920;85920;181920},0),2)</f>
        <v>22.6</v>
      </c>
      <c r="AF9" s="99">
        <v>0</v>
      </c>
      <c r="AG9" s="99">
        <f t="shared" si="6"/>
        <v>22.6</v>
      </c>
      <c r="AH9" s="109">
        <f t="shared" si="7"/>
        <v>5730.78</v>
      </c>
      <c r="AI9" s="110"/>
      <c r="AJ9" s="109">
        <f t="shared" si="8"/>
        <v>5730.78</v>
      </c>
      <c r="AK9" s="111"/>
      <c r="AL9" s="109">
        <f t="shared" si="9"/>
        <v>5753.38</v>
      </c>
      <c r="AM9" s="111"/>
      <c r="AN9" s="111"/>
      <c r="AO9" s="111"/>
      <c r="AP9" s="111"/>
      <c r="AQ9" s="111"/>
      <c r="AR9" s="118" t="str">
        <f t="shared" si="10"/>
        <v>正确</v>
      </c>
      <c r="AS9" s="118" t="str">
        <f t="shared" si="11"/>
        <v>不</v>
      </c>
      <c r="AT9" s="118" t="str">
        <f t="shared" si="12"/>
        <v>重复</v>
      </c>
      <c r="AU9" s="12" t="s">
        <v>51</v>
      </c>
      <c r="AV9" s="12" t="s">
        <v>144</v>
      </c>
    </row>
    <row r="10" s="12" customFormat="1" ht="18" customHeight="1" spans="1:48">
      <c r="A10" s="36">
        <v>7</v>
      </c>
      <c r="B10" s="37" t="s">
        <v>194</v>
      </c>
      <c r="C10" s="129" t="s">
        <v>131</v>
      </c>
      <c r="D10" s="37" t="s">
        <v>195</v>
      </c>
      <c r="E10" s="381" t="s">
        <v>132</v>
      </c>
      <c r="F10" s="38" t="s">
        <v>196</v>
      </c>
      <c r="G10" s="41">
        <v>13973652684</v>
      </c>
      <c r="H10" s="40"/>
      <c r="I10" s="40"/>
      <c r="J10" s="70"/>
      <c r="K10" s="40"/>
      <c r="L10" s="73">
        <v>6500</v>
      </c>
      <c r="M10" s="72">
        <v>288.32</v>
      </c>
      <c r="N10" s="72">
        <v>73.52</v>
      </c>
      <c r="O10" s="72">
        <v>10.81</v>
      </c>
      <c r="P10" s="72">
        <v>100</v>
      </c>
      <c r="Q10" s="91">
        <f t="shared" si="0"/>
        <v>472.65</v>
      </c>
      <c r="R10" s="73">
        <v>0</v>
      </c>
      <c r="S10" s="92">
        <f t="shared" si="1"/>
        <v>6500</v>
      </c>
      <c r="T10" s="93">
        <v>5000</v>
      </c>
      <c r="U10" s="93">
        <f t="shared" si="2"/>
        <v>472.65</v>
      </c>
      <c r="V10" s="73"/>
      <c r="W10" s="73"/>
      <c r="X10" s="73"/>
      <c r="Y10" s="73"/>
      <c r="Z10" s="73"/>
      <c r="AA10" s="73"/>
      <c r="AB10" s="92">
        <f t="shared" si="3"/>
        <v>0</v>
      </c>
      <c r="AC10" s="92">
        <f t="shared" si="4"/>
        <v>0</v>
      </c>
      <c r="AD10" s="97">
        <f t="shared" si="5"/>
        <v>1027.35</v>
      </c>
      <c r="AE10" s="98">
        <f>ROUND(MAX((AD10)*{0.03;0.1;0.2;0.25;0.3;0.35;0.45}-{0;2520;16920;31920;52920;85920;181920},0),2)</f>
        <v>30.82</v>
      </c>
      <c r="AF10" s="99">
        <v>0</v>
      </c>
      <c r="AG10" s="99">
        <f t="shared" si="6"/>
        <v>30.82</v>
      </c>
      <c r="AH10" s="109">
        <f t="shared" si="7"/>
        <v>5996.53</v>
      </c>
      <c r="AI10" s="110"/>
      <c r="AJ10" s="109">
        <f t="shared" si="8"/>
        <v>5996.53</v>
      </c>
      <c r="AK10" s="111"/>
      <c r="AL10" s="109">
        <f t="shared" si="9"/>
        <v>6027.35</v>
      </c>
      <c r="AM10" s="111"/>
      <c r="AN10" s="111"/>
      <c r="AO10" s="111"/>
      <c r="AP10" s="111"/>
      <c r="AQ10" s="111"/>
      <c r="AR10" s="118" t="str">
        <f t="shared" si="10"/>
        <v>正确</v>
      </c>
      <c r="AS10" s="118" t="str">
        <f t="shared" si="11"/>
        <v>不</v>
      </c>
      <c r="AT10" s="118" t="str">
        <f t="shared" si="12"/>
        <v>重复</v>
      </c>
      <c r="AU10" s="12" t="s">
        <v>51</v>
      </c>
      <c r="AV10" s="12" t="s">
        <v>202</v>
      </c>
    </row>
    <row r="11" s="12" customFormat="1" ht="18" customHeight="1" spans="1:48">
      <c r="A11" s="36">
        <v>8</v>
      </c>
      <c r="B11" s="37" t="s">
        <v>194</v>
      </c>
      <c r="C11" s="37" t="s">
        <v>134</v>
      </c>
      <c r="D11" s="37" t="s">
        <v>195</v>
      </c>
      <c r="E11" s="381" t="s">
        <v>135</v>
      </c>
      <c r="F11" s="38" t="s">
        <v>196</v>
      </c>
      <c r="G11" s="41" t="s">
        <v>203</v>
      </c>
      <c r="H11" s="40"/>
      <c r="I11" s="40"/>
      <c r="J11" s="70"/>
      <c r="K11" s="40"/>
      <c r="L11" s="73">
        <v>5500</v>
      </c>
      <c r="M11" s="72">
        <v>316.56</v>
      </c>
      <c r="N11" s="72">
        <v>84.14</v>
      </c>
      <c r="O11" s="72">
        <v>19.79</v>
      </c>
      <c r="P11" s="72">
        <v>105</v>
      </c>
      <c r="Q11" s="91">
        <f t="shared" si="0"/>
        <v>525.49</v>
      </c>
      <c r="R11" s="73">
        <v>0</v>
      </c>
      <c r="S11" s="92">
        <f t="shared" si="1"/>
        <v>5500</v>
      </c>
      <c r="T11" s="93">
        <v>5000</v>
      </c>
      <c r="U11" s="93">
        <f t="shared" si="2"/>
        <v>525.49</v>
      </c>
      <c r="V11" s="73"/>
      <c r="W11" s="73"/>
      <c r="X11" s="73"/>
      <c r="Y11" s="73"/>
      <c r="Z11" s="73"/>
      <c r="AA11" s="73"/>
      <c r="AB11" s="92">
        <f t="shared" si="3"/>
        <v>0</v>
      </c>
      <c r="AC11" s="92">
        <f t="shared" si="4"/>
        <v>0</v>
      </c>
      <c r="AD11" s="97">
        <f t="shared" si="5"/>
        <v>-25.49</v>
      </c>
      <c r="AE11" s="98">
        <f>ROUND(MAX((AD11)*{0.03;0.1;0.2;0.25;0.3;0.35;0.45}-{0;2520;16920;31920;52920;85920;181920},0),2)</f>
        <v>0</v>
      </c>
      <c r="AF11" s="99">
        <v>0</v>
      </c>
      <c r="AG11" s="99">
        <f t="shared" si="6"/>
        <v>0</v>
      </c>
      <c r="AH11" s="109">
        <f t="shared" si="7"/>
        <v>4974.51</v>
      </c>
      <c r="AI11" s="110"/>
      <c r="AJ11" s="109">
        <f t="shared" si="8"/>
        <v>4974.51</v>
      </c>
      <c r="AK11" s="111"/>
      <c r="AL11" s="109">
        <f t="shared" si="9"/>
        <v>4974.51</v>
      </c>
      <c r="AM11" s="111"/>
      <c r="AN11" s="111"/>
      <c r="AO11" s="111"/>
      <c r="AP11" s="111"/>
      <c r="AQ11" s="111"/>
      <c r="AR11" s="118" t="str">
        <f t="shared" si="10"/>
        <v>正确</v>
      </c>
      <c r="AS11" s="118" t="str">
        <f t="shared" si="11"/>
        <v>不</v>
      </c>
      <c r="AT11" s="118" t="str">
        <f t="shared" si="12"/>
        <v>重复</v>
      </c>
      <c r="AU11" s="12" t="s">
        <v>204</v>
      </c>
      <c r="AV11" s="12" t="s">
        <v>133</v>
      </c>
    </row>
    <row r="12" s="12" customFormat="1" ht="18" customHeight="1" spans="1:48">
      <c r="A12" s="36">
        <v>9</v>
      </c>
      <c r="B12" s="37" t="s">
        <v>194</v>
      </c>
      <c r="C12" s="37" t="s">
        <v>138</v>
      </c>
      <c r="D12" s="37" t="s">
        <v>195</v>
      </c>
      <c r="E12" s="381" t="s">
        <v>139</v>
      </c>
      <c r="F12" s="38" t="s">
        <v>198</v>
      </c>
      <c r="G12" s="41" t="s">
        <v>205</v>
      </c>
      <c r="H12" s="40"/>
      <c r="I12" s="40"/>
      <c r="J12" s="70"/>
      <c r="K12" s="40"/>
      <c r="L12" s="73">
        <v>4598.8</v>
      </c>
      <c r="M12" s="72">
        <v>352</v>
      </c>
      <c r="N12" s="72">
        <v>110</v>
      </c>
      <c r="O12" s="72">
        <v>22</v>
      </c>
      <c r="P12" s="72">
        <v>109</v>
      </c>
      <c r="Q12" s="91">
        <f t="shared" si="0"/>
        <v>593</v>
      </c>
      <c r="R12" s="73">
        <v>0</v>
      </c>
      <c r="S12" s="92">
        <f t="shared" si="1"/>
        <v>4598.8</v>
      </c>
      <c r="T12" s="93">
        <v>5000</v>
      </c>
      <c r="U12" s="93">
        <f t="shared" si="2"/>
        <v>593</v>
      </c>
      <c r="V12" s="73"/>
      <c r="W12" s="73"/>
      <c r="X12" s="73"/>
      <c r="Y12" s="73"/>
      <c r="Z12" s="73"/>
      <c r="AA12" s="73"/>
      <c r="AB12" s="92">
        <f t="shared" si="3"/>
        <v>0</v>
      </c>
      <c r="AC12" s="92">
        <f t="shared" si="4"/>
        <v>0</v>
      </c>
      <c r="AD12" s="97">
        <f t="shared" si="5"/>
        <v>-994.2</v>
      </c>
      <c r="AE12" s="98">
        <f>ROUND(MAX((AD12)*{0.03;0.1;0.2;0.25;0.3;0.35;0.45}-{0;2520;16920;31920;52920;85920;181920},0),2)</f>
        <v>0</v>
      </c>
      <c r="AF12" s="99">
        <v>0</v>
      </c>
      <c r="AG12" s="99">
        <f t="shared" si="6"/>
        <v>0</v>
      </c>
      <c r="AH12" s="109">
        <f t="shared" si="7"/>
        <v>4005.8</v>
      </c>
      <c r="AI12" s="110"/>
      <c r="AJ12" s="109">
        <f t="shared" si="8"/>
        <v>4005.8</v>
      </c>
      <c r="AK12" s="111"/>
      <c r="AL12" s="109">
        <f t="shared" si="9"/>
        <v>4005.8</v>
      </c>
      <c r="AM12" s="111"/>
      <c r="AN12" s="111"/>
      <c r="AO12" s="111"/>
      <c r="AP12" s="111"/>
      <c r="AQ12" s="111"/>
      <c r="AR12" s="118" t="str">
        <f t="shared" si="10"/>
        <v>正确</v>
      </c>
      <c r="AS12" s="118" t="str">
        <f t="shared" si="11"/>
        <v>不</v>
      </c>
      <c r="AT12" s="118" t="str">
        <f t="shared" si="12"/>
        <v>重复</v>
      </c>
      <c r="AU12" s="12" t="s">
        <v>206</v>
      </c>
      <c r="AV12" s="12" t="s">
        <v>137</v>
      </c>
    </row>
    <row r="13" s="12" customFormat="1" ht="18" customHeight="1" spans="1:48">
      <c r="A13" s="36">
        <v>10</v>
      </c>
      <c r="B13" s="37" t="s">
        <v>194</v>
      </c>
      <c r="C13" s="129" t="s">
        <v>128</v>
      </c>
      <c r="D13" s="37" t="s">
        <v>195</v>
      </c>
      <c r="E13" s="381" t="s">
        <v>129</v>
      </c>
      <c r="F13" s="38" t="s">
        <v>196</v>
      </c>
      <c r="G13" s="41">
        <v>18356553626</v>
      </c>
      <c r="H13" s="40"/>
      <c r="I13" s="40"/>
      <c r="J13" s="70"/>
      <c r="K13" s="40"/>
      <c r="L13" s="73">
        <v>5600</v>
      </c>
      <c r="M13" s="72">
        <v>306.56</v>
      </c>
      <c r="N13" s="72">
        <v>120.53</v>
      </c>
      <c r="O13" s="72">
        <v>19.16</v>
      </c>
      <c r="P13" s="72">
        <v>75</v>
      </c>
      <c r="Q13" s="91">
        <f t="shared" si="0"/>
        <v>521.25</v>
      </c>
      <c r="R13" s="73">
        <v>0</v>
      </c>
      <c r="S13" s="92">
        <f t="shared" si="1"/>
        <v>5600</v>
      </c>
      <c r="T13" s="93">
        <v>5000</v>
      </c>
      <c r="U13" s="93">
        <f t="shared" si="2"/>
        <v>521.25</v>
      </c>
      <c r="V13" s="73"/>
      <c r="W13" s="73"/>
      <c r="X13" s="73"/>
      <c r="Y13" s="73"/>
      <c r="Z13" s="73"/>
      <c r="AA13" s="73"/>
      <c r="AB13" s="92">
        <f t="shared" si="3"/>
        <v>0</v>
      </c>
      <c r="AC13" s="92">
        <f t="shared" si="4"/>
        <v>0</v>
      </c>
      <c r="AD13" s="97">
        <f t="shared" si="5"/>
        <v>78.75</v>
      </c>
      <c r="AE13" s="98">
        <f>ROUND(MAX((AD13)*{0.03;0.1;0.2;0.25;0.3;0.35;0.45}-{0;2520;16920;31920;52920;85920;181920},0),2)</f>
        <v>2.36</v>
      </c>
      <c r="AF13" s="99">
        <v>0</v>
      </c>
      <c r="AG13" s="99">
        <f t="shared" si="6"/>
        <v>2.36</v>
      </c>
      <c r="AH13" s="109">
        <f t="shared" si="7"/>
        <v>5076.39</v>
      </c>
      <c r="AI13" s="110"/>
      <c r="AJ13" s="109">
        <f t="shared" si="8"/>
        <v>5076.39</v>
      </c>
      <c r="AK13" s="111"/>
      <c r="AL13" s="109">
        <f t="shared" si="9"/>
        <v>5078.75</v>
      </c>
      <c r="AM13" s="111"/>
      <c r="AN13" s="111"/>
      <c r="AO13" s="111"/>
      <c r="AP13" s="111"/>
      <c r="AQ13" s="111"/>
      <c r="AR13" s="118" t="str">
        <f t="shared" si="10"/>
        <v>正确</v>
      </c>
      <c r="AS13" s="118" t="str">
        <f t="shared" si="11"/>
        <v>不</v>
      </c>
      <c r="AT13" s="118" t="str">
        <f t="shared" si="12"/>
        <v>重复</v>
      </c>
      <c r="AU13" s="12" t="s">
        <v>51</v>
      </c>
      <c r="AV13" s="12" t="s">
        <v>144</v>
      </c>
    </row>
    <row r="14" s="12" customFormat="1" ht="18" customHeight="1" spans="1:48">
      <c r="A14" s="36">
        <v>11</v>
      </c>
      <c r="B14" s="37" t="s">
        <v>194</v>
      </c>
      <c r="C14" s="129" t="s">
        <v>123</v>
      </c>
      <c r="D14" s="37" t="s">
        <v>195</v>
      </c>
      <c r="E14" s="381" t="s">
        <v>124</v>
      </c>
      <c r="F14" s="38" t="s">
        <v>196</v>
      </c>
      <c r="G14" s="41">
        <v>18326897140</v>
      </c>
      <c r="H14" s="40"/>
      <c r="I14" s="40"/>
      <c r="J14" s="70"/>
      <c r="K14" s="40"/>
      <c r="L14" s="73">
        <v>4400</v>
      </c>
      <c r="M14" s="72">
        <v>338.72</v>
      </c>
      <c r="N14" s="72">
        <v>90.68</v>
      </c>
      <c r="O14" s="72">
        <v>21.17</v>
      </c>
      <c r="P14" s="72">
        <v>85</v>
      </c>
      <c r="Q14" s="91">
        <f t="shared" si="0"/>
        <v>535.57</v>
      </c>
      <c r="R14" s="73">
        <v>0</v>
      </c>
      <c r="S14" s="92">
        <f t="shared" si="1"/>
        <v>4400</v>
      </c>
      <c r="T14" s="93">
        <v>5000</v>
      </c>
      <c r="U14" s="93">
        <f t="shared" si="2"/>
        <v>535.57</v>
      </c>
      <c r="V14" s="73"/>
      <c r="W14" s="73"/>
      <c r="X14" s="73"/>
      <c r="Y14" s="73"/>
      <c r="Z14" s="73"/>
      <c r="AA14" s="73"/>
      <c r="AB14" s="92">
        <f t="shared" si="3"/>
        <v>0</v>
      </c>
      <c r="AC14" s="92">
        <f t="shared" si="4"/>
        <v>0</v>
      </c>
      <c r="AD14" s="97">
        <f t="shared" si="5"/>
        <v>-1135.57</v>
      </c>
      <c r="AE14" s="98">
        <f>ROUND(MAX((AD14)*{0.03;0.1;0.2;0.25;0.3;0.35;0.45}-{0;2520;16920;31920;52920;85920;181920},0),2)</f>
        <v>0</v>
      </c>
      <c r="AF14" s="99">
        <v>0</v>
      </c>
      <c r="AG14" s="99">
        <f t="shared" si="6"/>
        <v>0</v>
      </c>
      <c r="AH14" s="109">
        <f t="shared" si="7"/>
        <v>3864.43</v>
      </c>
      <c r="AI14" s="110"/>
      <c r="AJ14" s="109">
        <f t="shared" si="8"/>
        <v>3864.43</v>
      </c>
      <c r="AK14" s="111"/>
      <c r="AL14" s="109">
        <f t="shared" si="9"/>
        <v>3864.43</v>
      </c>
      <c r="AM14" s="111"/>
      <c r="AN14" s="111"/>
      <c r="AO14" s="111"/>
      <c r="AP14" s="111"/>
      <c r="AQ14" s="111"/>
      <c r="AR14" s="118" t="str">
        <f t="shared" si="10"/>
        <v>正确</v>
      </c>
      <c r="AS14" s="118" t="str">
        <f t="shared" si="11"/>
        <v>不</v>
      </c>
      <c r="AT14" s="118" t="str">
        <f t="shared" si="12"/>
        <v>重复</v>
      </c>
      <c r="AU14" s="12" t="s">
        <v>51</v>
      </c>
      <c r="AV14" s="12" t="s">
        <v>144</v>
      </c>
    </row>
    <row r="15" s="12" customFormat="1" ht="18" customHeight="1" spans="1:48">
      <c r="A15" s="36">
        <v>12</v>
      </c>
      <c r="B15" s="37" t="s">
        <v>194</v>
      </c>
      <c r="C15" s="129" t="s">
        <v>121</v>
      </c>
      <c r="D15" s="37" t="s">
        <v>195</v>
      </c>
      <c r="E15" s="381" t="s">
        <v>122</v>
      </c>
      <c r="F15" s="38" t="s">
        <v>196</v>
      </c>
      <c r="G15" s="41">
        <v>17201857014</v>
      </c>
      <c r="H15" s="40"/>
      <c r="I15" s="40"/>
      <c r="J15" s="70"/>
      <c r="K15" s="40"/>
      <c r="L15" s="73">
        <v>4400</v>
      </c>
      <c r="M15" s="72">
        <v>338.72</v>
      </c>
      <c r="N15" s="72">
        <v>90.68</v>
      </c>
      <c r="O15" s="72">
        <v>21.17</v>
      </c>
      <c r="P15" s="72">
        <v>85</v>
      </c>
      <c r="Q15" s="91">
        <f t="shared" si="0"/>
        <v>535.57</v>
      </c>
      <c r="R15" s="73">
        <v>0</v>
      </c>
      <c r="S15" s="92">
        <f t="shared" si="1"/>
        <v>4400</v>
      </c>
      <c r="T15" s="93">
        <v>5000</v>
      </c>
      <c r="U15" s="93">
        <f t="shared" si="2"/>
        <v>535.57</v>
      </c>
      <c r="V15" s="73"/>
      <c r="W15" s="73"/>
      <c r="X15" s="73"/>
      <c r="Y15" s="73"/>
      <c r="Z15" s="73"/>
      <c r="AA15" s="73"/>
      <c r="AB15" s="92">
        <f t="shared" si="3"/>
        <v>0</v>
      </c>
      <c r="AC15" s="92">
        <f t="shared" si="4"/>
        <v>0</v>
      </c>
      <c r="AD15" s="97">
        <f t="shared" si="5"/>
        <v>-1135.57</v>
      </c>
      <c r="AE15" s="98">
        <f>ROUND(MAX((AD15)*{0.03;0.1;0.2;0.25;0.3;0.35;0.45}-{0;2520;16920;31920;52920;85920;181920},0),2)</f>
        <v>0</v>
      </c>
      <c r="AF15" s="99">
        <v>0</v>
      </c>
      <c r="AG15" s="99">
        <f t="shared" si="6"/>
        <v>0</v>
      </c>
      <c r="AH15" s="109">
        <f t="shared" si="7"/>
        <v>3864.43</v>
      </c>
      <c r="AI15" s="110"/>
      <c r="AJ15" s="109">
        <f t="shared" si="8"/>
        <v>3864.43</v>
      </c>
      <c r="AK15" s="111"/>
      <c r="AL15" s="109">
        <f t="shared" si="9"/>
        <v>3864.43</v>
      </c>
      <c r="AM15" s="111"/>
      <c r="AN15" s="111"/>
      <c r="AO15" s="111"/>
      <c r="AP15" s="111"/>
      <c r="AQ15" s="111"/>
      <c r="AR15" s="118" t="str">
        <f t="shared" si="10"/>
        <v>正确</v>
      </c>
      <c r="AS15" s="118" t="str">
        <f t="shared" si="11"/>
        <v>不</v>
      </c>
      <c r="AT15" s="118" t="str">
        <f t="shared" si="12"/>
        <v>重复</v>
      </c>
      <c r="AU15" s="12" t="s">
        <v>51</v>
      </c>
      <c r="AV15" s="12" t="s">
        <v>144</v>
      </c>
    </row>
    <row r="16" s="12" customFormat="1" ht="18" customHeight="1" spans="1:48">
      <c r="A16" s="36">
        <v>13</v>
      </c>
      <c r="B16" s="37" t="s">
        <v>194</v>
      </c>
      <c r="C16" s="129" t="s">
        <v>126</v>
      </c>
      <c r="D16" s="37" t="s">
        <v>195</v>
      </c>
      <c r="E16" s="381" t="s">
        <v>127</v>
      </c>
      <c r="F16" s="38" t="s">
        <v>198</v>
      </c>
      <c r="G16" s="41" t="s">
        <v>207</v>
      </c>
      <c r="H16" s="40"/>
      <c r="I16" s="40"/>
      <c r="J16" s="70"/>
      <c r="K16" s="40"/>
      <c r="L16" s="73">
        <v>5600</v>
      </c>
      <c r="M16" s="72">
        <v>306.56</v>
      </c>
      <c r="N16" s="72">
        <v>128.57</v>
      </c>
      <c r="O16" s="72">
        <v>19.16</v>
      </c>
      <c r="P16" s="72">
        <v>75</v>
      </c>
      <c r="Q16" s="91">
        <f t="shared" si="0"/>
        <v>529.29</v>
      </c>
      <c r="R16" s="73">
        <v>0</v>
      </c>
      <c r="S16" s="92">
        <f t="shared" si="1"/>
        <v>5600</v>
      </c>
      <c r="T16" s="93">
        <v>5000</v>
      </c>
      <c r="U16" s="93">
        <f t="shared" si="2"/>
        <v>529.29</v>
      </c>
      <c r="V16" s="73"/>
      <c r="W16" s="73"/>
      <c r="X16" s="73"/>
      <c r="Y16" s="73"/>
      <c r="Z16" s="73"/>
      <c r="AA16" s="73"/>
      <c r="AB16" s="92">
        <f t="shared" si="3"/>
        <v>0</v>
      </c>
      <c r="AC16" s="92">
        <f t="shared" si="4"/>
        <v>0</v>
      </c>
      <c r="AD16" s="97">
        <f t="shared" si="5"/>
        <v>70.71</v>
      </c>
      <c r="AE16" s="98">
        <f>ROUND(MAX((AD16)*{0.03;0.1;0.2;0.25;0.3;0.35;0.45}-{0;2520;16920;31920;52920;85920;181920},0),2)</f>
        <v>2.12</v>
      </c>
      <c r="AF16" s="99">
        <v>0</v>
      </c>
      <c r="AG16" s="99">
        <f t="shared" si="6"/>
        <v>2.12</v>
      </c>
      <c r="AH16" s="109">
        <f t="shared" si="7"/>
        <v>5068.59</v>
      </c>
      <c r="AI16" s="110"/>
      <c r="AJ16" s="109">
        <f t="shared" si="8"/>
        <v>5068.59</v>
      </c>
      <c r="AK16" s="111"/>
      <c r="AL16" s="109">
        <f t="shared" si="9"/>
        <v>5070.71</v>
      </c>
      <c r="AM16" s="111"/>
      <c r="AN16" s="111"/>
      <c r="AO16" s="111"/>
      <c r="AP16" s="111"/>
      <c r="AQ16" s="111"/>
      <c r="AR16" s="118" t="str">
        <f t="shared" si="10"/>
        <v>正确</v>
      </c>
      <c r="AS16" s="118" t="str">
        <f t="shared" si="11"/>
        <v>不</v>
      </c>
      <c r="AT16" s="118" t="str">
        <f t="shared" si="12"/>
        <v>重复</v>
      </c>
      <c r="AU16" s="12" t="s">
        <v>51</v>
      </c>
      <c r="AV16" s="12" t="s">
        <v>144</v>
      </c>
    </row>
    <row r="17" s="12" customFormat="1" ht="18" customHeight="1" spans="1:48">
      <c r="A17" s="36">
        <v>14</v>
      </c>
      <c r="B17" s="37" t="s">
        <v>194</v>
      </c>
      <c r="C17" s="37" t="s">
        <v>115</v>
      </c>
      <c r="D17" s="37" t="s">
        <v>195</v>
      </c>
      <c r="E17" s="381" t="s">
        <v>116</v>
      </c>
      <c r="F17" s="38" t="s">
        <v>198</v>
      </c>
      <c r="G17" s="41">
        <v>15855788591</v>
      </c>
      <c r="H17" s="40"/>
      <c r="I17" s="40"/>
      <c r="J17" s="70"/>
      <c r="K17" s="40"/>
      <c r="L17" s="73">
        <v>4380</v>
      </c>
      <c r="M17" s="72">
        <v>613.12</v>
      </c>
      <c r="N17" s="72">
        <v>169.28</v>
      </c>
      <c r="O17" s="72">
        <v>38.32</v>
      </c>
      <c r="P17" s="72">
        <v>150</v>
      </c>
      <c r="Q17" s="91">
        <f t="shared" si="0"/>
        <v>970.72</v>
      </c>
      <c r="R17" s="73">
        <v>0</v>
      </c>
      <c r="S17" s="92">
        <f t="shared" si="1"/>
        <v>4380</v>
      </c>
      <c r="T17" s="93">
        <v>5000</v>
      </c>
      <c r="U17" s="93">
        <f t="shared" si="2"/>
        <v>970.72</v>
      </c>
      <c r="V17" s="73"/>
      <c r="W17" s="73"/>
      <c r="X17" s="73"/>
      <c r="Y17" s="73"/>
      <c r="Z17" s="73"/>
      <c r="AA17" s="73"/>
      <c r="AB17" s="92">
        <f t="shared" si="3"/>
        <v>0</v>
      </c>
      <c r="AC17" s="92">
        <f t="shared" si="4"/>
        <v>0</v>
      </c>
      <c r="AD17" s="97">
        <f t="shared" si="5"/>
        <v>-1590.72</v>
      </c>
      <c r="AE17" s="98">
        <f>ROUND(MAX((AD17)*{0.03;0.1;0.2;0.25;0.3;0.35;0.45}-{0;2520;16920;31920;52920;85920;181920},0),2)</f>
        <v>0</v>
      </c>
      <c r="AF17" s="99">
        <v>0</v>
      </c>
      <c r="AG17" s="99">
        <f t="shared" si="6"/>
        <v>0</v>
      </c>
      <c r="AH17" s="109">
        <f t="shared" si="7"/>
        <v>3409.28</v>
      </c>
      <c r="AI17" s="110"/>
      <c r="AJ17" s="109">
        <f t="shared" si="8"/>
        <v>3409.28</v>
      </c>
      <c r="AK17" s="111"/>
      <c r="AL17" s="109">
        <f t="shared" si="9"/>
        <v>3409.28</v>
      </c>
      <c r="AM17" s="111"/>
      <c r="AN17" s="111"/>
      <c r="AO17" s="111"/>
      <c r="AP17" s="111"/>
      <c r="AQ17" s="111"/>
      <c r="AR17" s="118" t="str">
        <f t="shared" si="10"/>
        <v>正确</v>
      </c>
      <c r="AS17" s="118" t="str">
        <f>IF(SUMPRODUCT(N(E$1:E$19=E17))&gt;1,"重复","不")</f>
        <v>不</v>
      </c>
      <c r="AT17" s="118" t="str">
        <f>IF(SUMPRODUCT(N(AO$1:AO$19=AO17))&gt;1,"重复","不")</f>
        <v>重复</v>
      </c>
      <c r="AU17" s="12" t="s">
        <v>51</v>
      </c>
      <c r="AV17" s="12" t="s">
        <v>144</v>
      </c>
    </row>
    <row r="18" s="12" customFormat="1" ht="18" customHeight="1" spans="1:48">
      <c r="A18" s="36">
        <v>15</v>
      </c>
      <c r="B18" s="37" t="s">
        <v>194</v>
      </c>
      <c r="C18" s="37" t="s">
        <v>142</v>
      </c>
      <c r="D18" s="37" t="s">
        <v>195</v>
      </c>
      <c r="E18" s="381" t="s">
        <v>143</v>
      </c>
      <c r="F18" s="38" t="s">
        <v>198</v>
      </c>
      <c r="G18" s="41">
        <v>13873717760</v>
      </c>
      <c r="H18" s="40"/>
      <c r="I18" s="40"/>
      <c r="J18" s="70"/>
      <c r="K18" s="40"/>
      <c r="L18" s="73">
        <v>1300</v>
      </c>
      <c r="M18" s="72">
        <v>573.76</v>
      </c>
      <c r="N18" s="72">
        <v>163.44</v>
      </c>
      <c r="O18" s="72">
        <v>21.52</v>
      </c>
      <c r="P18" s="72">
        <v>350</v>
      </c>
      <c r="Q18" s="91">
        <f t="shared" si="0"/>
        <v>1108.72</v>
      </c>
      <c r="R18" s="73">
        <v>0</v>
      </c>
      <c r="S18" s="92">
        <f t="shared" si="1"/>
        <v>1300</v>
      </c>
      <c r="T18" s="93">
        <v>5000</v>
      </c>
      <c r="U18" s="93">
        <f t="shared" si="2"/>
        <v>1108.72</v>
      </c>
      <c r="V18" s="73"/>
      <c r="W18" s="73"/>
      <c r="X18" s="73"/>
      <c r="Y18" s="73"/>
      <c r="Z18" s="73"/>
      <c r="AA18" s="73"/>
      <c r="AB18" s="92">
        <f t="shared" si="3"/>
        <v>0</v>
      </c>
      <c r="AC18" s="92">
        <f t="shared" si="4"/>
        <v>0</v>
      </c>
      <c r="AD18" s="97">
        <f t="shared" si="5"/>
        <v>-4808.72</v>
      </c>
      <c r="AE18" s="98">
        <f>ROUND(MAX((AD18)*{0.03;0.1;0.2;0.25;0.3;0.35;0.45}-{0;2520;16920;31920;52920;85920;181920},0),2)</f>
        <v>0</v>
      </c>
      <c r="AF18" s="99">
        <v>0</v>
      </c>
      <c r="AG18" s="99">
        <f t="shared" si="6"/>
        <v>0</v>
      </c>
      <c r="AH18" s="109">
        <f t="shared" si="7"/>
        <v>191.28</v>
      </c>
      <c r="AI18" s="110"/>
      <c r="AJ18" s="109">
        <f t="shared" si="8"/>
        <v>191.28</v>
      </c>
      <c r="AK18" s="111"/>
      <c r="AL18" s="109">
        <f t="shared" si="9"/>
        <v>191.28</v>
      </c>
      <c r="AM18" s="111"/>
      <c r="AN18" s="111"/>
      <c r="AO18" s="111"/>
      <c r="AP18" s="111"/>
      <c r="AQ18" s="111"/>
      <c r="AR18" s="118" t="str">
        <f t="shared" si="10"/>
        <v>正确</v>
      </c>
      <c r="AS18" s="118" t="str">
        <f>IF(SUMPRODUCT(N(E$1:E$19=E18))&gt;1,"重复","不")</f>
        <v>不</v>
      </c>
      <c r="AT18" s="118" t="str">
        <f>IF(SUMPRODUCT(N(AO$1:AO$19=AO18))&gt;1,"重复","不")</f>
        <v>重复</v>
      </c>
      <c r="AU18" s="12" t="s">
        <v>51</v>
      </c>
      <c r="AV18" s="12" t="s">
        <v>202</v>
      </c>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f>SUBTOTAL(9,AL4:AL18)</f>
        <v>98317.61</v>
      </c>
      <c r="AM19" s="111"/>
      <c r="AN19" s="111"/>
      <c r="AO19" s="111"/>
      <c r="AP19" s="111"/>
      <c r="AQ19" s="111"/>
      <c r="AR19" s="118"/>
      <c r="AS19" s="118"/>
      <c r="AT19" s="118"/>
    </row>
    <row r="20" s="13" customFormat="1" ht="18" customHeight="1" spans="1:46">
      <c r="A20" s="42"/>
      <c r="B20" s="43" t="s">
        <v>208</v>
      </c>
      <c r="C20" s="43"/>
      <c r="D20" s="44"/>
      <c r="E20" s="45"/>
      <c r="F20" s="46"/>
      <c r="G20" s="47"/>
      <c r="H20" s="46"/>
      <c r="I20" s="74"/>
      <c r="J20" s="75"/>
      <c r="K20" s="74"/>
      <c r="L20" s="76">
        <f t="shared" ref="L20:AL20" si="13">SUM(L4:L19)</f>
        <v>108098.8</v>
      </c>
      <c r="M20" s="76">
        <f t="shared" si="13"/>
        <v>5902.1</v>
      </c>
      <c r="N20" s="76">
        <f t="shared" si="13"/>
        <v>1712.3</v>
      </c>
      <c r="O20" s="76">
        <f t="shared" si="13"/>
        <v>314.49</v>
      </c>
      <c r="P20" s="76">
        <f t="shared" si="13"/>
        <v>1852.3</v>
      </c>
      <c r="Q20" s="76">
        <f t="shared" si="13"/>
        <v>9781.19</v>
      </c>
      <c r="R20" s="76">
        <f t="shared" si="13"/>
        <v>0</v>
      </c>
      <c r="S20" s="76">
        <f t="shared" si="13"/>
        <v>108098.8</v>
      </c>
      <c r="T20" s="76">
        <f t="shared" si="13"/>
        <v>75000</v>
      </c>
      <c r="U20" s="76">
        <f t="shared" si="13"/>
        <v>9781.19</v>
      </c>
      <c r="V20" s="76">
        <f t="shared" si="13"/>
        <v>1000</v>
      </c>
      <c r="W20" s="76">
        <f t="shared" si="13"/>
        <v>0</v>
      </c>
      <c r="X20" s="76">
        <f t="shared" si="13"/>
        <v>1000</v>
      </c>
      <c r="Y20" s="76">
        <f t="shared" si="13"/>
        <v>0</v>
      </c>
      <c r="Z20" s="76">
        <f t="shared" si="13"/>
        <v>400</v>
      </c>
      <c r="AA20" s="76">
        <f t="shared" si="13"/>
        <v>0</v>
      </c>
      <c r="AB20" s="76">
        <f t="shared" si="13"/>
        <v>2400</v>
      </c>
      <c r="AC20" s="76">
        <f t="shared" si="13"/>
        <v>0</v>
      </c>
      <c r="AD20" s="76">
        <f t="shared" si="13"/>
        <v>20917.61</v>
      </c>
      <c r="AE20" s="76">
        <f t="shared" si="13"/>
        <v>918.23</v>
      </c>
      <c r="AF20" s="76">
        <f t="shared" si="13"/>
        <v>0</v>
      </c>
      <c r="AG20" s="76">
        <f t="shared" si="13"/>
        <v>918.23</v>
      </c>
      <c r="AH20" s="76">
        <f t="shared" si="13"/>
        <v>97399.38</v>
      </c>
      <c r="AI20" s="126">
        <f t="shared" si="13"/>
        <v>0</v>
      </c>
      <c r="AJ20" s="76">
        <f t="shared" si="13"/>
        <v>97399.38</v>
      </c>
      <c r="AK20" s="76">
        <f t="shared" si="13"/>
        <v>0</v>
      </c>
      <c r="AL20" s="76">
        <f t="shared" si="13"/>
        <v>196635.22</v>
      </c>
      <c r="AM20" s="112"/>
      <c r="AN20" s="112"/>
      <c r="AO20" s="112"/>
      <c r="AP20" s="112"/>
      <c r="AQ20" s="112"/>
      <c r="AR20" s="46"/>
      <c r="AS20" s="46"/>
      <c r="AT20" s="120"/>
    </row>
    <row r="23" spans="30:30">
      <c r="AD23" s="103"/>
    </row>
    <row r="24" ht="18.75" customHeight="1" spans="2:30">
      <c r="B24" s="48" t="s">
        <v>175</v>
      </c>
      <c r="C24" s="48" t="s">
        <v>209</v>
      </c>
      <c r="D24" s="48" t="s">
        <v>22</v>
      </c>
      <c r="E24" s="48" t="s">
        <v>23</v>
      </c>
      <c r="AD24" s="10"/>
    </row>
    <row r="25" ht="18.75" customHeight="1" spans="2:5">
      <c r="B25" s="49">
        <f>AJ20</f>
        <v>97399.38</v>
      </c>
      <c r="C25" s="49">
        <f>AG20</f>
        <v>918.23</v>
      </c>
      <c r="D25" s="49">
        <f>AK20</f>
        <v>0</v>
      </c>
      <c r="E25" s="49">
        <f>B25+C25+D25</f>
        <v>98317.61</v>
      </c>
    </row>
    <row r="26" spans="2:5">
      <c r="B26" s="50"/>
      <c r="C26" s="50"/>
      <c r="D26" s="50"/>
      <c r="E26" s="50"/>
    </row>
    <row r="27" s="14" customFormat="1" spans="1:35">
      <c r="A27" s="52" t="s">
        <v>210</v>
      </c>
      <c r="B27" s="53" t="s">
        <v>211</v>
      </c>
      <c r="C27" s="51"/>
      <c r="D27" s="51"/>
      <c r="E27" s="51"/>
      <c r="G27" s="54"/>
      <c r="J27" s="77"/>
      <c r="M27" s="78"/>
      <c r="AI27" s="114"/>
    </row>
    <row r="28" s="14" customFormat="1" spans="1:35">
      <c r="A28" s="55"/>
      <c r="B28" s="56" t="s">
        <v>212</v>
      </c>
      <c r="C28" s="51"/>
      <c r="D28" s="51"/>
      <c r="E28" s="51"/>
      <c r="G28" s="54"/>
      <c r="J28" s="77"/>
      <c r="M28" s="78"/>
      <c r="AI28" s="114"/>
    </row>
    <row r="29" s="14" customFormat="1" spans="1:35">
      <c r="A29" s="53"/>
      <c r="B29" s="56" t="s">
        <v>213</v>
      </c>
      <c r="C29" s="57"/>
      <c r="D29" s="57"/>
      <c r="E29" s="57"/>
      <c r="F29" s="57"/>
      <c r="G29" s="57"/>
      <c r="H29" s="57"/>
      <c r="I29" s="57"/>
      <c r="J29" s="79"/>
      <c r="K29" s="57"/>
      <c r="L29" s="57"/>
      <c r="M29" s="80"/>
      <c r="N29" s="57"/>
      <c r="O29" s="57"/>
      <c r="P29" s="57"/>
      <c r="AI29" s="114"/>
    </row>
    <row r="30" s="14" customFormat="1" customHeight="1" spans="1:35">
      <c r="A30" s="56"/>
      <c r="B30" s="56" t="s">
        <v>214</v>
      </c>
      <c r="C30" s="58"/>
      <c r="D30" s="58"/>
      <c r="E30" s="58"/>
      <c r="F30" s="58"/>
      <c r="G30" s="58"/>
      <c r="H30" s="58"/>
      <c r="I30" s="81"/>
      <c r="J30" s="82"/>
      <c r="K30" s="81"/>
      <c r="L30" s="81"/>
      <c r="M30" s="83"/>
      <c r="N30" s="81"/>
      <c r="O30" s="81"/>
      <c r="P30" s="81"/>
      <c r="AI30" s="114"/>
    </row>
    <row r="31" s="14" customFormat="1" customHeight="1" spans="1:35">
      <c r="A31" s="56"/>
      <c r="B31" s="56" t="s">
        <v>215</v>
      </c>
      <c r="C31" s="58"/>
      <c r="D31" s="58"/>
      <c r="E31" s="58"/>
      <c r="F31" s="58"/>
      <c r="G31" s="58"/>
      <c r="H31" s="58"/>
      <c r="I31" s="58"/>
      <c r="J31" s="84"/>
      <c r="K31" s="58"/>
      <c r="L31" s="81"/>
      <c r="M31" s="83"/>
      <c r="N31" s="81"/>
      <c r="O31" s="81"/>
      <c r="P31" s="81"/>
      <c r="AI31" s="114"/>
    </row>
    <row r="32" s="14" customFormat="1" customHeight="1" spans="1:35">
      <c r="A32" s="56"/>
      <c r="B32" s="56" t="s">
        <v>216</v>
      </c>
      <c r="C32" s="58"/>
      <c r="D32" s="58"/>
      <c r="E32" s="58"/>
      <c r="F32" s="58"/>
      <c r="G32" s="58"/>
      <c r="H32" s="58"/>
      <c r="I32" s="81"/>
      <c r="J32" s="82"/>
      <c r="K32" s="81"/>
      <c r="L32" s="81"/>
      <c r="M32" s="83"/>
      <c r="N32" s="81"/>
      <c r="O32" s="81"/>
      <c r="P32" s="81"/>
      <c r="AI32" s="114"/>
    </row>
    <row r="34" ht="11.25" customHeight="1" spans="2:2">
      <c r="B34" s="59" t="s">
        <v>217</v>
      </c>
    </row>
    <row r="35" spans="2:2">
      <c r="B35" s="60" t="s">
        <v>218</v>
      </c>
    </row>
    <row r="36" spans="2:2">
      <c r="B36" s="60" t="s">
        <v>219</v>
      </c>
    </row>
  </sheetData>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10" stopIfTrue="1"/>
  </conditionalFormatting>
  <conditionalFormatting sqref="B27:B31">
    <cfRule type="duplicateValues" dxfId="3" priority="13" stopIfTrue="1"/>
  </conditionalFormatting>
  <conditionalFormatting sqref="B35:B36">
    <cfRule type="duplicateValues" dxfId="3" priority="1" stopIfTrue="1"/>
  </conditionalFormatting>
  <conditionalFormatting sqref="C24:C26">
    <cfRule type="duplicateValues" dxfId="3" priority="17" stopIfTrue="1"/>
    <cfRule type="expression" dxfId="4" priority="19" stopIfTrue="1">
      <formula>AND(COUNTIF($B$20:$B$65456,C24)+COUNTIF($B$1:$B$3,C24)&gt;1,NOT(ISBLANK(C24)))</formula>
    </cfRule>
    <cfRule type="expression" dxfId="4" priority="21" stopIfTrue="1">
      <formula>AND(COUNTIF($B$31:$B$65407,C24)+COUNTIF($B$1:$B$30,C24)&gt;1,NOT(ISBLANK(C24)))</formula>
    </cfRule>
    <cfRule type="expression" dxfId="4" priority="23"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50"/>
    <pageSetUpPr fitToPage="1"/>
  </sheetPr>
  <dimension ref="A1:AV33"/>
  <sheetViews>
    <sheetView workbookViewId="0">
      <pane xSplit="6" ySplit="3" topLeftCell="AU4" activePane="bottomRight" state="frozen"/>
      <selection/>
      <selection pane="topRight"/>
      <selection pane="bottomLeft"/>
      <selection pane="bottomRight" activeCell="AG17" sqref="AG17"/>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194</v>
      </c>
      <c r="C4" s="37" t="s">
        <v>43</v>
      </c>
      <c r="D4" s="37" t="s">
        <v>195</v>
      </c>
      <c r="E4" s="37" t="s">
        <v>44</v>
      </c>
      <c r="F4" s="38" t="s">
        <v>196</v>
      </c>
      <c r="G4" s="41">
        <v>18035163638</v>
      </c>
      <c r="H4" s="40"/>
      <c r="I4" s="40"/>
      <c r="J4" s="70"/>
      <c r="K4" s="40"/>
      <c r="L4" s="73">
        <v>10560</v>
      </c>
      <c r="M4" s="72">
        <v>283.84</v>
      </c>
      <c r="N4" s="72">
        <v>70.96</v>
      </c>
      <c r="O4" s="72">
        <v>10.64</v>
      </c>
      <c r="P4" s="72">
        <v>180</v>
      </c>
      <c r="Q4" s="91">
        <f t="shared" ref="Q4:Q16" si="0">ROUND(SUM(M4:P4),2)</f>
        <v>545.44</v>
      </c>
      <c r="R4" s="73">
        <v>0</v>
      </c>
      <c r="S4" s="92">
        <f>L4+IFERROR(VLOOKUP($E:$E,'（居民）工资表-11月'!$E:$S,15,0),0)</f>
        <v>63030</v>
      </c>
      <c r="T4" s="93">
        <f>5000+IFERROR(VLOOKUP($E:$E,'（居民）工资表-11月'!$E:$T,16,0),0)</f>
        <v>30000</v>
      </c>
      <c r="U4" s="93">
        <f>Q4+IFERROR(VLOOKUP($E:$E,'（居民）工资表-11月'!$E:$U,17,0),0)</f>
        <v>3425.88</v>
      </c>
      <c r="V4" s="73">
        <v>12000</v>
      </c>
      <c r="W4" s="73"/>
      <c r="X4" s="73">
        <v>12000</v>
      </c>
      <c r="Y4" s="73"/>
      <c r="Z4" s="73">
        <v>4800</v>
      </c>
      <c r="AA4" s="73"/>
      <c r="AB4" s="92">
        <f t="shared" ref="AB4:AB16" si="1">ROUND(SUM(V4:AA4),2)</f>
        <v>28800</v>
      </c>
      <c r="AC4" s="92">
        <f>R4+IFERROR(VLOOKUP($E:$E,'（居民）工资表-11月'!$E:$AC,25,0),0)</f>
        <v>0</v>
      </c>
      <c r="AD4" s="97">
        <f t="shared" ref="AD4:AD16" si="2">ROUND(S4-T4-U4-AB4-AC4,2)</f>
        <v>804.12</v>
      </c>
      <c r="AE4" s="98">
        <f>ROUND(MAX((AD4)*{0.03;0.1;0.2;0.25;0.3;0.35;0.45}-{0;2520;16920;31920;52920;85920;181920},0),2)</f>
        <v>24.12</v>
      </c>
      <c r="AF4" s="99">
        <f>IFERROR(VLOOKUP(E:E,'（居民）工资表-11月'!E:AF,28,0)+VLOOKUP(E:E,'（居民）工资表-11月'!E:AG,29,0),0)</f>
        <v>0</v>
      </c>
      <c r="AG4" s="99">
        <f t="shared" ref="AG4:AG16" si="3">IF((AE4-AF4)&lt;0,0,AE4-AF4)</f>
        <v>24.12</v>
      </c>
      <c r="AH4" s="109">
        <f t="shared" ref="AH4:AH16" si="4">ROUND(IF((L4-Q4-AG4)&lt;0,0,(L4-Q4-AG4)),2)</f>
        <v>9990.44</v>
      </c>
      <c r="AI4" s="110"/>
      <c r="AJ4" s="109">
        <f t="shared" ref="AJ4:AJ16" si="5">AH4+AI4</f>
        <v>9990.44</v>
      </c>
      <c r="AK4" s="111"/>
      <c r="AL4" s="109">
        <f t="shared" ref="AL4:AL16" si="6">AJ4+AG4+AK4</f>
        <v>10014.56</v>
      </c>
      <c r="AM4" s="111"/>
      <c r="AN4" s="111"/>
      <c r="AO4" s="111"/>
      <c r="AP4" s="111"/>
      <c r="AQ4" s="111"/>
      <c r="AR4" s="118" t="str">
        <f t="shared" ref="AR4:AR16"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IF(SUMPRODUCT(N(E$1:E$16=E4))&gt;1,"重复","不")</f>
        <v>不</v>
      </c>
      <c r="AT4" s="118" t="str">
        <f>IF(SUMPRODUCT(N(AO$1:AO$16=AO4))&gt;1,"重复","不")</f>
        <v>重复</v>
      </c>
      <c r="AU4" s="12" t="s">
        <v>40</v>
      </c>
      <c r="AV4" s="12" t="s">
        <v>42</v>
      </c>
    </row>
    <row r="5" s="12" customFormat="1" ht="18" customHeight="1" spans="1:48">
      <c r="A5" s="36">
        <v>2</v>
      </c>
      <c r="B5" s="37" t="s">
        <v>194</v>
      </c>
      <c r="C5" s="37" t="s">
        <v>61</v>
      </c>
      <c r="D5" s="37" t="s">
        <v>195</v>
      </c>
      <c r="E5" s="37" t="s">
        <v>62</v>
      </c>
      <c r="F5" s="38" t="s">
        <v>196</v>
      </c>
      <c r="G5" s="41">
        <v>13944441728</v>
      </c>
      <c r="H5" s="40"/>
      <c r="I5" s="40"/>
      <c r="J5" s="70"/>
      <c r="K5" s="40"/>
      <c r="L5" s="73">
        <v>7000</v>
      </c>
      <c r="M5" s="72">
        <v>296.26</v>
      </c>
      <c r="N5" s="72">
        <v>72.06</v>
      </c>
      <c r="O5" s="72">
        <v>11.11</v>
      </c>
      <c r="P5" s="72">
        <v>82</v>
      </c>
      <c r="Q5" s="91">
        <f t="shared" si="0"/>
        <v>461.43</v>
      </c>
      <c r="R5" s="73">
        <v>0</v>
      </c>
      <c r="S5" s="92">
        <f>L5+IFERROR(VLOOKUP($E:$E,'（居民）工资表-11月'!$E:$S,15,0),0)</f>
        <v>88000</v>
      </c>
      <c r="T5" s="93">
        <f>5000+IFERROR(VLOOKUP($E:$E,'（居民）工资表-11月'!$E:$T,16,0),0)</f>
        <v>60000</v>
      </c>
      <c r="U5" s="93">
        <f>Q5+IFERROR(VLOOKUP($E:$E,'（居民）工资表-11月'!$E:$U,17,0),0)</f>
        <v>6321.81</v>
      </c>
      <c r="V5" s="73"/>
      <c r="W5" s="73"/>
      <c r="X5" s="73"/>
      <c r="Y5" s="73"/>
      <c r="Z5" s="73"/>
      <c r="AA5" s="73"/>
      <c r="AB5" s="92">
        <f t="shared" si="1"/>
        <v>0</v>
      </c>
      <c r="AC5" s="92">
        <f>R5+IFERROR(VLOOKUP($E:$E,'（居民）工资表-11月'!$E:$AC,25,0),0)</f>
        <v>0</v>
      </c>
      <c r="AD5" s="97">
        <f t="shared" si="2"/>
        <v>21678.19</v>
      </c>
      <c r="AE5" s="98">
        <f>ROUND(MAX((AD5)*{0.03;0.1;0.2;0.25;0.3;0.35;0.45}-{0;2520;16920;31920;52920;85920;181920},0),2)</f>
        <v>650.35</v>
      </c>
      <c r="AF5" s="99">
        <f>IFERROR(VLOOKUP(E:E,'（居民）工资表-11月'!E:AF,28,0)+VLOOKUP(E:E,'（居民）工资表-11月'!E:AG,29,0),0)</f>
        <v>604.19</v>
      </c>
      <c r="AG5" s="99">
        <f t="shared" si="3"/>
        <v>46.16</v>
      </c>
      <c r="AH5" s="109">
        <f t="shared" si="4"/>
        <v>6492.41</v>
      </c>
      <c r="AI5" s="110"/>
      <c r="AJ5" s="109">
        <f t="shared" si="5"/>
        <v>6492.41</v>
      </c>
      <c r="AK5" s="111"/>
      <c r="AL5" s="109">
        <f t="shared" si="6"/>
        <v>6538.57</v>
      </c>
      <c r="AM5" s="111"/>
      <c r="AN5" s="111"/>
      <c r="AO5" s="111"/>
      <c r="AP5" s="111"/>
      <c r="AQ5" s="111"/>
      <c r="AR5" s="118" t="str">
        <f t="shared" si="7"/>
        <v>正确</v>
      </c>
      <c r="AS5" s="118" t="str">
        <f>IF(SUMPRODUCT(N(E$1:E$16=E5))&gt;1,"重复","不")</f>
        <v>不</v>
      </c>
      <c r="AT5" s="118" t="str">
        <f>IF(SUMPRODUCT(N(AO$1:AO$16=AO5))&gt;1,"重复","不")</f>
        <v>重复</v>
      </c>
      <c r="AU5" s="12" t="s">
        <v>197</v>
      </c>
      <c r="AV5" s="12" t="s">
        <v>51</v>
      </c>
    </row>
    <row r="6" s="12" customFormat="1" ht="18" customHeight="1" spans="1:48">
      <c r="A6" s="36">
        <v>3</v>
      </c>
      <c r="B6" s="37" t="s">
        <v>194</v>
      </c>
      <c r="C6" s="37" t="s">
        <v>101</v>
      </c>
      <c r="D6" s="37" t="s">
        <v>195</v>
      </c>
      <c r="E6" s="381" t="s">
        <v>102</v>
      </c>
      <c r="F6" s="38" t="s">
        <v>198</v>
      </c>
      <c r="G6" s="41">
        <v>15360550807</v>
      </c>
      <c r="H6" s="40"/>
      <c r="I6" s="40"/>
      <c r="J6" s="70"/>
      <c r="K6" s="40"/>
      <c r="L6" s="73">
        <v>5700</v>
      </c>
      <c r="M6" s="72">
        <v>367.04</v>
      </c>
      <c r="N6" s="72">
        <v>144.28</v>
      </c>
      <c r="O6" s="72">
        <v>4.6</v>
      </c>
      <c r="P6" s="72">
        <v>115</v>
      </c>
      <c r="Q6" s="91">
        <f t="shared" si="0"/>
        <v>630.92</v>
      </c>
      <c r="R6" s="73">
        <v>0</v>
      </c>
      <c r="S6" s="92">
        <f>L6+IFERROR(VLOOKUP($E:$E,'（居民）工资表-11月'!$E:$S,15,0),0)</f>
        <v>68400</v>
      </c>
      <c r="T6" s="93">
        <f>5000+IFERROR(VLOOKUP($E:$E,'（居民）工资表-11月'!$E:$T,16,0),0)</f>
        <v>60000</v>
      </c>
      <c r="U6" s="93">
        <f>Q6+IFERROR(VLOOKUP($E:$E,'（居民）工资表-11月'!$E:$U,17,0),0)</f>
        <v>7386.24</v>
      </c>
      <c r="V6" s="73"/>
      <c r="W6" s="73"/>
      <c r="X6" s="73"/>
      <c r="Y6" s="73"/>
      <c r="Z6" s="73"/>
      <c r="AA6" s="73"/>
      <c r="AB6" s="92">
        <f t="shared" si="1"/>
        <v>0</v>
      </c>
      <c r="AC6" s="92">
        <f>R6+IFERROR(VLOOKUP($E:$E,'（居民）工资表-11月'!$E:$AC,25,0),0)</f>
        <v>0</v>
      </c>
      <c r="AD6" s="97">
        <f t="shared" si="2"/>
        <v>1013.76</v>
      </c>
      <c r="AE6" s="98">
        <f>ROUND(MAX((AD6)*{0.03;0.1;0.2;0.25;0.3;0.35;0.45}-{0;2520;16920;31920;52920;85920;181920},0),2)</f>
        <v>30.41</v>
      </c>
      <c r="AF6" s="99">
        <f>IFERROR(VLOOKUP(E:E,'（居民）工资表-11月'!E:AF,28,0)+VLOOKUP(E:E,'（居民）工资表-11月'!E:AG,29,0),0)</f>
        <v>28.34</v>
      </c>
      <c r="AG6" s="99">
        <f t="shared" si="3"/>
        <v>2.07</v>
      </c>
      <c r="AH6" s="109">
        <f t="shared" si="4"/>
        <v>5067.01</v>
      </c>
      <c r="AI6" s="110"/>
      <c r="AJ6" s="109">
        <f t="shared" si="5"/>
        <v>5067.01</v>
      </c>
      <c r="AK6" s="111"/>
      <c r="AL6" s="109">
        <f t="shared" si="6"/>
        <v>5069.08</v>
      </c>
      <c r="AM6" s="111"/>
      <c r="AN6" s="111"/>
      <c r="AO6" s="111"/>
      <c r="AP6" s="111"/>
      <c r="AQ6" s="111"/>
      <c r="AR6" s="118" t="str">
        <f t="shared" si="7"/>
        <v>正确</v>
      </c>
      <c r="AS6" s="118" t="str">
        <f>IF(SUMPRODUCT(N(E$1:E$16=E6))&gt;1,"重复","不")</f>
        <v>不</v>
      </c>
      <c r="AT6" s="118" t="str">
        <f>IF(SUMPRODUCT(N(AO$1:AO$16=AO6))&gt;1,"重复","不")</f>
        <v>重复</v>
      </c>
      <c r="AU6" s="12" t="s">
        <v>50</v>
      </c>
      <c r="AV6" s="12" t="s">
        <v>51</v>
      </c>
    </row>
    <row r="7" s="12" customFormat="1" ht="18" customHeight="1" spans="1:48">
      <c r="A7" s="36">
        <v>4</v>
      </c>
      <c r="B7" s="37" t="s">
        <v>194</v>
      </c>
      <c r="C7" s="37" t="s">
        <v>108</v>
      </c>
      <c r="D7" s="37" t="s">
        <v>195</v>
      </c>
      <c r="E7" s="381" t="s">
        <v>109</v>
      </c>
      <c r="F7" s="38" t="s">
        <v>196</v>
      </c>
      <c r="G7" s="41" t="s">
        <v>199</v>
      </c>
      <c r="H7" s="40"/>
      <c r="I7" s="40"/>
      <c r="J7" s="70"/>
      <c r="K7" s="40"/>
      <c r="L7" s="73">
        <v>30060</v>
      </c>
      <c r="M7" s="72">
        <v>521.6</v>
      </c>
      <c r="N7" s="72">
        <v>130.4</v>
      </c>
      <c r="O7" s="72">
        <v>32.6</v>
      </c>
      <c r="P7" s="72">
        <v>181.3</v>
      </c>
      <c r="Q7" s="91">
        <f t="shared" si="0"/>
        <v>865.9</v>
      </c>
      <c r="R7" s="73">
        <v>0</v>
      </c>
      <c r="S7" s="92">
        <f>L7+IFERROR(VLOOKUP($E:$E,'（居民）工资表-11月'!$E:$S,15,0),0)</f>
        <v>109745.22</v>
      </c>
      <c r="T7" s="93">
        <f>5000+IFERROR(VLOOKUP($E:$E,'（居民）工资表-11月'!$E:$T,16,0),0)</f>
        <v>20000</v>
      </c>
      <c r="U7" s="93">
        <f>Q7+IFERROR(VLOOKUP($E:$E,'（居民）工资表-11月'!$E:$U,17,0),0)</f>
        <v>4329.5</v>
      </c>
      <c r="V7" s="73"/>
      <c r="W7" s="73"/>
      <c r="X7" s="73"/>
      <c r="Y7" s="73"/>
      <c r="Z7" s="73"/>
      <c r="AA7" s="73"/>
      <c r="AB7" s="92">
        <f t="shared" si="1"/>
        <v>0</v>
      </c>
      <c r="AC7" s="92">
        <f>R7+IFERROR(VLOOKUP($E:$E,'（居民）工资表-11月'!$E:$AC,25,0),0)</f>
        <v>0</v>
      </c>
      <c r="AD7" s="97">
        <f t="shared" si="2"/>
        <v>85415.72</v>
      </c>
      <c r="AE7" s="98">
        <f>ROUND(MAX((AD7)*{0.03;0.1;0.2;0.25;0.3;0.35;0.45}-{0;2520;16920;31920;52920;85920;181920},0),2)</f>
        <v>6021.57</v>
      </c>
      <c r="AF7" s="99">
        <f>IFERROR(VLOOKUP(E:E,'（居民）工资表-11月'!E:AF,28,0)+VLOOKUP(E:E,'（居民）工资表-11月'!E:AG,29,0),0)</f>
        <v>3602.16</v>
      </c>
      <c r="AG7" s="99">
        <f t="shared" si="3"/>
        <v>2419.41</v>
      </c>
      <c r="AH7" s="109">
        <f t="shared" si="4"/>
        <v>26774.69</v>
      </c>
      <c r="AI7" s="110"/>
      <c r="AJ7" s="109">
        <f t="shared" si="5"/>
        <v>26774.69</v>
      </c>
      <c r="AK7" s="111"/>
      <c r="AL7" s="109">
        <f t="shared" si="6"/>
        <v>29194.1</v>
      </c>
      <c r="AM7" s="111"/>
      <c r="AN7" s="111"/>
      <c r="AO7" s="111"/>
      <c r="AP7" s="111"/>
      <c r="AQ7" s="111"/>
      <c r="AR7" s="118" t="str">
        <f t="shared" si="7"/>
        <v>正确</v>
      </c>
      <c r="AS7" s="118" t="str">
        <f>IF(SUMPRODUCT(N(E$1:E$16=E7))&gt;1,"重复","不")</f>
        <v>不</v>
      </c>
      <c r="AT7" s="118" t="str">
        <f>IF(SUMPRODUCT(N(AO$1:AO$16=AO7))&gt;1,"重复","不")</f>
        <v>重复</v>
      </c>
      <c r="AU7" s="12" t="s">
        <v>107</v>
      </c>
      <c r="AV7" s="12" t="s">
        <v>200</v>
      </c>
    </row>
    <row r="8" s="12" customFormat="1" ht="18" customHeight="1" spans="1:48">
      <c r="A8" s="36">
        <v>5</v>
      </c>
      <c r="B8" s="37" t="s">
        <v>194</v>
      </c>
      <c r="C8" s="37" t="s">
        <v>112</v>
      </c>
      <c r="D8" s="37" t="s">
        <v>195</v>
      </c>
      <c r="E8" s="381" t="s">
        <v>113</v>
      </c>
      <c r="F8" s="38" t="s">
        <v>196</v>
      </c>
      <c r="G8" s="41" t="s">
        <v>201</v>
      </c>
      <c r="H8" s="40"/>
      <c r="I8" s="40"/>
      <c r="J8" s="70"/>
      <c r="K8" s="40"/>
      <c r="L8" s="73">
        <v>6000</v>
      </c>
      <c r="M8" s="72">
        <v>274.4</v>
      </c>
      <c r="N8" s="72">
        <v>76.6</v>
      </c>
      <c r="O8" s="72">
        <v>17.15</v>
      </c>
      <c r="P8" s="72">
        <v>75</v>
      </c>
      <c r="Q8" s="91">
        <f t="shared" si="0"/>
        <v>443.15</v>
      </c>
      <c r="R8" s="73">
        <v>0</v>
      </c>
      <c r="S8" s="92">
        <f>L8+IFERROR(VLOOKUP($E:$E,'（居民）工资表-11月'!$E:$S,15,0),0)</f>
        <v>20079.93</v>
      </c>
      <c r="T8" s="93">
        <f>5000+IFERROR(VLOOKUP($E:$E,'（居民）工资表-11月'!$E:$T,16,0),0)</f>
        <v>25000</v>
      </c>
      <c r="U8" s="93">
        <f>Q8+IFERROR(VLOOKUP($E:$E,'（居民）工资表-11月'!$E:$U,17,0),0)</f>
        <v>2001.17</v>
      </c>
      <c r="V8" s="73"/>
      <c r="W8" s="73"/>
      <c r="X8" s="73"/>
      <c r="Y8" s="73"/>
      <c r="Z8" s="73"/>
      <c r="AA8" s="73"/>
      <c r="AB8" s="92">
        <f t="shared" si="1"/>
        <v>0</v>
      </c>
      <c r="AC8" s="92">
        <f>R8+IFERROR(VLOOKUP($E:$E,'（居民）工资表-11月'!$E:$AC,25,0),0)</f>
        <v>0</v>
      </c>
      <c r="AD8" s="97">
        <f t="shared" si="2"/>
        <v>-6921.24</v>
      </c>
      <c r="AE8" s="98">
        <f>ROUND(MAX((AD8)*{0.03;0.1;0.2;0.25;0.3;0.35;0.45}-{0;2520;16920;31920;52920;85920;181920},0),2)</f>
        <v>0</v>
      </c>
      <c r="AF8" s="99">
        <f>IFERROR(VLOOKUP(E:E,'（居民）工资表-11月'!E:AF,28,0)+VLOOKUP(E:E,'（居民）工资表-11月'!E:AG,29,0),0)</f>
        <v>0</v>
      </c>
      <c r="AG8" s="99">
        <f t="shared" si="3"/>
        <v>0</v>
      </c>
      <c r="AH8" s="109">
        <f t="shared" si="4"/>
        <v>5556.85</v>
      </c>
      <c r="AI8" s="110"/>
      <c r="AJ8" s="109">
        <f t="shared" si="5"/>
        <v>5556.85</v>
      </c>
      <c r="AK8" s="111"/>
      <c r="AL8" s="109">
        <f t="shared" si="6"/>
        <v>5556.85</v>
      </c>
      <c r="AM8" s="111"/>
      <c r="AN8" s="111"/>
      <c r="AO8" s="111"/>
      <c r="AP8" s="111"/>
      <c r="AQ8" s="111"/>
      <c r="AR8" s="118" t="str">
        <f t="shared" si="7"/>
        <v>正确</v>
      </c>
      <c r="AS8" s="118" t="str">
        <f>IF(SUMPRODUCT(N(E$1:E$16=E8))&gt;1,"重复","不")</f>
        <v>不</v>
      </c>
      <c r="AT8" s="118" t="str">
        <f>IF(SUMPRODUCT(N(AO$1:AO$16=AO8))&gt;1,"重复","不")</f>
        <v>重复</v>
      </c>
      <c r="AU8" s="12" t="s">
        <v>144</v>
      </c>
      <c r="AV8" s="12" t="s">
        <v>51</v>
      </c>
    </row>
    <row r="9" s="12" customFormat="1" ht="18" customHeight="1" spans="1:48">
      <c r="A9" s="36">
        <v>6</v>
      </c>
      <c r="B9" s="37" t="s">
        <v>194</v>
      </c>
      <c r="C9" s="37" t="s">
        <v>119</v>
      </c>
      <c r="D9" s="37" t="s">
        <v>195</v>
      </c>
      <c r="E9" s="381" t="s">
        <v>120</v>
      </c>
      <c r="F9" s="38" t="s">
        <v>196</v>
      </c>
      <c r="G9" s="41">
        <v>19356875630</v>
      </c>
      <c r="H9" s="40"/>
      <c r="I9" s="40"/>
      <c r="J9" s="70"/>
      <c r="K9" s="40"/>
      <c r="L9" s="73">
        <v>6500</v>
      </c>
      <c r="M9" s="72">
        <v>274.4</v>
      </c>
      <c r="N9" s="72">
        <v>74.6</v>
      </c>
      <c r="O9" s="72">
        <v>17.15</v>
      </c>
      <c r="P9" s="72">
        <v>85</v>
      </c>
      <c r="Q9" s="91">
        <f t="shared" si="0"/>
        <v>451.15</v>
      </c>
      <c r="R9" s="73">
        <v>0</v>
      </c>
      <c r="S9" s="92">
        <f>L9+IFERROR(VLOOKUP($E:$E,'（居民）工资表-11月'!$E:$S,15,0),0)</f>
        <v>21873.92</v>
      </c>
      <c r="T9" s="93">
        <f>5000+IFERROR(VLOOKUP($E:$E,'（居民）工资表-11月'!$E:$T,16,0),0)</f>
        <v>20000</v>
      </c>
      <c r="U9" s="93">
        <f>Q9+IFERROR(VLOOKUP($E:$E,'（居民）工资表-11月'!$E:$U,17,0),0)</f>
        <v>3131.9</v>
      </c>
      <c r="V9" s="73"/>
      <c r="W9" s="73"/>
      <c r="X9" s="73"/>
      <c r="Y9" s="73"/>
      <c r="Z9" s="73"/>
      <c r="AA9" s="73"/>
      <c r="AB9" s="92">
        <f t="shared" si="1"/>
        <v>0</v>
      </c>
      <c r="AC9" s="92">
        <f>R9+IFERROR(VLOOKUP($E:$E,'（居民）工资表-11月'!$E:$AC,25,0),0)</f>
        <v>0</v>
      </c>
      <c r="AD9" s="97">
        <f t="shared" si="2"/>
        <v>-1257.98</v>
      </c>
      <c r="AE9" s="98">
        <f>ROUND(MAX((AD9)*{0.03;0.1;0.2;0.25;0.3;0.35;0.45}-{0;2520;16920;31920;52920;85920;181920},0),2)</f>
        <v>0</v>
      </c>
      <c r="AF9" s="99">
        <f>IFERROR(VLOOKUP(E:E,'（居民）工资表-11月'!E:AF,28,0)+VLOOKUP(E:E,'（居民）工资表-11月'!E:AG,29,0),0)</f>
        <v>0</v>
      </c>
      <c r="AG9" s="99">
        <f t="shared" si="3"/>
        <v>0</v>
      </c>
      <c r="AH9" s="109">
        <f t="shared" si="4"/>
        <v>6048.85</v>
      </c>
      <c r="AI9" s="110"/>
      <c r="AJ9" s="109">
        <f t="shared" si="5"/>
        <v>6048.85</v>
      </c>
      <c r="AK9" s="111"/>
      <c r="AL9" s="109">
        <f t="shared" si="6"/>
        <v>6048.85</v>
      </c>
      <c r="AM9" s="111"/>
      <c r="AN9" s="111"/>
      <c r="AO9" s="111"/>
      <c r="AP9" s="111"/>
      <c r="AQ9" s="111"/>
      <c r="AR9" s="118" t="str">
        <f t="shared" si="7"/>
        <v>正确</v>
      </c>
      <c r="AS9" s="118" t="str">
        <f>IF(SUMPRODUCT(N(E$1:E$16=E9))&gt;1,"重复","不")</f>
        <v>不</v>
      </c>
      <c r="AT9" s="118" t="str">
        <f>IF(SUMPRODUCT(N(AO$1:AO$16=AO9))&gt;1,"重复","不")</f>
        <v>重复</v>
      </c>
      <c r="AU9" s="12" t="s">
        <v>144</v>
      </c>
      <c r="AV9" s="12" t="s">
        <v>51</v>
      </c>
    </row>
    <row r="10" s="12" customFormat="1" ht="18" customHeight="1" spans="1:48">
      <c r="A10" s="36">
        <v>7</v>
      </c>
      <c r="B10" s="37" t="s">
        <v>194</v>
      </c>
      <c r="C10" s="37" t="s">
        <v>131</v>
      </c>
      <c r="D10" s="37" t="s">
        <v>195</v>
      </c>
      <c r="E10" s="381" t="s">
        <v>132</v>
      </c>
      <c r="F10" s="38" t="s">
        <v>196</v>
      </c>
      <c r="G10" s="41">
        <v>13973652684</v>
      </c>
      <c r="H10" s="40"/>
      <c r="I10" s="40"/>
      <c r="J10" s="70"/>
      <c r="K10" s="40"/>
      <c r="L10" s="73">
        <v>6500</v>
      </c>
      <c r="M10" s="72">
        <v>288.32</v>
      </c>
      <c r="N10" s="72">
        <v>73.52</v>
      </c>
      <c r="O10" s="72">
        <v>10.81</v>
      </c>
      <c r="P10" s="72">
        <v>100</v>
      </c>
      <c r="Q10" s="91">
        <f t="shared" si="0"/>
        <v>472.65</v>
      </c>
      <c r="R10" s="73">
        <v>0</v>
      </c>
      <c r="S10" s="92">
        <f>L10+IFERROR(VLOOKUP($E:$E,'（居民）工资表-11月'!$E:$S,15,0),0)</f>
        <v>20517.39</v>
      </c>
      <c r="T10" s="93">
        <f>5000+IFERROR(VLOOKUP($E:$E,'（居民）工资表-11月'!$E:$T,16,0),0)</f>
        <v>20000</v>
      </c>
      <c r="U10" s="93">
        <f>Q10+IFERROR(VLOOKUP($E:$E,'（居民）工资表-11月'!$E:$U,17,0),0)</f>
        <v>2363.25</v>
      </c>
      <c r="V10" s="73"/>
      <c r="W10" s="73"/>
      <c r="X10" s="73"/>
      <c r="Y10" s="73"/>
      <c r="Z10" s="73"/>
      <c r="AA10" s="73"/>
      <c r="AB10" s="92">
        <f t="shared" si="1"/>
        <v>0</v>
      </c>
      <c r="AC10" s="92">
        <f>R10+IFERROR(VLOOKUP($E:$E,'（居民）工资表-11月'!$E:$AC,25,0),0)</f>
        <v>0</v>
      </c>
      <c r="AD10" s="97">
        <f t="shared" si="2"/>
        <v>-1845.86</v>
      </c>
      <c r="AE10" s="98">
        <f>ROUND(MAX((AD10)*{0.03;0.1;0.2;0.25;0.3;0.35;0.45}-{0;2520;16920;31920;52920;85920;181920},0),2)</f>
        <v>0</v>
      </c>
      <c r="AF10" s="99">
        <f>IFERROR(VLOOKUP(E:E,'（居民）工资表-11月'!E:AF,28,0)+VLOOKUP(E:E,'（居民）工资表-11月'!E:AG,29,0),0)</f>
        <v>0</v>
      </c>
      <c r="AG10" s="99">
        <f t="shared" si="3"/>
        <v>0</v>
      </c>
      <c r="AH10" s="109">
        <f t="shared" si="4"/>
        <v>6027.35</v>
      </c>
      <c r="AI10" s="110"/>
      <c r="AJ10" s="109">
        <f t="shared" si="5"/>
        <v>6027.35</v>
      </c>
      <c r="AK10" s="111"/>
      <c r="AL10" s="109">
        <f t="shared" si="6"/>
        <v>6027.35</v>
      </c>
      <c r="AM10" s="111"/>
      <c r="AN10" s="111"/>
      <c r="AO10" s="111"/>
      <c r="AP10" s="111"/>
      <c r="AQ10" s="111"/>
      <c r="AR10" s="118" t="str">
        <f t="shared" si="7"/>
        <v>正确</v>
      </c>
      <c r="AS10" s="118" t="str">
        <f>IF(SUMPRODUCT(N(E$1:E$16=E10))&gt;1,"重复","不")</f>
        <v>不</v>
      </c>
      <c r="AT10" s="118" t="str">
        <f>IF(SUMPRODUCT(N(AO$1:AO$16=AO10))&gt;1,"重复","不")</f>
        <v>重复</v>
      </c>
      <c r="AU10" s="12" t="s">
        <v>202</v>
      </c>
      <c r="AV10" s="12" t="s">
        <v>51</v>
      </c>
    </row>
    <row r="11" s="12" customFormat="1" ht="18" customHeight="1" spans="1:48">
      <c r="A11" s="36">
        <v>8</v>
      </c>
      <c r="B11" s="37" t="s">
        <v>194</v>
      </c>
      <c r="C11" s="37" t="s">
        <v>134</v>
      </c>
      <c r="D11" s="37" t="s">
        <v>195</v>
      </c>
      <c r="E11" s="381" t="s">
        <v>135</v>
      </c>
      <c r="F11" s="38" t="s">
        <v>196</v>
      </c>
      <c r="G11" s="41" t="s">
        <v>203</v>
      </c>
      <c r="H11" s="40"/>
      <c r="I11" s="40"/>
      <c r="J11" s="70"/>
      <c r="K11" s="40"/>
      <c r="L11" s="73">
        <v>5500</v>
      </c>
      <c r="M11" s="72">
        <v>316.56</v>
      </c>
      <c r="N11" s="72">
        <v>84.14</v>
      </c>
      <c r="O11" s="72">
        <v>19.79</v>
      </c>
      <c r="P11" s="72">
        <v>105</v>
      </c>
      <c r="Q11" s="91">
        <f t="shared" si="0"/>
        <v>525.49</v>
      </c>
      <c r="R11" s="73">
        <v>0</v>
      </c>
      <c r="S11" s="92">
        <f>L11+IFERROR(VLOOKUP($E:$E,'（居民）工资表-11月'!$E:$S,15,0),0)</f>
        <v>16500</v>
      </c>
      <c r="T11" s="93">
        <f>5000+IFERROR(VLOOKUP($E:$E,'（居民）工资表-11月'!$E:$T,16,0),0)</f>
        <v>15000</v>
      </c>
      <c r="U11" s="93">
        <f>Q11+IFERROR(VLOOKUP($E:$E,'（居民）工资表-11月'!$E:$U,17,0),0)</f>
        <v>1847.37</v>
      </c>
      <c r="V11" s="73"/>
      <c r="W11" s="73"/>
      <c r="X11" s="73"/>
      <c r="Y11" s="73"/>
      <c r="Z11" s="73"/>
      <c r="AA11" s="73"/>
      <c r="AB11" s="92">
        <f t="shared" si="1"/>
        <v>0</v>
      </c>
      <c r="AC11" s="92">
        <f>R11+IFERROR(VLOOKUP($E:$E,'（居民）工资表-11月'!$E:$AC,25,0),0)</f>
        <v>0</v>
      </c>
      <c r="AD11" s="97">
        <f t="shared" si="2"/>
        <v>-347.37</v>
      </c>
      <c r="AE11" s="98">
        <f>ROUND(MAX((AD11)*{0.03;0.1;0.2;0.25;0.3;0.35;0.45}-{0;2520;16920;31920;52920;85920;181920},0),2)</f>
        <v>0</v>
      </c>
      <c r="AF11" s="99">
        <f>IFERROR(VLOOKUP(E:E,'（居民）工资表-11月'!E:AF,28,0)+VLOOKUP(E:E,'（居民）工资表-11月'!E:AG,29,0),0)</f>
        <v>0.05</v>
      </c>
      <c r="AG11" s="99">
        <f t="shared" si="3"/>
        <v>0</v>
      </c>
      <c r="AH11" s="109">
        <f t="shared" si="4"/>
        <v>4974.51</v>
      </c>
      <c r="AI11" s="110"/>
      <c r="AJ11" s="109">
        <f t="shared" si="5"/>
        <v>4974.51</v>
      </c>
      <c r="AK11" s="111"/>
      <c r="AL11" s="109">
        <f t="shared" si="6"/>
        <v>4974.51</v>
      </c>
      <c r="AM11" s="111"/>
      <c r="AN11" s="111"/>
      <c r="AO11" s="111"/>
      <c r="AP11" s="111"/>
      <c r="AQ11" s="111"/>
      <c r="AR11" s="118" t="str">
        <f t="shared" si="7"/>
        <v>正确</v>
      </c>
      <c r="AS11" s="118" t="str">
        <f>IF(SUMPRODUCT(N(E$1:E$16=E11))&gt;1,"重复","不")</f>
        <v>不</v>
      </c>
      <c r="AT11" s="118" t="str">
        <f>IF(SUMPRODUCT(N(AO$1:AO$16=AO11))&gt;1,"重复","不")</f>
        <v>重复</v>
      </c>
      <c r="AU11" s="12" t="s">
        <v>133</v>
      </c>
      <c r="AV11" s="12" t="s">
        <v>204</v>
      </c>
    </row>
    <row r="12" s="12" customFormat="1" ht="18" customHeight="1" spans="1:48">
      <c r="A12" s="36">
        <v>9</v>
      </c>
      <c r="B12" s="37" t="s">
        <v>194</v>
      </c>
      <c r="C12" s="37" t="s">
        <v>138</v>
      </c>
      <c r="D12" s="37" t="s">
        <v>195</v>
      </c>
      <c r="E12" s="381" t="s">
        <v>139</v>
      </c>
      <c r="F12" s="38" t="s">
        <v>198</v>
      </c>
      <c r="G12" s="41" t="s">
        <v>205</v>
      </c>
      <c r="H12" s="40"/>
      <c r="I12" s="40"/>
      <c r="J12" s="70"/>
      <c r="K12" s="40"/>
      <c r="L12" s="73">
        <v>4598.8</v>
      </c>
      <c r="M12" s="72">
        <v>352</v>
      </c>
      <c r="N12" s="72">
        <v>110</v>
      </c>
      <c r="O12" s="72">
        <v>22</v>
      </c>
      <c r="P12" s="72">
        <v>109</v>
      </c>
      <c r="Q12" s="91">
        <f t="shared" si="0"/>
        <v>593</v>
      </c>
      <c r="R12" s="73">
        <v>0</v>
      </c>
      <c r="S12" s="92">
        <f>L12+IFERROR(VLOOKUP($E:$E,'（居民）工资表-11月'!$E:$S,15,0),0)</f>
        <v>7796.4</v>
      </c>
      <c r="T12" s="93">
        <f>5000+IFERROR(VLOOKUP($E:$E,'（居民）工资表-11月'!$E:$T,16,0),0)</f>
        <v>10000</v>
      </c>
      <c r="U12" s="93">
        <f>Q12+IFERROR(VLOOKUP($E:$E,'（居民）工资表-11月'!$E:$U,17,0),0)</f>
        <v>1779</v>
      </c>
      <c r="V12" s="73"/>
      <c r="W12" s="73"/>
      <c r="X12" s="73"/>
      <c r="Y12" s="73"/>
      <c r="Z12" s="73"/>
      <c r="AA12" s="73"/>
      <c r="AB12" s="92">
        <f t="shared" si="1"/>
        <v>0</v>
      </c>
      <c r="AC12" s="92">
        <f>R12+IFERROR(VLOOKUP($E:$E,'（居民）工资表-11月'!$E:$AC,25,0),0)</f>
        <v>0</v>
      </c>
      <c r="AD12" s="97">
        <f t="shared" si="2"/>
        <v>-3982.6</v>
      </c>
      <c r="AE12" s="98">
        <f>ROUND(MAX((AD12)*{0.03;0.1;0.2;0.25;0.3;0.35;0.45}-{0;2520;16920;31920;52920;85920;181920},0),2)</f>
        <v>0</v>
      </c>
      <c r="AF12" s="99">
        <f>IFERROR(VLOOKUP(E:E,'（居民）工资表-11月'!E:AF,28,0)+VLOOKUP(E:E,'（居民）工资表-11月'!E:AG,29,0),0)</f>
        <v>0</v>
      </c>
      <c r="AG12" s="99">
        <f t="shared" si="3"/>
        <v>0</v>
      </c>
      <c r="AH12" s="109">
        <f t="shared" si="4"/>
        <v>4005.8</v>
      </c>
      <c r="AI12" s="110"/>
      <c r="AJ12" s="109">
        <f t="shared" si="5"/>
        <v>4005.8</v>
      </c>
      <c r="AK12" s="111"/>
      <c r="AL12" s="109">
        <f t="shared" si="6"/>
        <v>4005.8</v>
      </c>
      <c r="AM12" s="111"/>
      <c r="AN12" s="111"/>
      <c r="AO12" s="111"/>
      <c r="AP12" s="111"/>
      <c r="AQ12" s="111"/>
      <c r="AR12" s="118" t="str">
        <f t="shared" si="7"/>
        <v>正确</v>
      </c>
      <c r="AS12" s="118" t="str">
        <f>IF(SUMPRODUCT(N(E$1:E$16=E12))&gt;1,"重复","不")</f>
        <v>不</v>
      </c>
      <c r="AT12" s="118" t="str">
        <f>IF(SUMPRODUCT(N(AO$1:AO$16=AO12))&gt;1,"重复","不")</f>
        <v>重复</v>
      </c>
      <c r="AU12" s="12" t="s">
        <v>137</v>
      </c>
      <c r="AV12" s="12" t="s">
        <v>206</v>
      </c>
    </row>
    <row r="13" s="12" customFormat="1" ht="18" customHeight="1" spans="1:48">
      <c r="A13" s="36">
        <v>10</v>
      </c>
      <c r="B13" s="37" t="s">
        <v>194</v>
      </c>
      <c r="C13" s="37" t="s">
        <v>128</v>
      </c>
      <c r="D13" s="37" t="s">
        <v>195</v>
      </c>
      <c r="E13" s="381" t="s">
        <v>129</v>
      </c>
      <c r="F13" s="38" t="s">
        <v>196</v>
      </c>
      <c r="G13" s="41">
        <v>18356553626</v>
      </c>
      <c r="H13" s="40"/>
      <c r="I13" s="40"/>
      <c r="J13" s="70"/>
      <c r="K13" s="40"/>
      <c r="L13" s="73">
        <v>1460.87</v>
      </c>
      <c r="M13" s="72">
        <v>306.56</v>
      </c>
      <c r="N13" s="72">
        <v>104.45</v>
      </c>
      <c r="O13" s="72">
        <v>19.16</v>
      </c>
      <c r="P13" s="72">
        <v>75</v>
      </c>
      <c r="Q13" s="91">
        <f t="shared" si="0"/>
        <v>505.17</v>
      </c>
      <c r="R13" s="73">
        <v>0</v>
      </c>
      <c r="S13" s="92">
        <f>L13+IFERROR(VLOOKUP($E:$E,'（居民）工资表-11月'!$E:$S,15,0),0)</f>
        <v>1460.87</v>
      </c>
      <c r="T13" s="93">
        <f>5000+IFERROR(VLOOKUP($E:$E,'（居民）工资表-11月'!$E:$T,16,0),0)</f>
        <v>5000</v>
      </c>
      <c r="U13" s="93">
        <f>Q13+IFERROR(VLOOKUP($E:$E,'（居民）工资表-11月'!$E:$U,17,0),0)</f>
        <v>505.17</v>
      </c>
      <c r="V13" s="73"/>
      <c r="W13" s="73"/>
      <c r="X13" s="73"/>
      <c r="Y13" s="73"/>
      <c r="Z13" s="73"/>
      <c r="AA13" s="73"/>
      <c r="AB13" s="92">
        <f t="shared" si="1"/>
        <v>0</v>
      </c>
      <c r="AC13" s="92">
        <f>R13+IFERROR(VLOOKUP($E:$E,'（居民）工资表-11月'!$E:$AC,25,0),0)</f>
        <v>0</v>
      </c>
      <c r="AD13" s="97">
        <f t="shared" si="2"/>
        <v>-4044.3</v>
      </c>
      <c r="AE13" s="98">
        <f>ROUND(MAX((AD13)*{0.03;0.1;0.2;0.25;0.3;0.35;0.45}-{0;2520;16920;31920;52920;85920;181920},0),2)</f>
        <v>0</v>
      </c>
      <c r="AF13" s="99">
        <f>IFERROR(VLOOKUP(E:E,'（居民）工资表-11月'!E:AF,28,0)+VLOOKUP(E:E,'（居民）工资表-11月'!E:AG,29,0),0)</f>
        <v>0</v>
      </c>
      <c r="AG13" s="99">
        <f t="shared" si="3"/>
        <v>0</v>
      </c>
      <c r="AH13" s="109">
        <f t="shared" si="4"/>
        <v>955.7</v>
      </c>
      <c r="AI13" s="110"/>
      <c r="AJ13" s="109">
        <f t="shared" si="5"/>
        <v>955.7</v>
      </c>
      <c r="AK13" s="111"/>
      <c r="AL13" s="109">
        <f t="shared" si="6"/>
        <v>955.7</v>
      </c>
      <c r="AM13" s="111"/>
      <c r="AN13" s="111"/>
      <c r="AO13" s="111"/>
      <c r="AP13" s="111"/>
      <c r="AQ13" s="111"/>
      <c r="AR13" s="118" t="str">
        <f t="shared" si="7"/>
        <v>正确</v>
      </c>
      <c r="AS13" s="118" t="str">
        <f>IF(SUMPRODUCT(N(E$1:E$16=E13))&gt;1,"重复","不")</f>
        <v>不</v>
      </c>
      <c r="AT13" s="118" t="str">
        <f>IF(SUMPRODUCT(N(AO$1:AO$16=AO13))&gt;1,"重复","不")</f>
        <v>重复</v>
      </c>
      <c r="AU13" s="12" t="s">
        <v>144</v>
      </c>
      <c r="AV13" s="12" t="s">
        <v>51</v>
      </c>
    </row>
    <row r="14" s="12" customFormat="1" ht="18" customHeight="1" spans="1:48">
      <c r="A14" s="36">
        <v>11</v>
      </c>
      <c r="B14" s="37" t="s">
        <v>194</v>
      </c>
      <c r="C14" s="37" t="s">
        <v>123</v>
      </c>
      <c r="D14" s="37" t="s">
        <v>195</v>
      </c>
      <c r="E14" s="381" t="s">
        <v>124</v>
      </c>
      <c r="F14" s="38" t="s">
        <v>196</v>
      </c>
      <c r="G14" s="41">
        <v>18326897140</v>
      </c>
      <c r="H14" s="40"/>
      <c r="I14" s="40"/>
      <c r="J14" s="70"/>
      <c r="K14" s="40"/>
      <c r="L14" s="73">
        <v>1147.83</v>
      </c>
      <c r="M14" s="72">
        <v>274.4</v>
      </c>
      <c r="N14" s="72">
        <v>74.6</v>
      </c>
      <c r="O14" s="72">
        <v>17.15</v>
      </c>
      <c r="P14" s="72">
        <v>85</v>
      </c>
      <c r="Q14" s="91">
        <f t="shared" si="0"/>
        <v>451.15</v>
      </c>
      <c r="R14" s="73">
        <v>0</v>
      </c>
      <c r="S14" s="92">
        <f>L14+IFERROR(VLOOKUP($E:$E,'（居民）工资表-11月'!$E:$S,15,0),0)</f>
        <v>1147.83</v>
      </c>
      <c r="T14" s="93">
        <f>5000+IFERROR(VLOOKUP($E:$E,'（居民）工资表-11月'!$E:$T,16,0),0)</f>
        <v>5000</v>
      </c>
      <c r="U14" s="93">
        <f>Q14+IFERROR(VLOOKUP($E:$E,'（居民）工资表-11月'!$E:$U,17,0),0)</f>
        <v>451.15</v>
      </c>
      <c r="V14" s="73"/>
      <c r="W14" s="73"/>
      <c r="X14" s="73"/>
      <c r="Y14" s="73"/>
      <c r="Z14" s="73"/>
      <c r="AA14" s="73"/>
      <c r="AB14" s="92">
        <f t="shared" si="1"/>
        <v>0</v>
      </c>
      <c r="AC14" s="92">
        <f>R14+IFERROR(VLOOKUP($E:$E,'（居民）工资表-11月'!$E:$AC,25,0),0)</f>
        <v>0</v>
      </c>
      <c r="AD14" s="97">
        <f t="shared" si="2"/>
        <v>-4303.32</v>
      </c>
      <c r="AE14" s="98">
        <f>ROUND(MAX((AD14)*{0.03;0.1;0.2;0.25;0.3;0.35;0.45}-{0;2520;16920;31920;52920;85920;181920},0),2)</f>
        <v>0</v>
      </c>
      <c r="AF14" s="99">
        <f>IFERROR(VLOOKUP(E:E,'（居民）工资表-11月'!E:AF,28,0)+VLOOKUP(E:E,'（居民）工资表-11月'!E:AG,29,0),0)</f>
        <v>0</v>
      </c>
      <c r="AG14" s="99">
        <f t="shared" si="3"/>
        <v>0</v>
      </c>
      <c r="AH14" s="109">
        <f t="shared" si="4"/>
        <v>696.68</v>
      </c>
      <c r="AI14" s="110"/>
      <c r="AJ14" s="109">
        <f t="shared" si="5"/>
        <v>696.68</v>
      </c>
      <c r="AK14" s="111"/>
      <c r="AL14" s="109">
        <f t="shared" si="6"/>
        <v>696.68</v>
      </c>
      <c r="AM14" s="111"/>
      <c r="AN14" s="111"/>
      <c r="AO14" s="111"/>
      <c r="AP14" s="111"/>
      <c r="AQ14" s="111"/>
      <c r="AR14" s="118" t="str">
        <f t="shared" si="7"/>
        <v>正确</v>
      </c>
      <c r="AS14" s="118" t="str">
        <f>IF(SUMPRODUCT(N(E$1:E$16=E14))&gt;1,"重复","不")</f>
        <v>不</v>
      </c>
      <c r="AT14" s="118" t="str">
        <f>IF(SUMPRODUCT(N(AO$1:AO$16=AO14))&gt;1,"重复","不")</f>
        <v>重复</v>
      </c>
      <c r="AU14" s="12" t="s">
        <v>144</v>
      </c>
      <c r="AV14" s="12" t="s">
        <v>51</v>
      </c>
    </row>
    <row r="15" s="12" customFormat="1" ht="18" customHeight="1" spans="1:48">
      <c r="A15" s="36">
        <v>12</v>
      </c>
      <c r="B15" s="37" t="s">
        <v>194</v>
      </c>
      <c r="C15" s="37" t="s">
        <v>121</v>
      </c>
      <c r="D15" s="37" t="s">
        <v>195</v>
      </c>
      <c r="E15" s="381" t="s">
        <v>122</v>
      </c>
      <c r="F15" s="38" t="s">
        <v>196</v>
      </c>
      <c r="G15" s="41">
        <v>17201857014</v>
      </c>
      <c r="H15" s="40"/>
      <c r="I15" s="40"/>
      <c r="J15" s="70"/>
      <c r="K15" s="40"/>
      <c r="L15" s="73">
        <v>1530.43</v>
      </c>
      <c r="M15" s="72">
        <v>274.4</v>
      </c>
      <c r="N15" s="72">
        <v>74.6</v>
      </c>
      <c r="O15" s="72">
        <v>17.15</v>
      </c>
      <c r="P15" s="72">
        <v>85</v>
      </c>
      <c r="Q15" s="91">
        <f t="shared" si="0"/>
        <v>451.15</v>
      </c>
      <c r="R15" s="73">
        <v>0</v>
      </c>
      <c r="S15" s="92">
        <f>L15+IFERROR(VLOOKUP($E:$E,'（居民）工资表-11月'!$E:$S,15,0),0)</f>
        <v>1530.43</v>
      </c>
      <c r="T15" s="93">
        <f>5000+IFERROR(VLOOKUP($E:$E,'（居民）工资表-11月'!$E:$T,16,0),0)</f>
        <v>5000</v>
      </c>
      <c r="U15" s="93">
        <f>Q15+IFERROR(VLOOKUP($E:$E,'（居民）工资表-11月'!$E:$U,17,0),0)</f>
        <v>451.15</v>
      </c>
      <c r="V15" s="73"/>
      <c r="W15" s="73"/>
      <c r="X15" s="73"/>
      <c r="Y15" s="73"/>
      <c r="Z15" s="73"/>
      <c r="AA15" s="73"/>
      <c r="AB15" s="92">
        <f t="shared" si="1"/>
        <v>0</v>
      </c>
      <c r="AC15" s="92">
        <f>R15+IFERROR(VLOOKUP($E:$E,'（居民）工资表-11月'!$E:$AC,25,0),0)</f>
        <v>0</v>
      </c>
      <c r="AD15" s="97">
        <f t="shared" si="2"/>
        <v>-3920.72</v>
      </c>
      <c r="AE15" s="98">
        <f>ROUND(MAX((AD15)*{0.03;0.1;0.2;0.25;0.3;0.35;0.45}-{0;2520;16920;31920;52920;85920;181920},0),2)</f>
        <v>0</v>
      </c>
      <c r="AF15" s="99">
        <f>IFERROR(VLOOKUP(E:E,'（居民）工资表-11月'!E:AF,28,0)+VLOOKUP(E:E,'（居民）工资表-11月'!E:AG,29,0),0)</f>
        <v>0</v>
      </c>
      <c r="AG15" s="99">
        <f t="shared" si="3"/>
        <v>0</v>
      </c>
      <c r="AH15" s="109">
        <f t="shared" si="4"/>
        <v>1079.28</v>
      </c>
      <c r="AI15" s="110"/>
      <c r="AJ15" s="109">
        <f t="shared" si="5"/>
        <v>1079.28</v>
      </c>
      <c r="AK15" s="111"/>
      <c r="AL15" s="109">
        <f t="shared" si="6"/>
        <v>1079.28</v>
      </c>
      <c r="AM15" s="111"/>
      <c r="AN15" s="111"/>
      <c r="AO15" s="111"/>
      <c r="AP15" s="111"/>
      <c r="AQ15" s="111"/>
      <c r="AR15" s="118" t="str">
        <f t="shared" si="7"/>
        <v>正确</v>
      </c>
      <c r="AS15" s="118" t="str">
        <f>IF(SUMPRODUCT(N(E$1:E$16=E15))&gt;1,"重复","不")</f>
        <v>不</v>
      </c>
      <c r="AT15" s="118" t="str">
        <f>IF(SUMPRODUCT(N(AO$1:AO$16=AO15))&gt;1,"重复","不")</f>
        <v>重复</v>
      </c>
      <c r="AU15" s="12" t="s">
        <v>144</v>
      </c>
      <c r="AV15" s="12" t="s">
        <v>51</v>
      </c>
    </row>
    <row r="16" s="12" customFormat="1" ht="18" customHeight="1" spans="1:48">
      <c r="A16" s="36">
        <v>13</v>
      </c>
      <c r="B16" s="37" t="s">
        <v>194</v>
      </c>
      <c r="C16" s="37" t="s">
        <v>126</v>
      </c>
      <c r="D16" s="37" t="s">
        <v>195</v>
      </c>
      <c r="E16" s="381" t="s">
        <v>127</v>
      </c>
      <c r="F16" s="38" t="s">
        <v>198</v>
      </c>
      <c r="G16" s="41" t="s">
        <v>207</v>
      </c>
      <c r="H16" s="40"/>
      <c r="I16" s="40"/>
      <c r="J16" s="70"/>
      <c r="K16" s="40"/>
      <c r="L16" s="73">
        <v>2191.3</v>
      </c>
      <c r="M16" s="72">
        <v>613.12</v>
      </c>
      <c r="N16" s="72">
        <v>208.9</v>
      </c>
      <c r="O16" s="72">
        <v>38.32</v>
      </c>
      <c r="P16" s="72">
        <v>150</v>
      </c>
      <c r="Q16" s="91">
        <f t="shared" si="0"/>
        <v>1010.34</v>
      </c>
      <c r="R16" s="73">
        <v>0</v>
      </c>
      <c r="S16" s="92">
        <f>L16+IFERROR(VLOOKUP($E:$E,'（居民）工资表-11月'!$E:$S,15,0),0)</f>
        <v>2191.3</v>
      </c>
      <c r="T16" s="93">
        <f>5000+IFERROR(VLOOKUP($E:$E,'（居民）工资表-11月'!$E:$T,16,0),0)</f>
        <v>5000</v>
      </c>
      <c r="U16" s="93">
        <f>Q16+IFERROR(VLOOKUP($E:$E,'（居民）工资表-11月'!$E:$U,17,0),0)</f>
        <v>1010.34</v>
      </c>
      <c r="V16" s="73"/>
      <c r="W16" s="73"/>
      <c r="X16" s="73"/>
      <c r="Y16" s="73"/>
      <c r="Z16" s="73"/>
      <c r="AA16" s="73"/>
      <c r="AB16" s="92">
        <f t="shared" si="1"/>
        <v>0</v>
      </c>
      <c r="AC16" s="92">
        <f>R16+IFERROR(VLOOKUP($E:$E,'（居民）工资表-11月'!$E:$AC,25,0),0)</f>
        <v>0</v>
      </c>
      <c r="AD16" s="97">
        <f t="shared" si="2"/>
        <v>-3819.04</v>
      </c>
      <c r="AE16" s="98">
        <f>ROUND(MAX((AD16)*{0.03;0.1;0.2;0.25;0.3;0.35;0.45}-{0;2520;16920;31920;52920;85920;181920},0),2)</f>
        <v>0</v>
      </c>
      <c r="AF16" s="99">
        <f>IFERROR(VLOOKUP(E:E,'（居民）工资表-11月'!E:AF,28,0)+VLOOKUP(E:E,'（居民）工资表-11月'!E:AG,29,0),0)</f>
        <v>0</v>
      </c>
      <c r="AG16" s="99">
        <f t="shared" si="3"/>
        <v>0</v>
      </c>
      <c r="AH16" s="109">
        <f t="shared" si="4"/>
        <v>1180.96</v>
      </c>
      <c r="AI16" s="110"/>
      <c r="AJ16" s="109">
        <f t="shared" si="5"/>
        <v>1180.96</v>
      </c>
      <c r="AK16" s="111"/>
      <c r="AL16" s="109">
        <f t="shared" si="6"/>
        <v>1180.96</v>
      </c>
      <c r="AM16" s="111"/>
      <c r="AN16" s="111"/>
      <c r="AO16" s="111"/>
      <c r="AP16" s="111"/>
      <c r="AQ16" s="111"/>
      <c r="AR16" s="118" t="str">
        <f t="shared" si="7"/>
        <v>正确</v>
      </c>
      <c r="AS16" s="118" t="str">
        <f>IF(SUMPRODUCT(N(E$1:E$16=E16))&gt;1,"重复","不")</f>
        <v>不</v>
      </c>
      <c r="AT16" s="118" t="str">
        <f>IF(SUMPRODUCT(N(AO$1:AO$16=AO16))&gt;1,"重复","不")</f>
        <v>重复</v>
      </c>
      <c r="AU16" s="12" t="s">
        <v>144</v>
      </c>
      <c r="AV16" s="12" t="s">
        <v>51</v>
      </c>
    </row>
    <row r="17" s="13" customFormat="1" ht="18" customHeight="1" spans="1:46">
      <c r="A17" s="42"/>
      <c r="B17" s="43" t="s">
        <v>208</v>
      </c>
      <c r="C17" s="43"/>
      <c r="D17" s="44"/>
      <c r="E17" s="45"/>
      <c r="F17" s="46"/>
      <c r="G17" s="47"/>
      <c r="H17" s="46"/>
      <c r="I17" s="74"/>
      <c r="J17" s="75"/>
      <c r="K17" s="74"/>
      <c r="L17" s="76">
        <f t="shared" ref="L17:AL17" si="8">SUM(L4:L16)</f>
        <v>88749.23</v>
      </c>
      <c r="M17" s="76">
        <f t="shared" si="8"/>
        <v>4442.9</v>
      </c>
      <c r="N17" s="76">
        <f t="shared" si="8"/>
        <v>1299.11</v>
      </c>
      <c r="O17" s="76">
        <f t="shared" si="8"/>
        <v>237.63</v>
      </c>
      <c r="P17" s="76">
        <f t="shared" si="8"/>
        <v>1427.3</v>
      </c>
      <c r="Q17" s="76">
        <f t="shared" si="8"/>
        <v>7406.94</v>
      </c>
      <c r="R17" s="76">
        <f t="shared" si="8"/>
        <v>0</v>
      </c>
      <c r="S17" s="76">
        <f t="shared" si="8"/>
        <v>422273.29</v>
      </c>
      <c r="T17" s="76">
        <f t="shared" si="8"/>
        <v>280000</v>
      </c>
      <c r="U17" s="76">
        <f t="shared" si="8"/>
        <v>35003.93</v>
      </c>
      <c r="V17" s="76">
        <f t="shared" si="8"/>
        <v>12000</v>
      </c>
      <c r="W17" s="76">
        <f t="shared" si="8"/>
        <v>0</v>
      </c>
      <c r="X17" s="76">
        <f t="shared" si="8"/>
        <v>12000</v>
      </c>
      <c r="Y17" s="76">
        <f t="shared" si="8"/>
        <v>0</v>
      </c>
      <c r="Z17" s="76">
        <f t="shared" si="8"/>
        <v>4800</v>
      </c>
      <c r="AA17" s="76">
        <f t="shared" si="8"/>
        <v>0</v>
      </c>
      <c r="AB17" s="76">
        <f t="shared" si="8"/>
        <v>28800</v>
      </c>
      <c r="AC17" s="76">
        <f t="shared" si="8"/>
        <v>0</v>
      </c>
      <c r="AD17" s="76">
        <f t="shared" si="8"/>
        <v>78469.36</v>
      </c>
      <c r="AE17" s="76">
        <f t="shared" si="8"/>
        <v>6726.45</v>
      </c>
      <c r="AF17" s="76">
        <f t="shared" si="8"/>
        <v>4234.74</v>
      </c>
      <c r="AG17" s="76">
        <f t="shared" si="8"/>
        <v>2491.76</v>
      </c>
      <c r="AH17" s="76">
        <f t="shared" si="8"/>
        <v>78850.53</v>
      </c>
      <c r="AI17" s="126">
        <f t="shared" si="8"/>
        <v>0</v>
      </c>
      <c r="AJ17" s="76">
        <f t="shared" si="8"/>
        <v>78850.53</v>
      </c>
      <c r="AK17" s="76">
        <f t="shared" si="8"/>
        <v>0</v>
      </c>
      <c r="AL17" s="76">
        <f t="shared" si="8"/>
        <v>81342.29</v>
      </c>
      <c r="AM17" s="112"/>
      <c r="AN17" s="112"/>
      <c r="AO17" s="112"/>
      <c r="AP17" s="112"/>
      <c r="AQ17" s="112"/>
      <c r="AR17" s="46"/>
      <c r="AS17" s="46"/>
      <c r="AT17" s="120"/>
    </row>
    <row r="20" spans="30:30">
      <c r="AD20" s="103"/>
    </row>
    <row r="21" ht="18.75" customHeight="1" spans="2:30">
      <c r="B21" s="48" t="s">
        <v>175</v>
      </c>
      <c r="C21" s="48" t="s">
        <v>209</v>
      </c>
      <c r="D21" s="48" t="s">
        <v>22</v>
      </c>
      <c r="E21" s="48" t="s">
        <v>23</v>
      </c>
      <c r="AD21" s="10"/>
    </row>
    <row r="22" ht="18.75" customHeight="1" spans="2:5">
      <c r="B22" s="49">
        <f>AJ17</f>
        <v>78850.53</v>
      </c>
      <c r="C22" s="49">
        <f>AG17</f>
        <v>2491.76</v>
      </c>
      <c r="D22" s="49">
        <f>AK17</f>
        <v>0</v>
      </c>
      <c r="E22" s="49">
        <f>B22+C22+D22</f>
        <v>81342.29</v>
      </c>
    </row>
    <row r="23" spans="2:5">
      <c r="B23" s="50"/>
      <c r="C23" s="50"/>
      <c r="D23" s="50"/>
      <c r="E23" s="50"/>
    </row>
    <row r="24" s="14" customFormat="1" spans="1:35">
      <c r="A24" s="52" t="s">
        <v>210</v>
      </c>
      <c r="B24" s="53" t="s">
        <v>211</v>
      </c>
      <c r="C24" s="51"/>
      <c r="D24" s="51"/>
      <c r="E24" s="51"/>
      <c r="G24" s="54"/>
      <c r="J24" s="77"/>
      <c r="M24" s="78"/>
      <c r="AI24" s="114"/>
    </row>
    <row r="25" s="14" customFormat="1" spans="1:35">
      <c r="A25" s="55"/>
      <c r="B25" s="56" t="s">
        <v>212</v>
      </c>
      <c r="C25" s="51"/>
      <c r="D25" s="51"/>
      <c r="E25" s="51"/>
      <c r="G25" s="54"/>
      <c r="J25" s="77"/>
      <c r="M25" s="78"/>
      <c r="AI25" s="114"/>
    </row>
    <row r="26" s="14" customFormat="1" spans="1:35">
      <c r="A26" s="53"/>
      <c r="B26" s="56" t="s">
        <v>213</v>
      </c>
      <c r="C26" s="57"/>
      <c r="D26" s="57"/>
      <c r="E26" s="57"/>
      <c r="F26" s="57"/>
      <c r="G26" s="57"/>
      <c r="H26" s="57"/>
      <c r="I26" s="57"/>
      <c r="J26" s="79"/>
      <c r="K26" s="57"/>
      <c r="L26" s="57"/>
      <c r="M26" s="80"/>
      <c r="N26" s="57"/>
      <c r="O26" s="57"/>
      <c r="P26" s="57"/>
      <c r="AI26" s="114"/>
    </row>
    <row r="27" s="14" customFormat="1" customHeight="1" spans="1:35">
      <c r="A27" s="56"/>
      <c r="B27" s="56" t="s">
        <v>214</v>
      </c>
      <c r="C27" s="58"/>
      <c r="D27" s="58"/>
      <c r="E27" s="58"/>
      <c r="F27" s="58"/>
      <c r="G27" s="58"/>
      <c r="H27" s="58"/>
      <c r="I27" s="81"/>
      <c r="J27" s="82"/>
      <c r="K27" s="81"/>
      <c r="L27" s="81"/>
      <c r="M27" s="83"/>
      <c r="N27" s="81"/>
      <c r="O27" s="81"/>
      <c r="P27" s="81"/>
      <c r="AI27" s="114"/>
    </row>
    <row r="28" s="14" customFormat="1" customHeight="1" spans="1:35">
      <c r="A28" s="56"/>
      <c r="B28" s="56" t="s">
        <v>215</v>
      </c>
      <c r="C28" s="58"/>
      <c r="D28" s="58"/>
      <c r="E28" s="58"/>
      <c r="F28" s="58"/>
      <c r="G28" s="58"/>
      <c r="H28" s="58"/>
      <c r="I28" s="58"/>
      <c r="J28" s="84"/>
      <c r="K28" s="58"/>
      <c r="L28" s="81"/>
      <c r="M28" s="83"/>
      <c r="N28" s="81"/>
      <c r="O28" s="81"/>
      <c r="P28" s="81"/>
      <c r="AI28" s="114"/>
    </row>
    <row r="29" s="14" customFormat="1" customHeight="1" spans="1:35">
      <c r="A29" s="56"/>
      <c r="B29" s="56" t="s">
        <v>216</v>
      </c>
      <c r="C29" s="58"/>
      <c r="D29" s="58"/>
      <c r="E29" s="58"/>
      <c r="F29" s="58"/>
      <c r="G29" s="58"/>
      <c r="H29" s="58"/>
      <c r="I29" s="81"/>
      <c r="J29" s="82"/>
      <c r="K29" s="81"/>
      <c r="L29" s="81"/>
      <c r="M29" s="83"/>
      <c r="N29" s="81"/>
      <c r="O29" s="81"/>
      <c r="P29" s="81"/>
      <c r="AI29" s="114"/>
    </row>
    <row r="31" ht="11.25" customHeight="1" spans="2:2">
      <c r="B31" s="59" t="s">
        <v>217</v>
      </c>
    </row>
    <row r="32" spans="2:2">
      <c r="B32" s="60" t="s">
        <v>218</v>
      </c>
    </row>
    <row r="33" spans="2:2">
      <c r="B33" s="60" t="s">
        <v>219</v>
      </c>
    </row>
  </sheetData>
  <autoFilter ref="A3:AT17">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9">
    <cfRule type="duplicateValues" dxfId="3" priority="2" stopIfTrue="1"/>
  </conditionalFormatting>
  <conditionalFormatting sqref="B24:B28">
    <cfRule type="duplicateValues" dxfId="3" priority="3" stopIfTrue="1"/>
  </conditionalFormatting>
  <conditionalFormatting sqref="B32:B33">
    <cfRule type="duplicateValues" dxfId="3" priority="1" stopIfTrue="1"/>
  </conditionalFormatting>
  <conditionalFormatting sqref="C21:C23">
    <cfRule type="duplicateValues" dxfId="3" priority="4" stopIfTrue="1"/>
    <cfRule type="expression" dxfId="4" priority="5" stopIfTrue="1">
      <formula>AND(COUNTIF($B$17:$B$65453,C21)+COUNTIF($B$1:$B$3,C21)&gt;1,NOT(ISBLANK(C21)))</formula>
    </cfRule>
    <cfRule type="expression" dxfId="4" priority="6" stopIfTrue="1">
      <formula>AND(COUNTIF($B$28:$B$65404,C21)+COUNTIF($B$1:$B$27,C21)&gt;1,NOT(ISBLANK(C21)))</formula>
    </cfRule>
    <cfRule type="expression" dxfId="4" priority="7" stopIfTrue="1">
      <formula>AND(COUNTIF($B$17:$B$65442,C21)+COUNTIF($B$1:$B$3,C21)&gt;1,NOT(ISBLANK(C21)))</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50"/>
  </sheetPr>
  <dimension ref="A1:AV37"/>
  <sheetViews>
    <sheetView workbookViewId="0">
      <pane xSplit="6" ySplit="3" topLeftCell="AU4" activePane="bottomRight" state="frozen"/>
      <selection/>
      <selection pane="topRight"/>
      <selection pane="bottomLeft"/>
      <selection pane="bottomRight" activeCell="E24" sqref="E2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25" style="15" customWidth="1"/>
    <col min="39" max="39" width="0.75" style="15" hidden="1" customWidth="1"/>
    <col min="40"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f>U4/2</f>
        <v>545.44</v>
      </c>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99</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194</v>
      </c>
      <c r="C4" s="37" t="s">
        <v>43</v>
      </c>
      <c r="D4" s="37" t="s">
        <v>195</v>
      </c>
      <c r="E4" s="37" t="s">
        <v>44</v>
      </c>
      <c r="F4" s="38" t="s">
        <v>196</v>
      </c>
      <c r="G4" s="41">
        <v>18035163638</v>
      </c>
      <c r="H4" s="40"/>
      <c r="I4" s="40"/>
      <c r="J4" s="70"/>
      <c r="K4" s="40"/>
      <c r="L4" s="73">
        <v>10560</v>
      </c>
      <c r="M4" s="72">
        <v>283.84</v>
      </c>
      <c r="N4" s="72">
        <v>70.96</v>
      </c>
      <c r="O4" s="72">
        <v>10.64</v>
      </c>
      <c r="P4" s="72">
        <v>180</v>
      </c>
      <c r="Q4" s="91">
        <f t="shared" ref="Q4:Q12" si="0">ROUND(SUM(M4:P4),2)</f>
        <v>545.44</v>
      </c>
      <c r="R4" s="73">
        <v>0</v>
      </c>
      <c r="S4" s="92">
        <f>L4+IFERROR(VLOOKUP($E:$E,'（居民）工资表-1月'!$E:$S,15,0),0)</f>
        <v>21120</v>
      </c>
      <c r="T4" s="93">
        <f>5000+IFERROR(VLOOKUP($E:$E,'（居民）工资表-1月'!$E:$T,16,0),0)</f>
        <v>10000</v>
      </c>
      <c r="U4" s="93">
        <f>Q4+IFERROR(VLOOKUP($E:$E,'（居民）工资表-1月'!$E:$U,17,0),0)</f>
        <v>1090.88</v>
      </c>
      <c r="V4" s="73">
        <v>2000</v>
      </c>
      <c r="W4" s="73"/>
      <c r="X4" s="73">
        <v>2000</v>
      </c>
      <c r="Y4" s="73"/>
      <c r="Z4" s="73">
        <v>800</v>
      </c>
      <c r="AA4" s="125"/>
      <c r="AB4" s="92">
        <f>ROUND(SUM(V4:AA4),2)</f>
        <v>4800</v>
      </c>
      <c r="AC4" s="92">
        <f>R4+IFERROR(VLOOKUP($E:$E,'（居民）工资表-1月'!$E:$AC,25,0),0)</f>
        <v>0</v>
      </c>
      <c r="AD4" s="97">
        <f t="shared" ref="AD4:AD12" si="1">ROUND(S4-T4-U4-AB4-AC4,2)</f>
        <v>5229.12</v>
      </c>
      <c r="AE4" s="98">
        <f>ROUND(MAX((AD4)*{0.03;0.1;0.2;0.25;0.3;0.35;0.45}-{0;2520;16920;31920;52920;85920;181920},0),2)</f>
        <v>156.87</v>
      </c>
      <c r="AF4" s="99">
        <f>IFERROR(VLOOKUP(E:E,'（居民）工资表-1月'!E:AF,28,0)+VLOOKUP(E:E,'（居民）工资表-1月'!E:AG,29,0),0)</f>
        <v>78.44</v>
      </c>
      <c r="AG4" s="99">
        <f t="shared" ref="AG4:AG12" si="2">IF((AE4-AF4)&lt;0,0,AE4-AF4)</f>
        <v>78.43</v>
      </c>
      <c r="AH4" s="109">
        <f t="shared" ref="AH4:AH12" si="3">ROUND(IF((L4-Q4-AG4)&lt;0,0,(L4-Q4-AG4)),2)</f>
        <v>9936.13</v>
      </c>
      <c r="AI4" s="110"/>
      <c r="AJ4" s="109">
        <f t="shared" ref="AJ4:AJ12" si="4">AH4+AI4</f>
        <v>9936.13</v>
      </c>
      <c r="AK4" s="111"/>
      <c r="AL4" s="109">
        <f t="shared" ref="AL4:AL12" si="5">AJ4+AG4+AK4</f>
        <v>10014.56</v>
      </c>
      <c r="AM4" s="111"/>
      <c r="AN4" s="111"/>
      <c r="AO4" s="111"/>
      <c r="AP4" s="111"/>
      <c r="AQ4" s="111"/>
      <c r="AR4" s="11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2" si="7">IF(SUMPRODUCT(N(E$1:E$8=E4))&gt;1,"重复","不")</f>
        <v>不</v>
      </c>
      <c r="AT4" s="118" t="str">
        <f t="shared" ref="AT4:AT12" si="8">IF(SUMPRODUCT(N(AO$1:AO$8=AO4))&gt;1,"重复","不")</f>
        <v>重复</v>
      </c>
    </row>
    <row r="5" s="12" customFormat="1" ht="18" customHeight="1" spans="1:48">
      <c r="A5" s="36">
        <v>2</v>
      </c>
      <c r="B5" s="37" t="s">
        <v>194</v>
      </c>
      <c r="C5" s="37" t="s">
        <v>61</v>
      </c>
      <c r="D5" s="37" t="s">
        <v>195</v>
      </c>
      <c r="E5" s="37" t="s">
        <v>62</v>
      </c>
      <c r="F5" s="38" t="s">
        <v>196</v>
      </c>
      <c r="G5" s="41">
        <v>13944441728</v>
      </c>
      <c r="H5" s="40"/>
      <c r="I5" s="40"/>
      <c r="J5" s="70"/>
      <c r="K5" s="40"/>
      <c r="L5" s="73">
        <v>7000</v>
      </c>
      <c r="M5" s="72">
        <v>296.26</v>
      </c>
      <c r="N5" s="72">
        <v>99.43</v>
      </c>
      <c r="O5" s="72">
        <v>11.11</v>
      </c>
      <c r="P5" s="72">
        <v>82</v>
      </c>
      <c r="Q5" s="91">
        <f t="shared" si="0"/>
        <v>488.8</v>
      </c>
      <c r="R5" s="73">
        <v>0</v>
      </c>
      <c r="S5" s="92">
        <f>L5+IFERROR(VLOOKUP($E:$E,'（居民）工资表-1月'!$E:$S,15,0),0)</f>
        <v>14000</v>
      </c>
      <c r="T5" s="93">
        <f>5000+IFERROR(VLOOKUP($E:$E,'（居民）工资表-1月'!$E:$T,16,0),0)</f>
        <v>10000</v>
      </c>
      <c r="U5" s="93">
        <f>Q5+IFERROR(VLOOKUP($E:$E,'（居民）工资表-1月'!$E:$U,17,0),0)</f>
        <v>950.23</v>
      </c>
      <c r="V5" s="125"/>
      <c r="W5" s="125"/>
      <c r="X5" s="125"/>
      <c r="Y5" s="125"/>
      <c r="Z5" s="125"/>
      <c r="AA5" s="125"/>
      <c r="AB5" s="92">
        <f t="shared" ref="AB5:AB12" si="9">ROUND(SUM(V5:AA5),2)</f>
        <v>0</v>
      </c>
      <c r="AC5" s="92">
        <f>R5+IFERROR(VLOOKUP($E:$E,'（居民）工资表-1月'!$E:$AC,25,0),0)</f>
        <v>0</v>
      </c>
      <c r="AD5" s="97">
        <f t="shared" si="1"/>
        <v>3049.77</v>
      </c>
      <c r="AE5" s="98">
        <f>ROUND(MAX((AD5)*{0.03;0.1;0.2;0.25;0.3;0.35;0.45}-{0;2520;16920;31920;52920;85920;181920},0),2)</f>
        <v>91.49</v>
      </c>
      <c r="AF5" s="99">
        <f>IFERROR(VLOOKUP(E:E,'（居民）工资表-1月'!E:AF,28,0)+VLOOKUP(E:E,'（居民）工资表-1月'!E:AG,29,0),0)</f>
        <v>46.16</v>
      </c>
      <c r="AG5" s="99">
        <f t="shared" si="2"/>
        <v>45.33</v>
      </c>
      <c r="AH5" s="109">
        <f t="shared" si="3"/>
        <v>6465.87</v>
      </c>
      <c r="AI5" s="110"/>
      <c r="AJ5" s="109">
        <f t="shared" si="4"/>
        <v>6465.87</v>
      </c>
      <c r="AK5" s="111"/>
      <c r="AL5" s="109">
        <f t="shared" si="5"/>
        <v>6511.2</v>
      </c>
      <c r="AM5" s="111"/>
      <c r="AN5" s="111"/>
      <c r="AO5" s="111"/>
      <c r="AP5" s="111"/>
      <c r="AQ5" s="111"/>
      <c r="AR5" s="118" t="str">
        <f t="shared" si="6"/>
        <v>正确</v>
      </c>
      <c r="AS5" s="118" t="str">
        <f t="shared" si="7"/>
        <v>不</v>
      </c>
      <c r="AT5" s="118" t="str">
        <f t="shared" si="8"/>
        <v>重复</v>
      </c>
      <c r="AU5" s="12" t="s">
        <v>197</v>
      </c>
      <c r="AV5" s="12" t="s">
        <v>51</v>
      </c>
    </row>
    <row r="6" s="12" customFormat="1" ht="18" customHeight="1" spans="1:48">
      <c r="A6" s="36">
        <v>3</v>
      </c>
      <c r="B6" s="37" t="s">
        <v>194</v>
      </c>
      <c r="C6" s="37" t="s">
        <v>101</v>
      </c>
      <c r="D6" s="37" t="s">
        <v>195</v>
      </c>
      <c r="E6" s="381" t="s">
        <v>102</v>
      </c>
      <c r="F6" s="38" t="s">
        <v>198</v>
      </c>
      <c r="G6" s="41">
        <v>15360550807</v>
      </c>
      <c r="H6" s="40"/>
      <c r="I6" s="40"/>
      <c r="J6" s="70"/>
      <c r="K6" s="40"/>
      <c r="L6" s="73">
        <v>5700</v>
      </c>
      <c r="M6" s="72">
        <v>367.04</v>
      </c>
      <c r="N6" s="72">
        <v>82.68</v>
      </c>
      <c r="O6" s="72">
        <v>4.6</v>
      </c>
      <c r="P6" s="72">
        <v>115</v>
      </c>
      <c r="Q6" s="91">
        <f t="shared" si="0"/>
        <v>569.32</v>
      </c>
      <c r="R6" s="73">
        <v>0</v>
      </c>
      <c r="S6" s="92">
        <f>L6+IFERROR(VLOOKUP($E:$E,'（居民）工资表-1月'!$E:$S,15,0),0)</f>
        <v>11400</v>
      </c>
      <c r="T6" s="93">
        <f>5000+IFERROR(VLOOKUP($E:$E,'（居民）工资表-1月'!$E:$T,16,0),0)</f>
        <v>10000</v>
      </c>
      <c r="U6" s="93">
        <f>Q6+IFERROR(VLOOKUP($E:$E,'（居民）工资表-1月'!$E:$U,17,0),0)</f>
        <v>1200.24</v>
      </c>
      <c r="V6" s="125"/>
      <c r="W6" s="125"/>
      <c r="X6" s="125"/>
      <c r="Y6" s="125"/>
      <c r="Z6" s="125"/>
      <c r="AA6" s="125"/>
      <c r="AB6" s="92">
        <f t="shared" si="9"/>
        <v>0</v>
      </c>
      <c r="AC6" s="92">
        <f>R6+IFERROR(VLOOKUP($E:$E,'（居民）工资表-1月'!$E:$AC,25,0),0)</f>
        <v>0</v>
      </c>
      <c r="AD6" s="97">
        <f t="shared" si="1"/>
        <v>199.76</v>
      </c>
      <c r="AE6" s="98">
        <f>ROUND(MAX((AD6)*{0.03;0.1;0.2;0.25;0.3;0.35;0.45}-{0;2520;16920;31920;52920;85920;181920},0),2)</f>
        <v>5.99</v>
      </c>
      <c r="AF6" s="99">
        <f>IFERROR(VLOOKUP(E:E,'（居民）工资表-1月'!E:AF,28,0)+VLOOKUP(E:E,'（居民）工资表-1月'!E:AG,29,0),0)</f>
        <v>2.07</v>
      </c>
      <c r="AG6" s="99">
        <f t="shared" si="2"/>
        <v>3.92</v>
      </c>
      <c r="AH6" s="109">
        <f t="shared" si="3"/>
        <v>5126.76</v>
      </c>
      <c r="AI6" s="110"/>
      <c r="AJ6" s="109">
        <f t="shared" si="4"/>
        <v>5126.76</v>
      </c>
      <c r="AK6" s="111"/>
      <c r="AL6" s="109">
        <f t="shared" si="5"/>
        <v>5130.68</v>
      </c>
      <c r="AM6" s="111"/>
      <c r="AN6" s="111"/>
      <c r="AO6" s="111"/>
      <c r="AP6" s="111"/>
      <c r="AQ6" s="111"/>
      <c r="AR6" s="118" t="str">
        <f t="shared" si="6"/>
        <v>正确</v>
      </c>
      <c r="AS6" s="118" t="str">
        <f t="shared" si="7"/>
        <v>不</v>
      </c>
      <c r="AT6" s="118" t="str">
        <f t="shared" si="8"/>
        <v>重复</v>
      </c>
      <c r="AU6" s="12" t="s">
        <v>50</v>
      </c>
      <c r="AV6" s="12" t="s">
        <v>51</v>
      </c>
    </row>
    <row r="7" s="12" customFormat="1" ht="18" customHeight="1" spans="1:46">
      <c r="A7" s="36">
        <v>4</v>
      </c>
      <c r="B7" s="37" t="s">
        <v>194</v>
      </c>
      <c r="C7" s="37" t="s">
        <v>108</v>
      </c>
      <c r="D7" s="37" t="s">
        <v>195</v>
      </c>
      <c r="E7" s="381" t="s">
        <v>109</v>
      </c>
      <c r="F7" s="38" t="s">
        <v>196</v>
      </c>
      <c r="G7" s="41" t="s">
        <v>199</v>
      </c>
      <c r="H7" s="40"/>
      <c r="I7" s="40"/>
      <c r="J7" s="70"/>
      <c r="K7" s="40"/>
      <c r="L7" s="73">
        <v>30060</v>
      </c>
      <c r="M7" s="72">
        <v>521.6</v>
      </c>
      <c r="N7" s="72">
        <v>130.4</v>
      </c>
      <c r="O7" s="72">
        <v>32.6</v>
      </c>
      <c r="P7" s="72">
        <v>181.3</v>
      </c>
      <c r="Q7" s="91">
        <f t="shared" si="0"/>
        <v>865.9</v>
      </c>
      <c r="R7" s="73">
        <v>0</v>
      </c>
      <c r="S7" s="92">
        <f>L7+IFERROR(VLOOKUP($E:$E,'（居民）工资表-1月'!$E:$S,15,0),0)</f>
        <v>60120</v>
      </c>
      <c r="T7" s="93">
        <f>5000+IFERROR(VLOOKUP($E:$E,'（居民）工资表-1月'!$E:$T,16,0),0)</f>
        <v>10000</v>
      </c>
      <c r="U7" s="93">
        <f>Q7+IFERROR(VLOOKUP($E:$E,'（居民）工资表-1月'!$E:$U,17,0),0)</f>
        <v>1731.8</v>
      </c>
      <c r="V7" s="125"/>
      <c r="W7" s="125"/>
      <c r="X7" s="125"/>
      <c r="Y7" s="125"/>
      <c r="Z7" s="125"/>
      <c r="AA7" s="125"/>
      <c r="AB7" s="92">
        <f t="shared" si="9"/>
        <v>0</v>
      </c>
      <c r="AC7" s="92">
        <f>R7+IFERROR(VLOOKUP($E:$E,'（居民）工资表-1月'!$E:$AC,25,0),0)</f>
        <v>0</v>
      </c>
      <c r="AD7" s="97">
        <f t="shared" si="1"/>
        <v>48388.2</v>
      </c>
      <c r="AE7" s="98">
        <f>ROUND(MAX((AD7)*{0.03;0.1;0.2;0.25;0.3;0.35;0.45}-{0;2520;16920;31920;52920;85920;181920},0),2)</f>
        <v>2318.82</v>
      </c>
      <c r="AF7" s="99">
        <f>IFERROR(VLOOKUP(E:E,'（居民）工资表-1月'!E:AF,28,0)+VLOOKUP(E:E,'（居民）工资表-1月'!E:AG,29,0),0)</f>
        <v>725.82</v>
      </c>
      <c r="AG7" s="99">
        <f t="shared" si="2"/>
        <v>1593</v>
      </c>
      <c r="AH7" s="109">
        <f t="shared" si="3"/>
        <v>27601.1</v>
      </c>
      <c r="AI7" s="110"/>
      <c r="AJ7" s="109">
        <f t="shared" si="4"/>
        <v>27601.1</v>
      </c>
      <c r="AK7" s="111"/>
      <c r="AL7" s="109">
        <f t="shared" si="5"/>
        <v>29194.1</v>
      </c>
      <c r="AM7" s="111"/>
      <c r="AN7" s="111"/>
      <c r="AO7" s="111"/>
      <c r="AP7" s="111"/>
      <c r="AQ7" s="111"/>
      <c r="AR7" s="118" t="str">
        <f t="shared" si="6"/>
        <v>正确</v>
      </c>
      <c r="AS7" s="118" t="str">
        <f t="shared" si="7"/>
        <v>不</v>
      </c>
      <c r="AT7" s="118" t="str">
        <f t="shared" si="8"/>
        <v>重复</v>
      </c>
    </row>
    <row r="8" s="12" customFormat="1" ht="18" customHeight="1" spans="1:48">
      <c r="A8" s="36">
        <v>5</v>
      </c>
      <c r="B8" s="37" t="s">
        <v>194</v>
      </c>
      <c r="C8" s="37" t="s">
        <v>112</v>
      </c>
      <c r="D8" s="37" t="s">
        <v>195</v>
      </c>
      <c r="E8" s="381" t="s">
        <v>113</v>
      </c>
      <c r="F8" s="38" t="s">
        <v>196</v>
      </c>
      <c r="G8" s="41" t="s">
        <v>201</v>
      </c>
      <c r="H8" s="40"/>
      <c r="I8" s="40"/>
      <c r="J8" s="70"/>
      <c r="K8" s="40"/>
      <c r="L8" s="73">
        <v>6000</v>
      </c>
      <c r="M8" s="72">
        <v>306.56</v>
      </c>
      <c r="N8" s="72">
        <v>84.64</v>
      </c>
      <c r="O8" s="72">
        <v>19.16</v>
      </c>
      <c r="P8" s="72">
        <v>75</v>
      </c>
      <c r="Q8" s="91">
        <f t="shared" si="0"/>
        <v>485.36</v>
      </c>
      <c r="R8" s="73">
        <v>0</v>
      </c>
      <c r="S8" s="92">
        <f>L8+IFERROR(VLOOKUP($E:$E,'（居民）工资表-1月'!$E:$S,15,0),0)</f>
        <v>12000</v>
      </c>
      <c r="T8" s="93">
        <f>5000+IFERROR(VLOOKUP($E:$E,'（居民）工资表-1月'!$E:$T,16,0),0)</f>
        <v>10000</v>
      </c>
      <c r="U8" s="93">
        <f>Q8+IFERROR(VLOOKUP($E:$E,'（居民）工资表-1月'!$E:$U,17,0),0)</f>
        <v>1223.98</v>
      </c>
      <c r="V8" s="125"/>
      <c r="W8" s="125"/>
      <c r="X8" s="125"/>
      <c r="Y8" s="125"/>
      <c r="Z8" s="125"/>
      <c r="AA8" s="125"/>
      <c r="AB8" s="92">
        <f t="shared" si="9"/>
        <v>0</v>
      </c>
      <c r="AC8" s="92">
        <f>R8+IFERROR(VLOOKUP($E:$E,'（居民）工资表-1月'!$E:$AC,25,0),0)</f>
        <v>0</v>
      </c>
      <c r="AD8" s="97">
        <f t="shared" si="1"/>
        <v>776.02</v>
      </c>
      <c r="AE8" s="98">
        <f>ROUND(MAX((AD8)*{0.03;0.1;0.2;0.25;0.3;0.35;0.45}-{0;2520;16920;31920;52920;85920;181920},0),2)</f>
        <v>23.28</v>
      </c>
      <c r="AF8" s="99">
        <f>IFERROR(VLOOKUP(E:E,'（居民）工资表-1月'!E:AF,28,0)+VLOOKUP(E:E,'（居民）工资表-1月'!E:AG,29,0),0)</f>
        <v>7.84</v>
      </c>
      <c r="AG8" s="99">
        <f t="shared" si="2"/>
        <v>15.44</v>
      </c>
      <c r="AH8" s="109">
        <f t="shared" si="3"/>
        <v>5499.2</v>
      </c>
      <c r="AI8" s="110"/>
      <c r="AJ8" s="109">
        <f t="shared" si="4"/>
        <v>5499.2</v>
      </c>
      <c r="AK8" s="111"/>
      <c r="AL8" s="109">
        <f t="shared" si="5"/>
        <v>5514.64</v>
      </c>
      <c r="AM8" s="111"/>
      <c r="AN8" s="111"/>
      <c r="AO8" s="111"/>
      <c r="AP8" s="111"/>
      <c r="AQ8" s="111"/>
      <c r="AR8" s="118" t="str">
        <f t="shared" si="6"/>
        <v>正确</v>
      </c>
      <c r="AS8" s="118" t="str">
        <f t="shared" si="7"/>
        <v>不</v>
      </c>
      <c r="AT8" s="118" t="str">
        <f t="shared" si="8"/>
        <v>重复</v>
      </c>
      <c r="AU8" s="12" t="s">
        <v>144</v>
      </c>
      <c r="AV8" s="12" t="s">
        <v>51</v>
      </c>
    </row>
    <row r="9" s="12" customFormat="1" ht="18" customHeight="1" spans="1:48">
      <c r="A9" s="36">
        <v>6</v>
      </c>
      <c r="B9" s="37" t="s">
        <v>194</v>
      </c>
      <c r="C9" s="37" t="s">
        <v>119</v>
      </c>
      <c r="D9" s="37" t="s">
        <v>195</v>
      </c>
      <c r="E9" s="381" t="s">
        <v>120</v>
      </c>
      <c r="F9" s="38" t="s">
        <v>196</v>
      </c>
      <c r="G9" s="41">
        <v>19356875630</v>
      </c>
      <c r="H9" s="40"/>
      <c r="I9" s="40"/>
      <c r="J9" s="70"/>
      <c r="K9" s="40"/>
      <c r="L9" s="73">
        <v>6500</v>
      </c>
      <c r="M9" s="72">
        <v>306.56</v>
      </c>
      <c r="N9" s="72">
        <v>82.64</v>
      </c>
      <c r="O9" s="72">
        <v>19.16</v>
      </c>
      <c r="P9" s="72">
        <v>346</v>
      </c>
      <c r="Q9" s="91">
        <f t="shared" si="0"/>
        <v>754.36</v>
      </c>
      <c r="R9" s="73">
        <v>0</v>
      </c>
      <c r="S9" s="92">
        <f>L9+IFERROR(VLOOKUP($E:$E,'（居民）工资表-1月'!$E:$S,15,0),0)</f>
        <v>13000</v>
      </c>
      <c r="T9" s="93">
        <f>5000+IFERROR(VLOOKUP($E:$E,'（居民）工资表-1月'!$E:$T,16,0),0)</f>
        <v>10000</v>
      </c>
      <c r="U9" s="93">
        <f>Q9+IFERROR(VLOOKUP($E:$E,'（居民）工资表-1月'!$E:$U,17,0),0)</f>
        <v>1500.98</v>
      </c>
      <c r="V9" s="125"/>
      <c r="W9" s="125"/>
      <c r="X9" s="125"/>
      <c r="Y9" s="125"/>
      <c r="Z9" s="125"/>
      <c r="AA9" s="125"/>
      <c r="AB9" s="92">
        <f t="shared" si="9"/>
        <v>0</v>
      </c>
      <c r="AC9" s="92">
        <f>R9+IFERROR(VLOOKUP($E:$E,'（居民）工资表-1月'!$E:$AC,25,0),0)</f>
        <v>0</v>
      </c>
      <c r="AD9" s="97">
        <f t="shared" si="1"/>
        <v>1499.02</v>
      </c>
      <c r="AE9" s="98">
        <f>ROUND(MAX((AD9)*{0.03;0.1;0.2;0.25;0.3;0.35;0.45}-{0;2520;16920;31920;52920;85920;181920},0),2)</f>
        <v>44.97</v>
      </c>
      <c r="AF9" s="99">
        <f>IFERROR(VLOOKUP(E:E,'（居民）工资表-1月'!E:AF,28,0)+VLOOKUP(E:E,'（居民）工资表-1月'!E:AG,29,0),0)</f>
        <v>22.6</v>
      </c>
      <c r="AG9" s="99">
        <f t="shared" si="2"/>
        <v>22.37</v>
      </c>
      <c r="AH9" s="109">
        <f t="shared" si="3"/>
        <v>5723.27</v>
      </c>
      <c r="AI9" s="110"/>
      <c r="AJ9" s="109">
        <f t="shared" si="4"/>
        <v>5723.27</v>
      </c>
      <c r="AK9" s="111"/>
      <c r="AL9" s="109">
        <f t="shared" si="5"/>
        <v>5745.64</v>
      </c>
      <c r="AM9" s="111"/>
      <c r="AN9" s="111"/>
      <c r="AO9" s="111"/>
      <c r="AP9" s="111"/>
      <c r="AQ9" s="111"/>
      <c r="AR9" s="118" t="str">
        <f t="shared" si="6"/>
        <v>正确</v>
      </c>
      <c r="AS9" s="118" t="str">
        <f t="shared" si="7"/>
        <v>不</v>
      </c>
      <c r="AT9" s="118" t="str">
        <f t="shared" si="8"/>
        <v>重复</v>
      </c>
      <c r="AU9" s="12" t="s">
        <v>144</v>
      </c>
      <c r="AV9" s="12" t="s">
        <v>51</v>
      </c>
    </row>
    <row r="10" s="12" customFormat="1" ht="18" customHeight="1" spans="1:48">
      <c r="A10" s="36">
        <v>7</v>
      </c>
      <c r="B10" s="37" t="s">
        <v>194</v>
      </c>
      <c r="C10" s="37" t="s">
        <v>131</v>
      </c>
      <c r="D10" s="37" t="s">
        <v>195</v>
      </c>
      <c r="E10" s="381" t="s">
        <v>132</v>
      </c>
      <c r="F10" s="38" t="s">
        <v>196</v>
      </c>
      <c r="G10" s="41">
        <v>13973652684</v>
      </c>
      <c r="H10" s="40"/>
      <c r="I10" s="40"/>
      <c r="J10" s="70"/>
      <c r="K10" s="40"/>
      <c r="L10" s="73">
        <v>6500</v>
      </c>
      <c r="M10" s="72">
        <v>370.16</v>
      </c>
      <c r="N10" s="72">
        <v>73.52</v>
      </c>
      <c r="O10" s="72">
        <v>13.89</v>
      </c>
      <c r="P10" s="72">
        <v>100</v>
      </c>
      <c r="Q10" s="91">
        <f t="shared" si="0"/>
        <v>557.57</v>
      </c>
      <c r="R10" s="73">
        <v>0</v>
      </c>
      <c r="S10" s="92">
        <f>L10+IFERROR(VLOOKUP($E:$E,'（居民）工资表-1月'!$E:$S,15,0),0)</f>
        <v>13000</v>
      </c>
      <c r="T10" s="93">
        <f>5000+IFERROR(VLOOKUP($E:$E,'（居民）工资表-1月'!$E:$T,16,0),0)</f>
        <v>10000</v>
      </c>
      <c r="U10" s="93">
        <f>Q10+IFERROR(VLOOKUP($E:$E,'（居民）工资表-1月'!$E:$U,17,0),0)</f>
        <v>1030.22</v>
      </c>
      <c r="V10" s="125"/>
      <c r="W10" s="125"/>
      <c r="X10" s="125"/>
      <c r="Y10" s="125"/>
      <c r="Z10" s="125"/>
      <c r="AA10" s="125"/>
      <c r="AB10" s="92">
        <f t="shared" si="9"/>
        <v>0</v>
      </c>
      <c r="AC10" s="92">
        <f>R10+IFERROR(VLOOKUP($E:$E,'（居民）工资表-1月'!$E:$AC,25,0),0)</f>
        <v>0</v>
      </c>
      <c r="AD10" s="97">
        <f t="shared" si="1"/>
        <v>1969.78</v>
      </c>
      <c r="AE10" s="98">
        <f>ROUND(MAX((AD10)*{0.03;0.1;0.2;0.25;0.3;0.35;0.45}-{0;2520;16920;31920;52920;85920;181920},0),2)</f>
        <v>59.09</v>
      </c>
      <c r="AF10" s="99">
        <f>IFERROR(VLOOKUP(E:E,'（居民）工资表-1月'!E:AF,28,0)+VLOOKUP(E:E,'（居民）工资表-1月'!E:AG,29,0),0)</f>
        <v>30.82</v>
      </c>
      <c r="AG10" s="99">
        <f t="shared" si="2"/>
        <v>28.27</v>
      </c>
      <c r="AH10" s="109">
        <f t="shared" si="3"/>
        <v>5914.16</v>
      </c>
      <c r="AI10" s="110"/>
      <c r="AJ10" s="109">
        <f t="shared" si="4"/>
        <v>5914.16</v>
      </c>
      <c r="AK10" s="111"/>
      <c r="AL10" s="109">
        <f t="shared" si="5"/>
        <v>5942.43</v>
      </c>
      <c r="AM10" s="111"/>
      <c r="AN10" s="111"/>
      <c r="AO10" s="111"/>
      <c r="AP10" s="111"/>
      <c r="AQ10" s="111"/>
      <c r="AR10" s="118" t="str">
        <f t="shared" si="6"/>
        <v>正确</v>
      </c>
      <c r="AS10" s="118" t="str">
        <f t="shared" si="7"/>
        <v>不</v>
      </c>
      <c r="AT10" s="118" t="str">
        <f t="shared" si="8"/>
        <v>重复</v>
      </c>
      <c r="AU10" s="12" t="s">
        <v>202</v>
      </c>
      <c r="AV10" s="12" t="s">
        <v>51</v>
      </c>
    </row>
    <row r="11" s="12" customFormat="1" ht="18" customHeight="1" spans="1:46">
      <c r="A11" s="36">
        <v>8</v>
      </c>
      <c r="B11" s="37" t="s">
        <v>194</v>
      </c>
      <c r="C11" s="37" t="s">
        <v>134</v>
      </c>
      <c r="D11" s="37" t="s">
        <v>195</v>
      </c>
      <c r="E11" s="381" t="s">
        <v>135</v>
      </c>
      <c r="F11" s="38" t="s">
        <v>196</v>
      </c>
      <c r="G11" s="41" t="s">
        <v>203</v>
      </c>
      <c r="H11" s="40"/>
      <c r="I11" s="40"/>
      <c r="J11" s="70"/>
      <c r="K11" s="40"/>
      <c r="L11" s="73">
        <v>5500</v>
      </c>
      <c r="M11" s="72">
        <v>316.56</v>
      </c>
      <c r="N11" s="72">
        <v>84.14</v>
      </c>
      <c r="O11" s="72">
        <v>19.79</v>
      </c>
      <c r="P11" s="72">
        <v>105</v>
      </c>
      <c r="Q11" s="91">
        <f t="shared" si="0"/>
        <v>525.49</v>
      </c>
      <c r="R11" s="73">
        <v>0</v>
      </c>
      <c r="S11" s="92">
        <f>L11+IFERROR(VLOOKUP($E:$E,'（居民）工资表-1月'!$E:$S,15,0),0)</f>
        <v>11000</v>
      </c>
      <c r="T11" s="93">
        <f>5000+IFERROR(VLOOKUP($E:$E,'（居民）工资表-1月'!$E:$T,16,0),0)</f>
        <v>10000</v>
      </c>
      <c r="U11" s="93">
        <f>Q11+IFERROR(VLOOKUP($E:$E,'（居民）工资表-1月'!$E:$U,17,0),0)</f>
        <v>1050.98</v>
      </c>
      <c r="V11" s="125"/>
      <c r="W11" s="125"/>
      <c r="X11" s="125"/>
      <c r="Y11" s="125"/>
      <c r="Z11" s="125"/>
      <c r="AA11" s="125"/>
      <c r="AB11" s="92">
        <f t="shared" si="9"/>
        <v>0</v>
      </c>
      <c r="AC11" s="92">
        <f>R11+IFERROR(VLOOKUP($E:$E,'（居民）工资表-1月'!$E:$AC,25,0),0)</f>
        <v>0</v>
      </c>
      <c r="AD11" s="97">
        <f t="shared" si="1"/>
        <v>-50.98</v>
      </c>
      <c r="AE11" s="98">
        <f>ROUND(MAX((AD11)*{0.03;0.1;0.2;0.25;0.3;0.35;0.45}-{0;2520;16920;31920;52920;85920;181920},0),2)</f>
        <v>0</v>
      </c>
      <c r="AF11" s="99">
        <f>IFERROR(VLOOKUP(E:E,'（居民）工资表-1月'!E:AF,28,0)+VLOOKUP(E:E,'（居民）工资表-1月'!E:AG,29,0),0)</f>
        <v>0</v>
      </c>
      <c r="AG11" s="99">
        <f t="shared" si="2"/>
        <v>0</v>
      </c>
      <c r="AH11" s="109">
        <f t="shared" si="3"/>
        <v>4974.51</v>
      </c>
      <c r="AI11" s="110"/>
      <c r="AJ11" s="109">
        <f t="shared" si="4"/>
        <v>4974.51</v>
      </c>
      <c r="AK11" s="111"/>
      <c r="AL11" s="109">
        <f t="shared" si="5"/>
        <v>4974.51</v>
      </c>
      <c r="AM11" s="111"/>
      <c r="AN11" s="111"/>
      <c r="AO11" s="111"/>
      <c r="AP11" s="111"/>
      <c r="AQ11" s="111"/>
      <c r="AR11" s="118" t="str">
        <f t="shared" si="6"/>
        <v>正确</v>
      </c>
      <c r="AS11" s="118" t="str">
        <f t="shared" si="7"/>
        <v>不</v>
      </c>
      <c r="AT11" s="118" t="str">
        <f t="shared" si="8"/>
        <v>重复</v>
      </c>
    </row>
    <row r="12" s="12" customFormat="1" ht="18" customHeight="1" spans="1:46">
      <c r="A12" s="36">
        <v>9</v>
      </c>
      <c r="B12" s="37" t="s">
        <v>194</v>
      </c>
      <c r="C12" s="37" t="s">
        <v>138</v>
      </c>
      <c r="D12" s="37" t="s">
        <v>195</v>
      </c>
      <c r="E12" s="381" t="s">
        <v>139</v>
      </c>
      <c r="F12" s="38" t="s">
        <v>198</v>
      </c>
      <c r="G12" s="41" t="s">
        <v>205</v>
      </c>
      <c r="H12" s="40"/>
      <c r="I12" s="40"/>
      <c r="J12" s="70"/>
      <c r="K12" s="40"/>
      <c r="L12" s="73">
        <v>4598.8</v>
      </c>
      <c r="M12" s="72">
        <v>352</v>
      </c>
      <c r="N12" s="72">
        <v>110</v>
      </c>
      <c r="O12" s="72">
        <v>22</v>
      </c>
      <c r="P12" s="72">
        <v>109</v>
      </c>
      <c r="Q12" s="91">
        <f t="shared" si="0"/>
        <v>593</v>
      </c>
      <c r="R12" s="73">
        <v>0</v>
      </c>
      <c r="S12" s="92">
        <f>L12+IFERROR(VLOOKUP($E:$E,'（居民）工资表-1月'!$E:$S,15,0),0)</f>
        <v>9197.6</v>
      </c>
      <c r="T12" s="93">
        <f>5000+IFERROR(VLOOKUP($E:$E,'（居民）工资表-1月'!$E:$T,16,0),0)</f>
        <v>10000</v>
      </c>
      <c r="U12" s="93">
        <f>Q12+IFERROR(VLOOKUP($E:$E,'（居民）工资表-1月'!$E:$U,17,0),0)</f>
        <v>1186</v>
      </c>
      <c r="V12" s="125"/>
      <c r="W12" s="125"/>
      <c r="X12" s="125"/>
      <c r="Y12" s="125"/>
      <c r="Z12" s="125"/>
      <c r="AA12" s="125"/>
      <c r="AB12" s="92">
        <f t="shared" si="9"/>
        <v>0</v>
      </c>
      <c r="AC12" s="92">
        <f>R12+IFERROR(VLOOKUP($E:$E,'（居民）工资表-1月'!$E:$AC,25,0),0)</f>
        <v>0</v>
      </c>
      <c r="AD12" s="97">
        <f t="shared" si="1"/>
        <v>-1988.4</v>
      </c>
      <c r="AE12" s="98">
        <f>ROUND(MAX((AD12)*{0.03;0.1;0.2;0.25;0.3;0.35;0.45}-{0;2520;16920;31920;52920;85920;181920},0),2)</f>
        <v>0</v>
      </c>
      <c r="AF12" s="99">
        <f>IFERROR(VLOOKUP(E:E,'（居民）工资表-1月'!E:AF,28,0)+VLOOKUP(E:E,'（居民）工资表-1月'!E:AG,29,0),0)</f>
        <v>0</v>
      </c>
      <c r="AG12" s="99">
        <f t="shared" si="2"/>
        <v>0</v>
      </c>
      <c r="AH12" s="109">
        <f t="shared" si="3"/>
        <v>4005.8</v>
      </c>
      <c r="AI12" s="110"/>
      <c r="AJ12" s="109">
        <f t="shared" si="4"/>
        <v>4005.8</v>
      </c>
      <c r="AK12" s="111"/>
      <c r="AL12" s="109">
        <f t="shared" si="5"/>
        <v>4005.8</v>
      </c>
      <c r="AM12" s="111"/>
      <c r="AN12" s="111"/>
      <c r="AO12" s="111"/>
      <c r="AP12" s="111"/>
      <c r="AQ12" s="111"/>
      <c r="AR12" s="118" t="str">
        <f t="shared" si="6"/>
        <v>正确</v>
      </c>
      <c r="AS12" s="118" t="str">
        <f t="shared" si="7"/>
        <v>不</v>
      </c>
      <c r="AT12" s="118" t="str">
        <f t="shared" si="8"/>
        <v>重复</v>
      </c>
    </row>
    <row r="13" s="12" customFormat="1" ht="18" customHeight="1" spans="1:48">
      <c r="A13" s="36">
        <v>10</v>
      </c>
      <c r="B13" s="37" t="s">
        <v>194</v>
      </c>
      <c r="C13" s="37" t="s">
        <v>128</v>
      </c>
      <c r="D13" s="37" t="s">
        <v>195</v>
      </c>
      <c r="E13" s="381" t="s">
        <v>129</v>
      </c>
      <c r="F13" s="38" t="s">
        <v>196</v>
      </c>
      <c r="G13" s="41">
        <v>18356553626</v>
      </c>
      <c r="H13" s="40"/>
      <c r="I13" s="40"/>
      <c r="J13" s="70"/>
      <c r="K13" s="40"/>
      <c r="L13" s="73">
        <v>5600</v>
      </c>
      <c r="M13" s="72">
        <v>306.56</v>
      </c>
      <c r="N13" s="72">
        <v>112.49</v>
      </c>
      <c r="O13" s="72">
        <v>19.16</v>
      </c>
      <c r="P13" s="72">
        <v>75</v>
      </c>
      <c r="Q13" s="91">
        <f t="shared" ref="Q13:Q25" si="10">ROUND(SUM(M13:P13),2)</f>
        <v>513.21</v>
      </c>
      <c r="R13" s="73">
        <v>0</v>
      </c>
      <c r="S13" s="92">
        <f>L13+IFERROR(VLOOKUP($E:$E,'（居民）工资表-1月'!$E:$S,15,0),0)</f>
        <v>11200</v>
      </c>
      <c r="T13" s="93">
        <f>5000+IFERROR(VLOOKUP($E:$E,'（居民）工资表-1月'!$E:$T,16,0),0)</f>
        <v>10000</v>
      </c>
      <c r="U13" s="93">
        <f>Q13+IFERROR(VLOOKUP($E:$E,'（居民）工资表-1月'!$E:$U,17,0),0)</f>
        <v>1034.46</v>
      </c>
      <c r="V13" s="125"/>
      <c r="W13" s="125"/>
      <c r="X13" s="125"/>
      <c r="Y13" s="125"/>
      <c r="Z13" s="125"/>
      <c r="AA13" s="125"/>
      <c r="AB13" s="92">
        <f t="shared" ref="AB13:AB25" si="11">ROUND(SUM(V13:AA13),2)</f>
        <v>0</v>
      </c>
      <c r="AC13" s="92">
        <f>R13+IFERROR(VLOOKUP($E:$E,'（居民）工资表-1月'!$E:$AC,25,0),0)</f>
        <v>0</v>
      </c>
      <c r="AD13" s="97">
        <f t="shared" ref="AD13:AD25" si="12">ROUND(S13-T13-U13-AB13-AC13,2)</f>
        <v>165.54</v>
      </c>
      <c r="AE13" s="98">
        <f>ROUND(MAX((AD13)*{0.03;0.1;0.2;0.25;0.3;0.35;0.45}-{0;2520;16920;31920;52920;85920;181920},0),2)</f>
        <v>4.97</v>
      </c>
      <c r="AF13" s="99">
        <f>IFERROR(VLOOKUP(E:E,'（居民）工资表-1月'!E:AF,28,0)+VLOOKUP(E:E,'（居民）工资表-1月'!E:AG,29,0),0)</f>
        <v>2.36</v>
      </c>
      <c r="AG13" s="99">
        <f t="shared" ref="AG13:AG25" si="13">IF((AE13-AF13)&lt;0,0,AE13-AF13)</f>
        <v>2.61</v>
      </c>
      <c r="AH13" s="109">
        <f t="shared" ref="AH13:AH25" si="14">ROUND(IF((L13-Q13-AG13)&lt;0,0,(L13-Q13-AG13)),2)</f>
        <v>5084.18</v>
      </c>
      <c r="AI13" s="110"/>
      <c r="AJ13" s="109">
        <f t="shared" ref="AJ13:AJ25" si="15">AH13+AI13</f>
        <v>5084.18</v>
      </c>
      <c r="AK13" s="111"/>
      <c r="AL13" s="109">
        <f t="shared" ref="AL13:AL25" si="16">AJ13+AG13+AK13</f>
        <v>5086.79</v>
      </c>
      <c r="AM13" s="111"/>
      <c r="AN13" s="111"/>
      <c r="AO13" s="111"/>
      <c r="AP13" s="111"/>
      <c r="AQ13" s="111"/>
      <c r="AR13" s="118" t="str">
        <f t="shared" ref="AR13:AR25"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118" t="str">
        <f t="shared" ref="AS13:AS25" si="18">IF(SUMPRODUCT(N(E$1:E$8=E13))&gt;1,"重复","不")</f>
        <v>不</v>
      </c>
      <c r="AT13" s="118" t="str">
        <f t="shared" ref="AT13:AT25" si="19">IF(SUMPRODUCT(N(AO$1:AO$8=AO13))&gt;1,"重复","不")</f>
        <v>重复</v>
      </c>
      <c r="AU13" s="12" t="s">
        <v>144</v>
      </c>
      <c r="AV13" s="12" t="s">
        <v>51</v>
      </c>
    </row>
    <row r="14" s="12" customFormat="1" ht="18" customHeight="1" spans="1:48">
      <c r="A14" s="36">
        <v>11</v>
      </c>
      <c r="B14" s="37" t="s">
        <v>194</v>
      </c>
      <c r="C14" s="37" t="s">
        <v>123</v>
      </c>
      <c r="D14" s="37" t="s">
        <v>195</v>
      </c>
      <c r="E14" s="381" t="s">
        <v>124</v>
      </c>
      <c r="F14" s="38" t="s">
        <v>196</v>
      </c>
      <c r="G14" s="41">
        <v>18326897140</v>
      </c>
      <c r="H14" s="40"/>
      <c r="I14" s="40"/>
      <c r="J14" s="70"/>
      <c r="K14" s="40"/>
      <c r="L14" s="73">
        <v>4400</v>
      </c>
      <c r="M14" s="72">
        <v>306.56</v>
      </c>
      <c r="N14" s="72">
        <v>82.64</v>
      </c>
      <c r="O14" s="72">
        <v>19.16</v>
      </c>
      <c r="P14" s="72">
        <v>346</v>
      </c>
      <c r="Q14" s="91">
        <f t="shared" si="10"/>
        <v>754.36</v>
      </c>
      <c r="R14" s="73">
        <v>0</v>
      </c>
      <c r="S14" s="92">
        <f>L14+IFERROR(VLOOKUP($E:$E,'（居民）工资表-1月'!$E:$S,15,0),0)</f>
        <v>8800</v>
      </c>
      <c r="T14" s="93">
        <f>5000+IFERROR(VLOOKUP($E:$E,'（居民）工资表-1月'!$E:$T,16,0),0)</f>
        <v>10000</v>
      </c>
      <c r="U14" s="93">
        <f>Q14+IFERROR(VLOOKUP($E:$E,'（居民）工资表-1月'!$E:$U,17,0),0)</f>
        <v>1289.93</v>
      </c>
      <c r="V14" s="125"/>
      <c r="W14" s="125"/>
      <c r="X14" s="125"/>
      <c r="Y14" s="125"/>
      <c r="Z14" s="125"/>
      <c r="AA14" s="125"/>
      <c r="AB14" s="92">
        <f t="shared" si="11"/>
        <v>0</v>
      </c>
      <c r="AC14" s="92">
        <f>R14+IFERROR(VLOOKUP($E:$E,'（居民）工资表-1月'!$E:$AC,25,0),0)</f>
        <v>0</v>
      </c>
      <c r="AD14" s="97">
        <f t="shared" si="12"/>
        <v>-2489.93</v>
      </c>
      <c r="AE14" s="98">
        <f>ROUND(MAX((AD14)*{0.03;0.1;0.2;0.25;0.3;0.35;0.45}-{0;2520;16920;31920;52920;85920;181920},0),2)</f>
        <v>0</v>
      </c>
      <c r="AF14" s="99">
        <f>IFERROR(VLOOKUP(E:E,'（居民）工资表-1月'!E:AF,28,0)+VLOOKUP(E:E,'（居民）工资表-1月'!E:AG,29,0),0)</f>
        <v>0</v>
      </c>
      <c r="AG14" s="99">
        <f t="shared" si="13"/>
        <v>0</v>
      </c>
      <c r="AH14" s="109">
        <f t="shared" si="14"/>
        <v>3645.64</v>
      </c>
      <c r="AI14" s="110"/>
      <c r="AJ14" s="109">
        <f t="shared" si="15"/>
        <v>3645.64</v>
      </c>
      <c r="AK14" s="111"/>
      <c r="AL14" s="109">
        <f t="shared" si="16"/>
        <v>3645.64</v>
      </c>
      <c r="AM14" s="111"/>
      <c r="AN14" s="111"/>
      <c r="AO14" s="111"/>
      <c r="AP14" s="111"/>
      <c r="AQ14" s="111"/>
      <c r="AR14" s="118" t="str">
        <f t="shared" si="17"/>
        <v>正确</v>
      </c>
      <c r="AS14" s="118" t="str">
        <f t="shared" si="18"/>
        <v>不</v>
      </c>
      <c r="AT14" s="118" t="str">
        <f t="shared" si="19"/>
        <v>重复</v>
      </c>
      <c r="AU14" s="12" t="s">
        <v>144</v>
      </c>
      <c r="AV14" s="12" t="s">
        <v>51</v>
      </c>
    </row>
    <row r="15" s="12" customFormat="1" ht="18" customHeight="1" spans="1:48">
      <c r="A15" s="36">
        <v>12</v>
      </c>
      <c r="B15" s="37" t="s">
        <v>194</v>
      </c>
      <c r="C15" s="37" t="s">
        <v>121</v>
      </c>
      <c r="D15" s="37" t="s">
        <v>195</v>
      </c>
      <c r="E15" s="381" t="s">
        <v>122</v>
      </c>
      <c r="F15" s="38" t="s">
        <v>196</v>
      </c>
      <c r="G15" s="41">
        <v>17201857014</v>
      </c>
      <c r="H15" s="40"/>
      <c r="I15" s="40"/>
      <c r="J15" s="70"/>
      <c r="K15" s="40"/>
      <c r="L15" s="73">
        <v>4400</v>
      </c>
      <c r="M15" s="72">
        <v>306.56</v>
      </c>
      <c r="N15" s="72">
        <v>82.64</v>
      </c>
      <c r="O15" s="72">
        <v>19.16</v>
      </c>
      <c r="P15" s="72">
        <v>346</v>
      </c>
      <c r="Q15" s="91">
        <f t="shared" si="10"/>
        <v>754.36</v>
      </c>
      <c r="R15" s="73">
        <v>0</v>
      </c>
      <c r="S15" s="92">
        <f>L15+IFERROR(VLOOKUP($E:$E,'（居民）工资表-1月'!$E:$S,15,0),0)</f>
        <v>8800</v>
      </c>
      <c r="T15" s="93">
        <f>5000+IFERROR(VLOOKUP($E:$E,'（居民）工资表-1月'!$E:$T,16,0),0)</f>
        <v>10000</v>
      </c>
      <c r="U15" s="93">
        <f>Q15+IFERROR(VLOOKUP($E:$E,'（居民）工资表-1月'!$E:$U,17,0),0)</f>
        <v>1289.93</v>
      </c>
      <c r="V15" s="125"/>
      <c r="W15" s="125"/>
      <c r="X15" s="125"/>
      <c r="Y15" s="125"/>
      <c r="Z15" s="125"/>
      <c r="AA15" s="125"/>
      <c r="AB15" s="92">
        <f t="shared" si="11"/>
        <v>0</v>
      </c>
      <c r="AC15" s="92">
        <f>R15+IFERROR(VLOOKUP($E:$E,'（居民）工资表-1月'!$E:$AC,25,0),0)</f>
        <v>0</v>
      </c>
      <c r="AD15" s="97">
        <f t="shared" si="12"/>
        <v>-2489.93</v>
      </c>
      <c r="AE15" s="98">
        <f>ROUND(MAX((AD15)*{0.03;0.1;0.2;0.25;0.3;0.35;0.45}-{0;2520;16920;31920;52920;85920;181920},0),2)</f>
        <v>0</v>
      </c>
      <c r="AF15" s="99">
        <f>IFERROR(VLOOKUP(E:E,'（居民）工资表-1月'!E:AF,28,0)+VLOOKUP(E:E,'（居民）工资表-1月'!E:AG,29,0),0)</f>
        <v>0</v>
      </c>
      <c r="AG15" s="99">
        <f t="shared" si="13"/>
        <v>0</v>
      </c>
      <c r="AH15" s="109">
        <f t="shared" si="14"/>
        <v>3645.64</v>
      </c>
      <c r="AI15" s="110"/>
      <c r="AJ15" s="109">
        <f t="shared" si="15"/>
        <v>3645.64</v>
      </c>
      <c r="AK15" s="111"/>
      <c r="AL15" s="109">
        <f t="shared" si="16"/>
        <v>3645.64</v>
      </c>
      <c r="AM15" s="111"/>
      <c r="AN15" s="111"/>
      <c r="AO15" s="111"/>
      <c r="AP15" s="111"/>
      <c r="AQ15" s="111"/>
      <c r="AR15" s="118" t="str">
        <f t="shared" si="17"/>
        <v>正确</v>
      </c>
      <c r="AS15" s="118" t="str">
        <f t="shared" si="18"/>
        <v>不</v>
      </c>
      <c r="AT15" s="118" t="str">
        <f t="shared" si="19"/>
        <v>重复</v>
      </c>
      <c r="AU15" s="12" t="s">
        <v>144</v>
      </c>
      <c r="AV15" s="12" t="s">
        <v>51</v>
      </c>
    </row>
    <row r="16" s="12" customFormat="1" ht="18" customHeight="1" spans="1:48">
      <c r="A16" s="36">
        <v>13</v>
      </c>
      <c r="B16" s="37" t="s">
        <v>194</v>
      </c>
      <c r="C16" s="37" t="s">
        <v>126</v>
      </c>
      <c r="D16" s="37" t="s">
        <v>195</v>
      </c>
      <c r="E16" s="381" t="s">
        <v>127</v>
      </c>
      <c r="F16" s="38" t="s">
        <v>198</v>
      </c>
      <c r="G16" s="41" t="s">
        <v>207</v>
      </c>
      <c r="H16" s="40"/>
      <c r="I16" s="40"/>
      <c r="J16" s="70"/>
      <c r="K16" s="40"/>
      <c r="L16" s="73">
        <v>5600</v>
      </c>
      <c r="M16" s="72">
        <v>306.56</v>
      </c>
      <c r="N16" s="72">
        <v>112.49</v>
      </c>
      <c r="O16" s="72">
        <v>19.16</v>
      </c>
      <c r="P16" s="72">
        <v>75</v>
      </c>
      <c r="Q16" s="91">
        <f t="shared" si="10"/>
        <v>513.21</v>
      </c>
      <c r="R16" s="73">
        <v>0</v>
      </c>
      <c r="S16" s="92">
        <f>L16+IFERROR(VLOOKUP($E:$E,'（居民）工资表-1月'!$E:$S,15,0),0)</f>
        <v>11200</v>
      </c>
      <c r="T16" s="93">
        <f>5000+IFERROR(VLOOKUP($E:$E,'（居民）工资表-1月'!$E:$T,16,0),0)</f>
        <v>10000</v>
      </c>
      <c r="U16" s="93">
        <f>Q16+IFERROR(VLOOKUP($E:$E,'（居民）工资表-1月'!$E:$U,17,0),0)</f>
        <v>1042.5</v>
      </c>
      <c r="V16" s="125"/>
      <c r="W16" s="125"/>
      <c r="X16" s="125"/>
      <c r="Y16" s="125"/>
      <c r="Z16" s="125"/>
      <c r="AA16" s="125"/>
      <c r="AB16" s="92">
        <f t="shared" si="11"/>
        <v>0</v>
      </c>
      <c r="AC16" s="92">
        <f>R16+IFERROR(VLOOKUP($E:$E,'（居民）工资表-1月'!$E:$AC,25,0),0)</f>
        <v>0</v>
      </c>
      <c r="AD16" s="97">
        <f t="shared" si="12"/>
        <v>157.5</v>
      </c>
      <c r="AE16" s="98">
        <f>ROUND(MAX((AD16)*{0.03;0.1;0.2;0.25;0.3;0.35;0.45}-{0;2520;16920;31920;52920;85920;181920},0),2)</f>
        <v>4.73</v>
      </c>
      <c r="AF16" s="99">
        <f>IFERROR(VLOOKUP(E:E,'（居民）工资表-1月'!E:AF,28,0)+VLOOKUP(E:E,'（居民）工资表-1月'!E:AG,29,0),0)</f>
        <v>2.12</v>
      </c>
      <c r="AG16" s="99">
        <f t="shared" si="13"/>
        <v>2.61</v>
      </c>
      <c r="AH16" s="109">
        <f t="shared" si="14"/>
        <v>5084.18</v>
      </c>
      <c r="AI16" s="110"/>
      <c r="AJ16" s="109">
        <f t="shared" si="15"/>
        <v>5084.18</v>
      </c>
      <c r="AK16" s="111"/>
      <c r="AL16" s="109">
        <f t="shared" si="16"/>
        <v>5086.79</v>
      </c>
      <c r="AM16" s="111"/>
      <c r="AN16" s="111"/>
      <c r="AO16" s="111"/>
      <c r="AP16" s="111"/>
      <c r="AQ16" s="111"/>
      <c r="AR16" s="118" t="str">
        <f t="shared" si="17"/>
        <v>正确</v>
      </c>
      <c r="AS16" s="118" t="str">
        <f t="shared" si="18"/>
        <v>不</v>
      </c>
      <c r="AT16" s="118" t="str">
        <f t="shared" si="19"/>
        <v>重复</v>
      </c>
      <c r="AU16" s="12" t="s">
        <v>144</v>
      </c>
      <c r="AV16" s="12" t="s">
        <v>51</v>
      </c>
    </row>
    <row r="17" s="12" customFormat="1" ht="18" customHeight="1" spans="1:48">
      <c r="A17" s="36">
        <v>14</v>
      </c>
      <c r="B17" s="37" t="s">
        <v>194</v>
      </c>
      <c r="C17" s="37" t="s">
        <v>115</v>
      </c>
      <c r="D17" s="37" t="s">
        <v>195</v>
      </c>
      <c r="E17" s="381" t="s">
        <v>116</v>
      </c>
      <c r="F17" s="38" t="s">
        <v>198</v>
      </c>
      <c r="G17" s="41">
        <v>15855788591</v>
      </c>
      <c r="H17" s="40"/>
      <c r="I17" s="40"/>
      <c r="J17" s="70"/>
      <c r="K17" s="40"/>
      <c r="L17" s="73">
        <v>4860</v>
      </c>
      <c r="M17" s="72">
        <v>306.56</v>
      </c>
      <c r="N17" s="72">
        <v>84.64</v>
      </c>
      <c r="O17" s="72">
        <v>19.16</v>
      </c>
      <c r="P17" s="72">
        <v>75</v>
      </c>
      <c r="Q17" s="91">
        <f t="shared" si="10"/>
        <v>485.36</v>
      </c>
      <c r="R17" s="73">
        <v>0</v>
      </c>
      <c r="S17" s="92">
        <f>L17+IFERROR(VLOOKUP($E:$E,'（居民）工资表-1月'!$E:$S,15,0),0)</f>
        <v>9240</v>
      </c>
      <c r="T17" s="93">
        <f>5000+IFERROR(VLOOKUP($E:$E,'（居民）工资表-1月'!$E:$T,16,0),0)</f>
        <v>10000</v>
      </c>
      <c r="U17" s="93">
        <f>Q17+IFERROR(VLOOKUP($E:$E,'（居民）工资表-1月'!$E:$U,17,0),0)</f>
        <v>1456.08</v>
      </c>
      <c r="V17" s="125"/>
      <c r="W17" s="125"/>
      <c r="X17" s="125"/>
      <c r="Y17" s="125"/>
      <c r="Z17" s="125"/>
      <c r="AA17" s="125"/>
      <c r="AB17" s="92">
        <f t="shared" si="11"/>
        <v>0</v>
      </c>
      <c r="AC17" s="92">
        <f>R17+IFERROR(VLOOKUP($E:$E,'（居民）工资表-1月'!$E:$AC,25,0),0)</f>
        <v>0</v>
      </c>
      <c r="AD17" s="97">
        <f t="shared" si="12"/>
        <v>-2216.08</v>
      </c>
      <c r="AE17" s="98">
        <f>ROUND(MAX((AD17)*{0.03;0.1;0.2;0.25;0.3;0.35;0.45}-{0;2520;16920;31920;52920;85920;181920},0),2)</f>
        <v>0</v>
      </c>
      <c r="AF17" s="99">
        <f>IFERROR(VLOOKUP(E:E,'（居民）工资表-1月'!E:AF,28,0)+VLOOKUP(E:E,'（居民）工资表-1月'!E:AG,29,0),0)</f>
        <v>0</v>
      </c>
      <c r="AG17" s="99">
        <f t="shared" si="13"/>
        <v>0</v>
      </c>
      <c r="AH17" s="109">
        <f t="shared" si="14"/>
        <v>4374.64</v>
      </c>
      <c r="AI17" s="110"/>
      <c r="AJ17" s="109">
        <f t="shared" si="15"/>
        <v>4374.64</v>
      </c>
      <c r="AK17" s="111"/>
      <c r="AL17" s="109">
        <f t="shared" si="16"/>
        <v>4374.64</v>
      </c>
      <c r="AM17" s="111"/>
      <c r="AN17" s="111"/>
      <c r="AO17" s="111"/>
      <c r="AP17" s="111"/>
      <c r="AQ17" s="111"/>
      <c r="AR17" s="118" t="str">
        <f t="shared" si="17"/>
        <v>正确</v>
      </c>
      <c r="AS17" s="118" t="str">
        <f t="shared" si="18"/>
        <v>不</v>
      </c>
      <c r="AT17" s="118" t="str">
        <f t="shared" si="19"/>
        <v>重复</v>
      </c>
      <c r="AU17" s="12" t="s">
        <v>144</v>
      </c>
      <c r="AV17" s="12" t="s">
        <v>51</v>
      </c>
    </row>
    <row r="18" s="12" customFormat="1" ht="18" customHeight="1" spans="1:48">
      <c r="A18" s="36">
        <v>15</v>
      </c>
      <c r="B18" s="37" t="s">
        <v>194</v>
      </c>
      <c r="C18" s="37" t="s">
        <v>142</v>
      </c>
      <c r="D18" s="37" t="s">
        <v>195</v>
      </c>
      <c r="E18" s="381" t="s">
        <v>143</v>
      </c>
      <c r="F18" s="38" t="s">
        <v>198</v>
      </c>
      <c r="G18" s="41">
        <v>13873717760</v>
      </c>
      <c r="H18" s="40"/>
      <c r="I18" s="40"/>
      <c r="J18" s="70"/>
      <c r="K18" s="40"/>
      <c r="L18" s="73">
        <v>5260</v>
      </c>
      <c r="M18" s="72">
        <v>286.88</v>
      </c>
      <c r="N18" s="72">
        <v>71.72</v>
      </c>
      <c r="O18" s="72">
        <v>10.76</v>
      </c>
      <c r="P18" s="72">
        <v>175</v>
      </c>
      <c r="Q18" s="91">
        <f t="shared" si="10"/>
        <v>544.36</v>
      </c>
      <c r="R18" s="73">
        <v>0</v>
      </c>
      <c r="S18" s="92">
        <f>L18+IFERROR(VLOOKUP($E:$E,'（居民）工资表-1月'!$E:$S,15,0),0)</f>
        <v>6560</v>
      </c>
      <c r="T18" s="93">
        <f>5000+IFERROR(VLOOKUP($E:$E,'（居民）工资表-1月'!$E:$T,16,0),0)</f>
        <v>10000</v>
      </c>
      <c r="U18" s="93">
        <f>Q18+IFERROR(VLOOKUP($E:$E,'（居民）工资表-1月'!$E:$U,17,0),0)</f>
        <v>1653.08</v>
      </c>
      <c r="V18" s="125"/>
      <c r="W18" s="125"/>
      <c r="X18" s="125"/>
      <c r="Y18" s="125"/>
      <c r="Z18" s="125"/>
      <c r="AA18" s="125"/>
      <c r="AB18" s="92">
        <f t="shared" si="11"/>
        <v>0</v>
      </c>
      <c r="AC18" s="92">
        <f>R18+IFERROR(VLOOKUP($E:$E,'（居民）工资表-1月'!$E:$AC,25,0),0)</f>
        <v>0</v>
      </c>
      <c r="AD18" s="97">
        <f t="shared" si="12"/>
        <v>-5093.08</v>
      </c>
      <c r="AE18" s="98">
        <f>ROUND(MAX((AD18)*{0.03;0.1;0.2;0.25;0.3;0.35;0.45}-{0;2520;16920;31920;52920;85920;181920},0),2)</f>
        <v>0</v>
      </c>
      <c r="AF18" s="99">
        <f>IFERROR(VLOOKUP(E:E,'（居民）工资表-1月'!E:AF,28,0)+VLOOKUP(E:E,'（居民）工资表-1月'!E:AG,29,0),0)</f>
        <v>0</v>
      </c>
      <c r="AG18" s="99">
        <f t="shared" si="13"/>
        <v>0</v>
      </c>
      <c r="AH18" s="109">
        <f t="shared" si="14"/>
        <v>4715.64</v>
      </c>
      <c r="AI18" s="110"/>
      <c r="AJ18" s="109">
        <f t="shared" si="15"/>
        <v>4715.64</v>
      </c>
      <c r="AK18" s="111"/>
      <c r="AL18" s="109">
        <f t="shared" si="16"/>
        <v>4715.64</v>
      </c>
      <c r="AM18" s="111"/>
      <c r="AN18" s="111"/>
      <c r="AO18" s="111"/>
      <c r="AP18" s="111"/>
      <c r="AQ18" s="111"/>
      <c r="AR18" s="118" t="str">
        <f t="shared" si="17"/>
        <v>正确</v>
      </c>
      <c r="AS18" s="118" t="str">
        <f t="shared" si="18"/>
        <v>不</v>
      </c>
      <c r="AT18" s="118" t="str">
        <f t="shared" si="19"/>
        <v>重复</v>
      </c>
      <c r="AU18" s="12" t="s">
        <v>202</v>
      </c>
      <c r="AV18" s="12" t="s">
        <v>51</v>
      </c>
    </row>
    <row r="19" s="12" customFormat="1" ht="18" customHeight="1" spans="1:48">
      <c r="A19" s="36">
        <v>16</v>
      </c>
      <c r="B19" s="37" t="s">
        <v>194</v>
      </c>
      <c r="C19" s="37" t="s">
        <v>247</v>
      </c>
      <c r="D19" s="37" t="s">
        <v>195</v>
      </c>
      <c r="E19" s="37"/>
      <c r="F19" s="38" t="s">
        <v>198</v>
      </c>
      <c r="G19" s="41"/>
      <c r="H19" s="40"/>
      <c r="I19" s="40"/>
      <c r="J19" s="70"/>
      <c r="K19" s="40"/>
      <c r="L19" s="73">
        <v>10956.52</v>
      </c>
      <c r="M19" s="72">
        <v>564.48</v>
      </c>
      <c r="N19" s="72">
        <v>185.62</v>
      </c>
      <c r="O19" s="72">
        <v>35.28</v>
      </c>
      <c r="P19" s="72">
        <v>284</v>
      </c>
      <c r="Q19" s="91">
        <f t="shared" si="10"/>
        <v>1069.38</v>
      </c>
      <c r="R19" s="73">
        <v>0</v>
      </c>
      <c r="S19" s="92">
        <f>L19+IFERROR(VLOOKUP($E:$E,'（居民）工资表-1月'!$E:$S,15,0),0)</f>
        <v>10956.52</v>
      </c>
      <c r="T19" s="93">
        <f>5000+IFERROR(VLOOKUP($E:$E,'（居民）工资表-1月'!$E:$T,16,0),0)</f>
        <v>5000</v>
      </c>
      <c r="U19" s="93">
        <f>Q19+IFERROR(VLOOKUP($E:$E,'（居民）工资表-1月'!$E:$U,17,0),0)</f>
        <v>1069.38</v>
      </c>
      <c r="V19" s="125"/>
      <c r="W19" s="125"/>
      <c r="X19" s="125"/>
      <c r="Y19" s="125"/>
      <c r="Z19" s="125"/>
      <c r="AA19" s="125"/>
      <c r="AB19" s="92">
        <f t="shared" si="11"/>
        <v>0</v>
      </c>
      <c r="AC19" s="92">
        <f>R19+IFERROR(VLOOKUP($E:$E,'（居民）工资表-1月'!$E:$AC,25,0),0)</f>
        <v>0</v>
      </c>
      <c r="AD19" s="97">
        <f t="shared" si="12"/>
        <v>4887.14</v>
      </c>
      <c r="AE19" s="98">
        <f>ROUND(MAX((AD19)*{0.03;0.1;0.2;0.25;0.3;0.35;0.45}-{0;2520;16920;31920;52920;85920;181920},0),2)</f>
        <v>146.61</v>
      </c>
      <c r="AF19" s="99">
        <f>IFERROR(VLOOKUP(E:E,'（居民）工资表-1月'!E:AF,28,0)+VLOOKUP(E:E,'（居民）工资表-1月'!E:AG,29,0),0)</f>
        <v>0</v>
      </c>
      <c r="AG19" s="99">
        <f t="shared" si="13"/>
        <v>146.61</v>
      </c>
      <c r="AH19" s="109">
        <f t="shared" si="14"/>
        <v>9740.53</v>
      </c>
      <c r="AI19" s="110"/>
      <c r="AJ19" s="109">
        <f t="shared" si="15"/>
        <v>9740.53</v>
      </c>
      <c r="AK19" s="111"/>
      <c r="AL19" s="109">
        <f t="shared" si="16"/>
        <v>9887.14</v>
      </c>
      <c r="AM19" s="111"/>
      <c r="AN19" s="111"/>
      <c r="AO19" s="111"/>
      <c r="AP19" s="111"/>
      <c r="AQ19" s="111"/>
      <c r="AR19" s="118" t="str">
        <f t="shared" si="17"/>
        <v>未填写身份证号码</v>
      </c>
      <c r="AS19" s="118" t="str">
        <f>IF(SUMPRODUCT(N(E$1:E$8=E19))&gt;1,"重复","不")</f>
        <v>重复</v>
      </c>
      <c r="AT19" s="118" t="str">
        <f>IF(SUMPRODUCT(N(AO$1:AO$8=AO19))&gt;1,"重复","不")</f>
        <v>重复</v>
      </c>
      <c r="AU19" s="12" t="s">
        <v>248</v>
      </c>
      <c r="AV19" s="12" t="s">
        <v>51</v>
      </c>
    </row>
    <row r="20" s="12" customFormat="1" ht="18" customHeight="1" spans="1:46">
      <c r="A20" s="36"/>
      <c r="B20" s="37"/>
      <c r="C20" s="37"/>
      <c r="D20" s="37"/>
      <c r="E20" s="37"/>
      <c r="F20" s="38"/>
      <c r="G20" s="41"/>
      <c r="H20" s="40"/>
      <c r="I20" s="40"/>
      <c r="J20" s="70"/>
      <c r="K20" s="40"/>
      <c r="L20" s="73"/>
      <c r="M20" s="72"/>
      <c r="N20" s="72"/>
      <c r="O20" s="72"/>
      <c r="P20" s="72"/>
      <c r="Q20" s="91"/>
      <c r="R20" s="73"/>
      <c r="S20" s="92"/>
      <c r="T20" s="93"/>
      <c r="U20" s="93"/>
      <c r="V20" s="125"/>
      <c r="W20" s="125"/>
      <c r="X20" s="125"/>
      <c r="Y20" s="125"/>
      <c r="Z20" s="125"/>
      <c r="AA20" s="125"/>
      <c r="AB20" s="92"/>
      <c r="AC20" s="92"/>
      <c r="AD20" s="97"/>
      <c r="AE20" s="98"/>
      <c r="AF20" s="99"/>
      <c r="AG20" s="99"/>
      <c r="AH20" s="109"/>
      <c r="AI20" s="110"/>
      <c r="AJ20" s="109"/>
      <c r="AK20" s="111"/>
      <c r="AL20" s="109"/>
      <c r="AM20" s="111"/>
      <c r="AN20" s="111"/>
      <c r="AO20" s="111"/>
      <c r="AP20" s="111"/>
      <c r="AQ20" s="111"/>
      <c r="AR20" s="118"/>
      <c r="AS20" s="118"/>
      <c r="AT20" s="118"/>
    </row>
    <row r="21" s="13" customFormat="1" ht="18" customHeight="1" spans="1:46">
      <c r="A21" s="42"/>
      <c r="B21" s="43" t="s">
        <v>208</v>
      </c>
      <c r="C21" s="43"/>
      <c r="D21" s="44"/>
      <c r="E21" s="45"/>
      <c r="F21" s="46"/>
      <c r="G21" s="47"/>
      <c r="H21" s="46"/>
      <c r="I21" s="74"/>
      <c r="J21" s="75"/>
      <c r="K21" s="74"/>
      <c r="L21" s="76">
        <f>SUM(L4:L20)</f>
        <v>123495.32</v>
      </c>
      <c r="M21" s="76">
        <f t="shared" ref="M21:AL21" si="20">SUM(M4:M20)</f>
        <v>5504.74</v>
      </c>
      <c r="N21" s="76">
        <f t="shared" si="20"/>
        <v>1550.65</v>
      </c>
      <c r="O21" s="76">
        <f t="shared" si="20"/>
        <v>294.79</v>
      </c>
      <c r="P21" s="76">
        <f t="shared" si="20"/>
        <v>2669.3</v>
      </c>
      <c r="Q21" s="76">
        <f t="shared" si="20"/>
        <v>10019.48</v>
      </c>
      <c r="R21" s="76">
        <f t="shared" si="20"/>
        <v>0</v>
      </c>
      <c r="S21" s="76">
        <f t="shared" si="20"/>
        <v>231594.12</v>
      </c>
      <c r="T21" s="76">
        <f t="shared" si="20"/>
        <v>155000</v>
      </c>
      <c r="U21" s="76">
        <f t="shared" si="20"/>
        <v>19800.67</v>
      </c>
      <c r="V21" s="76">
        <f t="shared" si="20"/>
        <v>2000</v>
      </c>
      <c r="W21" s="76">
        <f t="shared" si="20"/>
        <v>0</v>
      </c>
      <c r="X21" s="76">
        <f t="shared" si="20"/>
        <v>2000</v>
      </c>
      <c r="Y21" s="76">
        <f t="shared" si="20"/>
        <v>0</v>
      </c>
      <c r="Z21" s="76">
        <f t="shared" si="20"/>
        <v>800</v>
      </c>
      <c r="AA21" s="76">
        <f t="shared" si="20"/>
        <v>0</v>
      </c>
      <c r="AB21" s="76">
        <f t="shared" si="20"/>
        <v>4800</v>
      </c>
      <c r="AC21" s="76">
        <f t="shared" si="20"/>
        <v>0</v>
      </c>
      <c r="AD21" s="76">
        <f t="shared" si="20"/>
        <v>51993.45</v>
      </c>
      <c r="AE21" s="76">
        <f t="shared" si="20"/>
        <v>2856.82</v>
      </c>
      <c r="AF21" s="76">
        <f t="shared" si="20"/>
        <v>918.23</v>
      </c>
      <c r="AG21" s="76">
        <f t="shared" si="20"/>
        <v>1938.59</v>
      </c>
      <c r="AH21" s="76">
        <f t="shared" si="20"/>
        <v>111537.25</v>
      </c>
      <c r="AI21" s="76">
        <f t="shared" si="20"/>
        <v>0</v>
      </c>
      <c r="AJ21" s="76">
        <f t="shared" si="20"/>
        <v>111537.25</v>
      </c>
      <c r="AK21" s="76">
        <f t="shared" si="20"/>
        <v>0</v>
      </c>
      <c r="AL21" s="76">
        <f t="shared" si="20"/>
        <v>113475.84</v>
      </c>
      <c r="AM21" s="112"/>
      <c r="AN21" s="112"/>
      <c r="AO21" s="112"/>
      <c r="AP21" s="112"/>
      <c r="AQ21" s="112"/>
      <c r="AR21" s="46"/>
      <c r="AS21" s="46"/>
      <c r="AT21" s="120"/>
    </row>
    <row r="22" spans="38:38">
      <c r="AL22" s="15">
        <v>31841.4778</v>
      </c>
    </row>
    <row r="24" spans="30:30">
      <c r="AD24" s="103"/>
    </row>
    <row r="25" ht="18.75" customHeight="1" spans="2:30">
      <c r="B25" s="48" t="s">
        <v>175</v>
      </c>
      <c r="C25" s="48" t="s">
        <v>209</v>
      </c>
      <c r="D25" s="48" t="s">
        <v>99</v>
      </c>
      <c r="E25" s="48" t="s">
        <v>23</v>
      </c>
      <c r="AD25" s="10"/>
    </row>
    <row r="26" ht="18.75" customHeight="1" spans="2:5">
      <c r="B26" s="49">
        <f>AJ21</f>
        <v>111537.25</v>
      </c>
      <c r="C26" s="49">
        <f>AG21</f>
        <v>1938.59</v>
      </c>
      <c r="D26" s="49">
        <f>AK21</f>
        <v>0</v>
      </c>
      <c r="E26" s="49">
        <f>B26+C26+D26</f>
        <v>113475.84</v>
      </c>
    </row>
    <row r="27" spans="2:5">
      <c r="B27" s="50"/>
      <c r="C27" s="50"/>
      <c r="D27" s="50"/>
      <c r="E27" s="50"/>
    </row>
    <row r="28" s="14" customFormat="1" spans="1:35">
      <c r="A28" s="52" t="s">
        <v>210</v>
      </c>
      <c r="B28" s="53" t="s">
        <v>211</v>
      </c>
      <c r="C28" s="51"/>
      <c r="D28" s="51"/>
      <c r="E28" s="51"/>
      <c r="G28" s="54"/>
      <c r="J28" s="77"/>
      <c r="M28" s="78"/>
      <c r="AI28" s="114"/>
    </row>
    <row r="29" s="14" customFormat="1" spans="1:35">
      <c r="A29" s="55"/>
      <c r="B29" s="56" t="s">
        <v>212</v>
      </c>
      <c r="C29" s="51"/>
      <c r="D29" s="51"/>
      <c r="E29" s="51"/>
      <c r="G29" s="54"/>
      <c r="J29" s="77"/>
      <c r="M29" s="78"/>
      <c r="AI29" s="114"/>
    </row>
    <row r="30" s="14" customFormat="1" spans="1:35">
      <c r="A30" s="53"/>
      <c r="B30" s="56" t="s">
        <v>213</v>
      </c>
      <c r="C30" s="57"/>
      <c r="D30" s="57"/>
      <c r="E30" s="57"/>
      <c r="F30" s="57"/>
      <c r="G30" s="57"/>
      <c r="H30" s="57"/>
      <c r="I30" s="57"/>
      <c r="J30" s="79"/>
      <c r="K30" s="57"/>
      <c r="L30" s="57"/>
      <c r="M30" s="80"/>
      <c r="N30" s="57"/>
      <c r="O30" s="57"/>
      <c r="P30" s="57"/>
      <c r="AI30" s="114"/>
    </row>
    <row r="31" s="14" customFormat="1" customHeight="1" spans="1:35">
      <c r="A31" s="56"/>
      <c r="B31" s="56" t="s">
        <v>214</v>
      </c>
      <c r="C31" s="58"/>
      <c r="D31" s="58"/>
      <c r="E31" s="58"/>
      <c r="F31" s="58"/>
      <c r="G31" s="58"/>
      <c r="H31" s="58"/>
      <c r="I31" s="81"/>
      <c r="J31" s="82"/>
      <c r="K31" s="81"/>
      <c r="L31" s="81"/>
      <c r="M31" s="83"/>
      <c r="N31" s="81"/>
      <c r="O31" s="81"/>
      <c r="P31" s="81"/>
      <c r="AI31" s="114"/>
    </row>
    <row r="32" s="14" customFormat="1" customHeight="1" spans="1:35">
      <c r="A32" s="56"/>
      <c r="B32" s="56" t="s">
        <v>215</v>
      </c>
      <c r="C32" s="58"/>
      <c r="D32" s="58"/>
      <c r="E32" s="58"/>
      <c r="F32" s="58"/>
      <c r="G32" s="58"/>
      <c r="H32" s="58"/>
      <c r="I32" s="58"/>
      <c r="J32" s="84"/>
      <c r="K32" s="58"/>
      <c r="L32" s="81"/>
      <c r="M32" s="83"/>
      <c r="N32" s="81"/>
      <c r="O32" s="81"/>
      <c r="P32" s="81"/>
      <c r="AI32" s="114"/>
    </row>
    <row r="33" s="14" customFormat="1" customHeight="1" spans="1:35">
      <c r="A33" s="56"/>
      <c r="B33" s="56" t="s">
        <v>216</v>
      </c>
      <c r="C33" s="58"/>
      <c r="D33" s="58"/>
      <c r="E33" s="58"/>
      <c r="F33" s="58"/>
      <c r="G33" s="58"/>
      <c r="H33" s="58"/>
      <c r="I33" s="81"/>
      <c r="J33" s="82"/>
      <c r="K33" s="81"/>
      <c r="L33" s="81"/>
      <c r="M33" s="83"/>
      <c r="N33" s="81"/>
      <c r="O33" s="81"/>
      <c r="P33" s="81"/>
      <c r="AI33" s="114"/>
    </row>
    <row r="35" ht="11.25" customHeight="1" spans="2:2">
      <c r="B35" s="59" t="s">
        <v>217</v>
      </c>
    </row>
    <row r="36" spans="2:2">
      <c r="B36" s="60" t="s">
        <v>218</v>
      </c>
    </row>
    <row r="37" spans="2:2">
      <c r="B37" s="60" t="s">
        <v>219</v>
      </c>
    </row>
  </sheetData>
  <autoFilter ref="A3:AT2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3">
    <cfRule type="duplicateValues" dxfId="3" priority="2" stopIfTrue="1"/>
  </conditionalFormatting>
  <conditionalFormatting sqref="B28:B32">
    <cfRule type="duplicateValues" dxfId="3" priority="3" stopIfTrue="1"/>
  </conditionalFormatting>
  <conditionalFormatting sqref="B36:B37">
    <cfRule type="duplicateValues" dxfId="3" priority="1" stopIfTrue="1"/>
  </conditionalFormatting>
  <conditionalFormatting sqref="C25:C27">
    <cfRule type="duplicateValues" dxfId="3" priority="4" stopIfTrue="1"/>
    <cfRule type="expression" dxfId="4" priority="5" stopIfTrue="1">
      <formula>AND(COUNTIF($B$21:$B$65457,C25)+COUNTIF($B$1:$B$3,C25)&gt;1,NOT(ISBLANK(C25)))</formula>
    </cfRule>
    <cfRule type="expression" dxfId="4" priority="6" stopIfTrue="1">
      <formula>AND(COUNTIF($B$32:$B$65408,C25)+COUNTIF($B$1:$B$31,C25)&gt;1,NOT(ISBLANK(C25)))</formula>
    </cfRule>
    <cfRule type="expression" dxfId="4" priority="7" stopIfTrue="1">
      <formula>AND(COUNTIF($B$21:$B$65446,C25)+COUNTIF($B$1:$B$3,C25)&gt;1,NOT(ISBLANK(C25)))</formula>
    </cfRule>
  </conditionalFormatting>
  <pageMargins left="0.235416666666667" right="0.235416666666667" top="0.747916666666667" bottom="0.747916666666667" header="0.313888888888889" footer="0.313888888888889"/>
  <pageSetup paperSize="9" scale="40" fitToWidth="2"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50"/>
    <pageSetUpPr fitToPage="1"/>
  </sheetPr>
  <dimension ref="A1:AV37"/>
  <sheetViews>
    <sheetView workbookViewId="0">
      <pane xSplit="6" ySplit="3" topLeftCell="AE4" activePane="bottomRight" state="frozen"/>
      <selection/>
      <selection pane="topRight"/>
      <selection pane="bottomLeft"/>
      <selection pane="bottomRight" activeCell="V14" sqref="V1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7">
      <c r="A4" s="36">
        <v>1</v>
      </c>
      <c r="B4" s="37" t="s">
        <v>194</v>
      </c>
      <c r="C4" s="37" t="s">
        <v>43</v>
      </c>
      <c r="D4" s="37" t="s">
        <v>195</v>
      </c>
      <c r="E4" s="37" t="s">
        <v>44</v>
      </c>
      <c r="F4" s="38" t="s">
        <v>196</v>
      </c>
      <c r="G4" s="41">
        <v>18035163638</v>
      </c>
      <c r="H4" s="40"/>
      <c r="I4" s="40"/>
      <c r="J4" s="70"/>
      <c r="K4" s="40"/>
      <c r="L4" s="73">
        <f>545.44+4295.45</f>
        <v>4840.89</v>
      </c>
      <c r="M4" s="72"/>
      <c r="N4" s="72"/>
      <c r="O4" s="72"/>
      <c r="P4" s="72"/>
      <c r="Q4" s="91">
        <f>ROUND(SUM(M4:P4),2)</f>
        <v>0</v>
      </c>
      <c r="R4" s="73">
        <v>0</v>
      </c>
      <c r="S4" s="92">
        <f>L4+IFERROR(VLOOKUP($E:$E,'（居民）工资表-2月'!$E:$S,15,0),0)</f>
        <v>25960.89</v>
      </c>
      <c r="T4" s="93">
        <f>5000+IFERROR(VLOOKUP($E:$E,'（居民）工资表-2月'!$E:$T,16,0),0)</f>
        <v>15000</v>
      </c>
      <c r="U4" s="93">
        <f>Q4+IFERROR(VLOOKUP($E:$E,'（居民）工资表-2月'!$E:$U,17,0),0)</f>
        <v>1090.88</v>
      </c>
      <c r="V4" s="73">
        <v>3000</v>
      </c>
      <c r="W4" s="73"/>
      <c r="X4" s="73">
        <v>3000</v>
      </c>
      <c r="Y4" s="73"/>
      <c r="Z4" s="73">
        <v>1200</v>
      </c>
      <c r="AA4" s="73"/>
      <c r="AB4" s="92">
        <f>ROUND(SUM(V4:AA4),2)</f>
        <v>7200</v>
      </c>
      <c r="AC4" s="92">
        <f>R4+IFERROR(VLOOKUP($E:$E,'（居民）工资表-2月'!$E:$AC,25,0),0)</f>
        <v>0</v>
      </c>
      <c r="AD4" s="97">
        <f>ROUND(S4-T4-U4-AB4-AC4,2)</f>
        <v>2670.01</v>
      </c>
      <c r="AE4" s="98">
        <f>ROUND(MAX((AD4)*{0.03;0.1;0.2;0.25;0.3;0.35;0.45}-{0;2520;16920;31920;52920;85920;181920},0),2)</f>
        <v>80.1</v>
      </c>
      <c r="AF4" s="99">
        <f>IFERROR(VLOOKUP(E:E,'（居民）工资表-2月'!E:AF,28,0)+VLOOKUP(E:E,'（居民）工资表-2月'!E:AG,29,0),0)</f>
        <v>156.87</v>
      </c>
      <c r="AG4" s="99">
        <f>IF((AE4-AF4)&lt;0,0,AE4-AF4)</f>
        <v>0</v>
      </c>
      <c r="AH4" s="109">
        <f>ROUND(IF((L4-Q4-AG4)&lt;0,0,(L4-Q4-AG4)),2)</f>
        <v>4840.89</v>
      </c>
      <c r="AI4" s="110"/>
      <c r="AJ4" s="109">
        <f>AH4+AI4</f>
        <v>4840.89</v>
      </c>
      <c r="AK4" s="111"/>
      <c r="AL4" s="109">
        <f>AJ4+AG4+AK4</f>
        <v>4840.89</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IF(SUMPRODUCT(N(E$1:E$5=E4))&gt;1,"重复","不")</f>
        <v>不</v>
      </c>
      <c r="AT4" s="118" t="str">
        <f>IF(SUMPRODUCT(N(AO$1:AO$5=AO4))&gt;1,"重复","不")</f>
        <v>重复</v>
      </c>
      <c r="AU4" s="12">
        <v>0</v>
      </c>
    </row>
    <row r="5" s="12" customFormat="1" ht="18" customHeight="1" spans="1:48">
      <c r="A5" s="36">
        <v>2</v>
      </c>
      <c r="B5" s="37" t="s">
        <v>194</v>
      </c>
      <c r="C5" s="37" t="s">
        <v>61</v>
      </c>
      <c r="D5" s="37" t="s">
        <v>195</v>
      </c>
      <c r="E5" s="37" t="s">
        <v>62</v>
      </c>
      <c r="F5" s="38" t="s">
        <v>196</v>
      </c>
      <c r="G5" s="41">
        <v>13944441728</v>
      </c>
      <c r="H5" s="40"/>
      <c r="I5" s="40"/>
      <c r="J5" s="70"/>
      <c r="K5" s="40"/>
      <c r="L5" s="73">
        <v>8000</v>
      </c>
      <c r="M5" s="72">
        <v>296.26</v>
      </c>
      <c r="N5" s="72">
        <v>172.62</v>
      </c>
      <c r="O5" s="72">
        <v>11.11</v>
      </c>
      <c r="P5" s="72">
        <v>82</v>
      </c>
      <c r="Q5" s="91">
        <f>ROUND(SUM(M5:P5),2)</f>
        <v>561.99</v>
      </c>
      <c r="R5" s="73">
        <v>0</v>
      </c>
      <c r="S5" s="92">
        <f>L5+IFERROR(VLOOKUP($E:$E,'（居民）工资表-2月'!$E:$S,15,0),0)</f>
        <v>22000</v>
      </c>
      <c r="T5" s="93">
        <f>5000+IFERROR(VLOOKUP($E:$E,'（居民）工资表-2月'!$E:$T,16,0),0)</f>
        <v>15000</v>
      </c>
      <c r="U5" s="93">
        <f>Q5+IFERROR(VLOOKUP($E:$E,'（居民）工资表-2月'!$E:$U,17,0),0)</f>
        <v>1512.22</v>
      </c>
      <c r="V5" s="73"/>
      <c r="W5" s="73"/>
      <c r="X5" s="73"/>
      <c r="Y5" s="73"/>
      <c r="Z5" s="73"/>
      <c r="AA5" s="73"/>
      <c r="AB5" s="92">
        <f>ROUND(SUM(V5:AA5),2)</f>
        <v>0</v>
      </c>
      <c r="AC5" s="92">
        <f>R5+IFERROR(VLOOKUP($E:$E,'（居民）工资表-2月'!$E:$AC,25,0),0)</f>
        <v>0</v>
      </c>
      <c r="AD5" s="97">
        <f>ROUND(S5-T5-U5-AB5-AC5,2)</f>
        <v>5487.78</v>
      </c>
      <c r="AE5" s="98">
        <f>ROUND(MAX((AD5)*{0.03;0.1;0.2;0.25;0.3;0.35;0.45}-{0;2520;16920;31920;52920;85920;181920},0),2)</f>
        <v>164.63</v>
      </c>
      <c r="AF5" s="99">
        <f>IFERROR(VLOOKUP(E:E,'（居民）工资表-2月'!E:AF,28,0)+VLOOKUP(E:E,'（居民）工资表-2月'!E:AG,29,0),0)</f>
        <v>91.49</v>
      </c>
      <c r="AG5" s="99">
        <f>IF((AE5-AF5)&lt;0,0,AE5-AF5)</f>
        <v>73.14</v>
      </c>
      <c r="AH5" s="109">
        <f>ROUND(IF((L5-Q5-AG5)&lt;0,0,(L5-Q5-AG5)),2)</f>
        <v>7364.87</v>
      </c>
      <c r="AI5" s="110"/>
      <c r="AJ5" s="109">
        <f>AH5+AI5</f>
        <v>7364.87</v>
      </c>
      <c r="AK5" s="111"/>
      <c r="AL5" s="109">
        <f>AJ5+AG5+AK5</f>
        <v>7438.01</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IF(SUMPRODUCT(N(E$1:E$5=E5))&gt;1,"重复","不")</f>
        <v>不</v>
      </c>
      <c r="AT5" s="118" t="str">
        <f>IF(SUMPRODUCT(N(AO$1:AO$5=AO5))&gt;1,"重复","不")</f>
        <v>重复</v>
      </c>
      <c r="AU5" s="12" t="s">
        <v>197</v>
      </c>
      <c r="AV5" s="12" t="s">
        <v>51</v>
      </c>
    </row>
    <row r="6" s="12" customFormat="1" ht="18" customHeight="1" spans="1:48">
      <c r="A6" s="36">
        <v>3</v>
      </c>
      <c r="B6" s="37" t="s">
        <v>194</v>
      </c>
      <c r="C6" s="37" t="s">
        <v>101</v>
      </c>
      <c r="D6" s="37" t="s">
        <v>195</v>
      </c>
      <c r="E6" s="381" t="s">
        <v>102</v>
      </c>
      <c r="F6" s="38" t="s">
        <v>198</v>
      </c>
      <c r="G6" s="41">
        <v>15360550807</v>
      </c>
      <c r="H6" s="40"/>
      <c r="I6" s="40"/>
      <c r="J6" s="70"/>
      <c r="K6" s="40"/>
      <c r="L6" s="73">
        <v>5700</v>
      </c>
      <c r="M6" s="72">
        <v>367.04</v>
      </c>
      <c r="N6" s="72">
        <v>113.48</v>
      </c>
      <c r="O6" s="72">
        <v>4.6</v>
      </c>
      <c r="P6" s="72">
        <v>115</v>
      </c>
      <c r="Q6" s="91">
        <f t="shared" ref="Q6:Q12" si="0">ROUND(SUM(M6:P6),2)</f>
        <v>600.12</v>
      </c>
      <c r="R6" s="73">
        <v>0</v>
      </c>
      <c r="S6" s="92">
        <f>L6+IFERROR(VLOOKUP($E:$E,'（居民）工资表-2月'!$E:$S,15,0),0)</f>
        <v>17100</v>
      </c>
      <c r="T6" s="93">
        <f>5000+IFERROR(VLOOKUP($E:$E,'（居民）工资表-2月'!$E:$T,16,0),0)</f>
        <v>15000</v>
      </c>
      <c r="U6" s="93">
        <f>Q6+IFERROR(VLOOKUP($E:$E,'（居民）工资表-2月'!$E:$U,17,0),0)</f>
        <v>1800.36</v>
      </c>
      <c r="V6" s="73"/>
      <c r="W6" s="73"/>
      <c r="X6" s="73"/>
      <c r="Y6" s="73"/>
      <c r="Z6" s="73"/>
      <c r="AA6" s="73"/>
      <c r="AB6" s="92">
        <f t="shared" ref="AB6:AB12" si="1">ROUND(SUM(V6:AA6),2)</f>
        <v>0</v>
      </c>
      <c r="AC6" s="92">
        <f>R6+IFERROR(VLOOKUP($E:$E,'（居民）工资表-2月'!$E:$AC,25,0),0)</f>
        <v>0</v>
      </c>
      <c r="AD6" s="97">
        <f t="shared" ref="AD6:AD12" si="2">ROUND(S6-T6-U6-AB6-AC6,2)</f>
        <v>299.64</v>
      </c>
      <c r="AE6" s="98">
        <f>ROUND(MAX((AD6)*{0.03;0.1;0.2;0.25;0.3;0.35;0.45}-{0;2520;16920;31920;52920;85920;181920},0),2)</f>
        <v>8.99</v>
      </c>
      <c r="AF6" s="99">
        <f>IFERROR(VLOOKUP(E:E,'（居民）工资表-2月'!E:AF,28,0)+VLOOKUP(E:E,'（居民）工资表-2月'!E:AG,29,0),0)</f>
        <v>5.99</v>
      </c>
      <c r="AG6" s="99">
        <f t="shared" ref="AG6:AG12" si="3">IF((AE6-AF6)&lt;0,0,AE6-AF6)</f>
        <v>3</v>
      </c>
      <c r="AH6" s="109">
        <f t="shared" ref="AH6:AH12" si="4">ROUND(IF((L6-Q6-AG6)&lt;0,0,(L6-Q6-AG6)),2)</f>
        <v>5096.88</v>
      </c>
      <c r="AI6" s="110"/>
      <c r="AJ6" s="109">
        <f t="shared" ref="AJ6:AJ12" si="5">AH6+AI6</f>
        <v>5096.88</v>
      </c>
      <c r="AK6" s="111"/>
      <c r="AL6" s="109">
        <f t="shared" ref="AL6:AL12" si="6">AJ6+AG6+AK6</f>
        <v>5099.88</v>
      </c>
      <c r="AM6" s="111"/>
      <c r="AN6" s="111"/>
      <c r="AO6" s="111"/>
      <c r="AP6" s="111"/>
      <c r="AQ6" s="111"/>
      <c r="AR6" s="118"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 t="shared" ref="AS6:AS12" si="8">IF(SUMPRODUCT(N(E$1:E$5=E6))&gt;1,"重复","不")</f>
        <v>不</v>
      </c>
      <c r="AT6" s="118" t="str">
        <f t="shared" ref="AT6:AT12" si="9">IF(SUMPRODUCT(N(AO$1:AO$5=AO6))&gt;1,"重复","不")</f>
        <v>重复</v>
      </c>
      <c r="AU6" s="12" t="s">
        <v>50</v>
      </c>
      <c r="AV6" s="12" t="s">
        <v>51</v>
      </c>
    </row>
    <row r="7" s="12" customFormat="1" ht="18" customHeight="1" spans="1:47">
      <c r="A7" s="36">
        <v>4</v>
      </c>
      <c r="B7" s="37" t="s">
        <v>194</v>
      </c>
      <c r="C7" s="37" t="s">
        <v>108</v>
      </c>
      <c r="D7" s="37" t="s">
        <v>195</v>
      </c>
      <c r="E7" s="381" t="s">
        <v>109</v>
      </c>
      <c r="F7" s="38" t="s">
        <v>196</v>
      </c>
      <c r="G7" s="41" t="s">
        <v>199</v>
      </c>
      <c r="H7" s="40"/>
      <c r="I7" s="40"/>
      <c r="J7" s="70"/>
      <c r="K7" s="40"/>
      <c r="L7" s="73">
        <v>30060</v>
      </c>
      <c r="M7" s="72">
        <v>521.6</v>
      </c>
      <c r="N7" s="72">
        <v>130.4</v>
      </c>
      <c r="O7" s="72">
        <v>32.6</v>
      </c>
      <c r="P7" s="72">
        <v>181.3</v>
      </c>
      <c r="Q7" s="91">
        <f t="shared" si="0"/>
        <v>865.9</v>
      </c>
      <c r="R7" s="73">
        <v>0</v>
      </c>
      <c r="S7" s="92">
        <f>L7+IFERROR(VLOOKUP($E:$E,'（居民）工资表-2月'!$E:$S,15,0),0)</f>
        <v>90180</v>
      </c>
      <c r="T7" s="93">
        <f>5000+IFERROR(VLOOKUP($E:$E,'（居民）工资表-2月'!$E:$T,16,0),0)</f>
        <v>15000</v>
      </c>
      <c r="U7" s="93">
        <f>Q7+IFERROR(VLOOKUP($E:$E,'（居民）工资表-2月'!$E:$U,17,0),0)</f>
        <v>2597.7</v>
      </c>
      <c r="V7" s="73"/>
      <c r="W7" s="73"/>
      <c r="X7" s="73"/>
      <c r="Y7" s="73"/>
      <c r="Z7" s="73"/>
      <c r="AA7" s="73"/>
      <c r="AB7" s="92">
        <f t="shared" si="1"/>
        <v>0</v>
      </c>
      <c r="AC7" s="92">
        <f>R7+IFERROR(VLOOKUP($E:$E,'（居民）工资表-2月'!$E:$AC,25,0),0)</f>
        <v>0</v>
      </c>
      <c r="AD7" s="97">
        <f t="shared" si="2"/>
        <v>72582.3</v>
      </c>
      <c r="AE7" s="98">
        <f>ROUND(MAX((AD7)*{0.03;0.1;0.2;0.25;0.3;0.35;0.45}-{0;2520;16920;31920;52920;85920;181920},0),2)</f>
        <v>4738.23</v>
      </c>
      <c r="AF7" s="99">
        <f>IFERROR(VLOOKUP(E:E,'（居民）工资表-2月'!E:AF,28,0)+VLOOKUP(E:E,'（居民）工资表-2月'!E:AG,29,0),0)</f>
        <v>2318.82</v>
      </c>
      <c r="AG7" s="99">
        <f t="shared" si="3"/>
        <v>2419.41</v>
      </c>
      <c r="AH7" s="109">
        <f t="shared" si="4"/>
        <v>26774.69</v>
      </c>
      <c r="AI7" s="110"/>
      <c r="AJ7" s="109">
        <f t="shared" si="5"/>
        <v>26774.69</v>
      </c>
      <c r="AK7" s="111"/>
      <c r="AL7" s="109">
        <f t="shared" si="6"/>
        <v>29194.1</v>
      </c>
      <c r="AM7" s="111"/>
      <c r="AN7" s="111"/>
      <c r="AO7" s="111"/>
      <c r="AP7" s="111"/>
      <c r="AQ7" s="111"/>
      <c r="AR7" s="118" t="str">
        <f t="shared" si="7"/>
        <v>正确</v>
      </c>
      <c r="AS7" s="118" t="str">
        <f t="shared" si="8"/>
        <v>不</v>
      </c>
      <c r="AT7" s="118" t="str">
        <f t="shared" si="9"/>
        <v>重复</v>
      </c>
      <c r="AU7" s="12">
        <v>0</v>
      </c>
    </row>
    <row r="8" s="12" customFormat="1" ht="18" customHeight="1" spans="1:48">
      <c r="A8" s="36">
        <v>5</v>
      </c>
      <c r="B8" s="37" t="s">
        <v>194</v>
      </c>
      <c r="C8" s="37" t="s">
        <v>112</v>
      </c>
      <c r="D8" s="37" t="s">
        <v>195</v>
      </c>
      <c r="E8" s="381" t="s">
        <v>113</v>
      </c>
      <c r="F8" s="38" t="s">
        <v>196</v>
      </c>
      <c r="G8" s="41" t="s">
        <v>201</v>
      </c>
      <c r="H8" s="40"/>
      <c r="I8" s="40"/>
      <c r="J8" s="70"/>
      <c r="K8" s="40"/>
      <c r="L8" s="73">
        <v>7000</v>
      </c>
      <c r="M8" s="72">
        <v>306.56</v>
      </c>
      <c r="N8" s="72">
        <v>84.64</v>
      </c>
      <c r="O8" s="72">
        <v>19.16</v>
      </c>
      <c r="P8" s="72">
        <v>75</v>
      </c>
      <c r="Q8" s="91">
        <f t="shared" si="0"/>
        <v>485.36</v>
      </c>
      <c r="R8" s="73">
        <v>0</v>
      </c>
      <c r="S8" s="92">
        <f>L8+IFERROR(VLOOKUP($E:$E,'（居民）工资表-2月'!$E:$S,15,0),0)</f>
        <v>19000</v>
      </c>
      <c r="T8" s="93">
        <f>5000+IFERROR(VLOOKUP($E:$E,'（居民）工资表-2月'!$E:$T,16,0),0)</f>
        <v>15000</v>
      </c>
      <c r="U8" s="93">
        <f>Q8+IFERROR(VLOOKUP($E:$E,'（居民）工资表-2月'!$E:$U,17,0),0)</f>
        <v>1709.34</v>
      </c>
      <c r="V8" s="73"/>
      <c r="W8" s="73"/>
      <c r="X8" s="73"/>
      <c r="Y8" s="73"/>
      <c r="Z8" s="73"/>
      <c r="AA8" s="73"/>
      <c r="AB8" s="92">
        <f t="shared" si="1"/>
        <v>0</v>
      </c>
      <c r="AC8" s="92">
        <f>R8+IFERROR(VLOOKUP($E:$E,'（居民）工资表-2月'!$E:$AC,25,0),0)</f>
        <v>0</v>
      </c>
      <c r="AD8" s="97">
        <f t="shared" si="2"/>
        <v>2290.66</v>
      </c>
      <c r="AE8" s="98">
        <f>ROUND(MAX((AD8)*{0.03;0.1;0.2;0.25;0.3;0.35;0.45}-{0;2520;16920;31920;52920;85920;181920},0),2)</f>
        <v>68.72</v>
      </c>
      <c r="AF8" s="99">
        <f>IFERROR(VLOOKUP(E:E,'（居民）工资表-2月'!E:AF,28,0)+VLOOKUP(E:E,'（居民）工资表-2月'!E:AG,29,0),0)</f>
        <v>23.28</v>
      </c>
      <c r="AG8" s="99">
        <f t="shared" si="3"/>
        <v>45.44</v>
      </c>
      <c r="AH8" s="109">
        <f t="shared" si="4"/>
        <v>6469.2</v>
      </c>
      <c r="AI8" s="110"/>
      <c r="AJ8" s="109">
        <f t="shared" si="5"/>
        <v>6469.2</v>
      </c>
      <c r="AK8" s="111"/>
      <c r="AL8" s="109">
        <f t="shared" si="6"/>
        <v>6514.64</v>
      </c>
      <c r="AM8" s="111"/>
      <c r="AN8" s="111"/>
      <c r="AO8" s="111"/>
      <c r="AP8" s="111"/>
      <c r="AQ8" s="111"/>
      <c r="AR8" s="118" t="str">
        <f t="shared" si="7"/>
        <v>正确</v>
      </c>
      <c r="AS8" s="118" t="str">
        <f t="shared" si="8"/>
        <v>不</v>
      </c>
      <c r="AT8" s="118" t="str">
        <f t="shared" si="9"/>
        <v>重复</v>
      </c>
      <c r="AU8" s="12" t="s">
        <v>144</v>
      </c>
      <c r="AV8" s="12" t="s">
        <v>51</v>
      </c>
    </row>
    <row r="9" s="12" customFormat="1" ht="18" customHeight="1" spans="1:48">
      <c r="A9" s="36">
        <v>6</v>
      </c>
      <c r="B9" s="37" t="s">
        <v>194</v>
      </c>
      <c r="C9" s="37" t="s">
        <v>119</v>
      </c>
      <c r="D9" s="37" t="s">
        <v>195</v>
      </c>
      <c r="E9" s="381" t="s">
        <v>120</v>
      </c>
      <c r="F9" s="38" t="s">
        <v>196</v>
      </c>
      <c r="G9" s="41">
        <v>19356875630</v>
      </c>
      <c r="H9" s="40"/>
      <c r="I9" s="40"/>
      <c r="J9" s="70"/>
      <c r="K9" s="40"/>
      <c r="L9" s="73">
        <v>8000</v>
      </c>
      <c r="M9" s="72">
        <v>306.56</v>
      </c>
      <c r="N9" s="72">
        <v>82.64</v>
      </c>
      <c r="O9" s="72">
        <v>19.16</v>
      </c>
      <c r="P9" s="72">
        <v>172</v>
      </c>
      <c r="Q9" s="91">
        <f t="shared" si="0"/>
        <v>580.36</v>
      </c>
      <c r="R9" s="73">
        <v>0</v>
      </c>
      <c r="S9" s="92">
        <f>L9+IFERROR(VLOOKUP($E:$E,'（居民）工资表-2月'!$E:$S,15,0),0)</f>
        <v>21000</v>
      </c>
      <c r="T9" s="93">
        <f>5000+IFERROR(VLOOKUP($E:$E,'（居民）工资表-2月'!$E:$T,16,0),0)</f>
        <v>15000</v>
      </c>
      <c r="U9" s="93">
        <f>Q9+IFERROR(VLOOKUP($E:$E,'（居民）工资表-2月'!$E:$U,17,0),0)</f>
        <v>2081.34</v>
      </c>
      <c r="V9" s="73"/>
      <c r="W9" s="73"/>
      <c r="X9" s="73"/>
      <c r="Y9" s="73"/>
      <c r="Z9" s="73"/>
      <c r="AA9" s="73"/>
      <c r="AB9" s="92">
        <f t="shared" si="1"/>
        <v>0</v>
      </c>
      <c r="AC9" s="92">
        <f>R9+IFERROR(VLOOKUP($E:$E,'（居民）工资表-2月'!$E:$AC,25,0),0)</f>
        <v>0</v>
      </c>
      <c r="AD9" s="97">
        <f t="shared" si="2"/>
        <v>3918.66</v>
      </c>
      <c r="AE9" s="98">
        <f>ROUND(MAX((AD9)*{0.03;0.1;0.2;0.25;0.3;0.35;0.45}-{0;2520;16920;31920;52920;85920;181920},0),2)</f>
        <v>117.56</v>
      </c>
      <c r="AF9" s="99">
        <f>IFERROR(VLOOKUP(E:E,'（居民）工资表-2月'!E:AF,28,0)+VLOOKUP(E:E,'（居民）工资表-2月'!E:AG,29,0),0)</f>
        <v>44.97</v>
      </c>
      <c r="AG9" s="99">
        <f t="shared" si="3"/>
        <v>72.59</v>
      </c>
      <c r="AH9" s="109">
        <f t="shared" si="4"/>
        <v>7347.05</v>
      </c>
      <c r="AI9" s="110"/>
      <c r="AJ9" s="109">
        <f t="shared" si="5"/>
        <v>7347.05</v>
      </c>
      <c r="AK9" s="111"/>
      <c r="AL9" s="109">
        <f t="shared" si="6"/>
        <v>7419.64</v>
      </c>
      <c r="AM9" s="111"/>
      <c r="AN9" s="111"/>
      <c r="AO9" s="111"/>
      <c r="AP9" s="111"/>
      <c r="AQ9" s="111"/>
      <c r="AR9" s="118" t="str">
        <f t="shared" si="7"/>
        <v>正确</v>
      </c>
      <c r="AS9" s="118" t="str">
        <f t="shared" si="8"/>
        <v>不</v>
      </c>
      <c r="AT9" s="118" t="str">
        <f t="shared" si="9"/>
        <v>重复</v>
      </c>
      <c r="AU9" s="12" t="s">
        <v>144</v>
      </c>
      <c r="AV9" s="12" t="s">
        <v>51</v>
      </c>
    </row>
    <row r="10" s="12" customFormat="1" ht="18" customHeight="1" spans="1:48">
      <c r="A10" s="36">
        <v>7</v>
      </c>
      <c r="B10" s="37" t="s">
        <v>194</v>
      </c>
      <c r="C10" s="37" t="s">
        <v>131</v>
      </c>
      <c r="D10" s="37" t="s">
        <v>195</v>
      </c>
      <c r="E10" s="381" t="s">
        <v>132</v>
      </c>
      <c r="F10" s="38" t="s">
        <v>196</v>
      </c>
      <c r="G10" s="41">
        <v>13973652684</v>
      </c>
      <c r="H10" s="40"/>
      <c r="I10" s="40"/>
      <c r="J10" s="70"/>
      <c r="K10" s="40"/>
      <c r="L10" s="73">
        <v>6500</v>
      </c>
      <c r="M10" s="72">
        <v>315.6</v>
      </c>
      <c r="N10" s="72">
        <v>98.32</v>
      </c>
      <c r="O10" s="72">
        <v>11.84</v>
      </c>
      <c r="P10" s="72">
        <v>100</v>
      </c>
      <c r="Q10" s="91">
        <f t="shared" si="0"/>
        <v>525.76</v>
      </c>
      <c r="R10" s="73">
        <v>0</v>
      </c>
      <c r="S10" s="92">
        <f>L10+IFERROR(VLOOKUP($E:$E,'（居民）工资表-2月'!$E:$S,15,0),0)</f>
        <v>19500</v>
      </c>
      <c r="T10" s="93">
        <f>5000+IFERROR(VLOOKUP($E:$E,'（居民）工资表-2月'!$E:$T,16,0),0)</f>
        <v>15000</v>
      </c>
      <c r="U10" s="93">
        <f>Q10+IFERROR(VLOOKUP($E:$E,'（居民）工资表-2月'!$E:$U,17,0),0)</f>
        <v>1555.98</v>
      </c>
      <c r="V10" s="73"/>
      <c r="W10" s="73"/>
      <c r="X10" s="73"/>
      <c r="Y10" s="73"/>
      <c r="Z10" s="73"/>
      <c r="AA10" s="73"/>
      <c r="AB10" s="92">
        <f t="shared" si="1"/>
        <v>0</v>
      </c>
      <c r="AC10" s="92">
        <f>R10+IFERROR(VLOOKUP($E:$E,'（居民）工资表-2月'!$E:$AC,25,0),0)</f>
        <v>0</v>
      </c>
      <c r="AD10" s="97">
        <f t="shared" si="2"/>
        <v>2944.02</v>
      </c>
      <c r="AE10" s="98">
        <f>ROUND(MAX((AD10)*{0.03;0.1;0.2;0.25;0.3;0.35;0.45}-{0;2520;16920;31920;52920;85920;181920},0),2)</f>
        <v>88.32</v>
      </c>
      <c r="AF10" s="99">
        <f>IFERROR(VLOOKUP(E:E,'（居民）工资表-2月'!E:AF,28,0)+VLOOKUP(E:E,'（居民）工资表-2月'!E:AG,29,0),0)</f>
        <v>59.09</v>
      </c>
      <c r="AG10" s="99">
        <f t="shared" si="3"/>
        <v>29.23</v>
      </c>
      <c r="AH10" s="109">
        <f t="shared" si="4"/>
        <v>5945.01</v>
      </c>
      <c r="AI10" s="110"/>
      <c r="AJ10" s="109">
        <f t="shared" si="5"/>
        <v>5945.01</v>
      </c>
      <c r="AK10" s="111"/>
      <c r="AL10" s="109">
        <f t="shared" si="6"/>
        <v>5974.24</v>
      </c>
      <c r="AM10" s="111"/>
      <c r="AN10" s="111"/>
      <c r="AO10" s="111"/>
      <c r="AP10" s="111"/>
      <c r="AQ10" s="111"/>
      <c r="AR10" s="118" t="str">
        <f t="shared" si="7"/>
        <v>正确</v>
      </c>
      <c r="AS10" s="118" t="str">
        <f t="shared" si="8"/>
        <v>不</v>
      </c>
      <c r="AT10" s="118" t="str">
        <f t="shared" si="9"/>
        <v>重复</v>
      </c>
      <c r="AU10" s="12" t="s">
        <v>202</v>
      </c>
      <c r="AV10" s="12" t="s">
        <v>51</v>
      </c>
    </row>
    <row r="11" s="12" customFormat="1" ht="18" customHeight="1" spans="1:47">
      <c r="A11" s="36">
        <v>8</v>
      </c>
      <c r="B11" s="37" t="s">
        <v>194</v>
      </c>
      <c r="C11" s="37" t="s">
        <v>134</v>
      </c>
      <c r="D11" s="37" t="s">
        <v>195</v>
      </c>
      <c r="E11" s="381" t="s">
        <v>135</v>
      </c>
      <c r="F11" s="38" t="s">
        <v>196</v>
      </c>
      <c r="G11" s="41" t="s">
        <v>203</v>
      </c>
      <c r="H11" s="40"/>
      <c r="I11" s="40"/>
      <c r="J11" s="70"/>
      <c r="K11" s="40"/>
      <c r="L11" s="73">
        <v>5500</v>
      </c>
      <c r="M11" s="72">
        <v>316.56</v>
      </c>
      <c r="N11" s="72">
        <v>84.14</v>
      </c>
      <c r="O11" s="72">
        <v>19.79</v>
      </c>
      <c r="P11" s="72">
        <v>105</v>
      </c>
      <c r="Q11" s="91">
        <f t="shared" si="0"/>
        <v>525.49</v>
      </c>
      <c r="R11" s="73">
        <v>0</v>
      </c>
      <c r="S11" s="92">
        <f>L11+IFERROR(VLOOKUP($E:$E,'（居民）工资表-2月'!$E:$S,15,0),0)</f>
        <v>16500</v>
      </c>
      <c r="T11" s="93">
        <f>5000+IFERROR(VLOOKUP($E:$E,'（居民）工资表-2月'!$E:$T,16,0),0)</f>
        <v>15000</v>
      </c>
      <c r="U11" s="93">
        <f>Q11+IFERROR(VLOOKUP($E:$E,'（居民）工资表-2月'!$E:$U,17,0),0)</f>
        <v>1576.47</v>
      </c>
      <c r="V11" s="73"/>
      <c r="W11" s="73"/>
      <c r="X11" s="73"/>
      <c r="Y11" s="73"/>
      <c r="Z11" s="73"/>
      <c r="AA11" s="73"/>
      <c r="AB11" s="92">
        <f t="shared" si="1"/>
        <v>0</v>
      </c>
      <c r="AC11" s="92">
        <f>R11+IFERROR(VLOOKUP($E:$E,'（居民）工资表-2月'!$E:$AC,25,0),0)</f>
        <v>0</v>
      </c>
      <c r="AD11" s="97">
        <f t="shared" si="2"/>
        <v>-76.47</v>
      </c>
      <c r="AE11" s="98">
        <f>ROUND(MAX((AD11)*{0.03;0.1;0.2;0.25;0.3;0.35;0.45}-{0;2520;16920;31920;52920;85920;181920},0),2)</f>
        <v>0</v>
      </c>
      <c r="AF11" s="99">
        <f>IFERROR(VLOOKUP(E:E,'（居民）工资表-2月'!E:AF,28,0)+VLOOKUP(E:E,'（居民）工资表-2月'!E:AG,29,0),0)</f>
        <v>0</v>
      </c>
      <c r="AG11" s="99">
        <f t="shared" si="3"/>
        <v>0</v>
      </c>
      <c r="AH11" s="109">
        <f t="shared" si="4"/>
        <v>4974.51</v>
      </c>
      <c r="AI11" s="110"/>
      <c r="AJ11" s="109">
        <f t="shared" si="5"/>
        <v>4974.51</v>
      </c>
      <c r="AK11" s="111"/>
      <c r="AL11" s="109">
        <f t="shared" si="6"/>
        <v>4974.51</v>
      </c>
      <c r="AM11" s="111"/>
      <c r="AN11" s="111"/>
      <c r="AO11" s="111"/>
      <c r="AP11" s="111"/>
      <c r="AQ11" s="111"/>
      <c r="AR11" s="118" t="str">
        <f t="shared" si="7"/>
        <v>正确</v>
      </c>
      <c r="AS11" s="118" t="str">
        <f t="shared" si="8"/>
        <v>不</v>
      </c>
      <c r="AT11" s="118" t="str">
        <f t="shared" si="9"/>
        <v>重复</v>
      </c>
      <c r="AU11" s="12">
        <v>0</v>
      </c>
    </row>
    <row r="12" s="12" customFormat="1" ht="18" customHeight="1" spans="1:47">
      <c r="A12" s="36">
        <v>9</v>
      </c>
      <c r="B12" s="37" t="s">
        <v>194</v>
      </c>
      <c r="C12" s="37" t="s">
        <v>138</v>
      </c>
      <c r="D12" s="37" t="s">
        <v>195</v>
      </c>
      <c r="E12" s="381" t="s">
        <v>139</v>
      </c>
      <c r="F12" s="38" t="s">
        <v>198</v>
      </c>
      <c r="G12" s="41" t="s">
        <v>205</v>
      </c>
      <c r="H12" s="40"/>
      <c r="I12" s="40"/>
      <c r="J12" s="70"/>
      <c r="K12" s="40"/>
      <c r="L12" s="73">
        <v>4598.8</v>
      </c>
      <c r="M12" s="72">
        <v>352</v>
      </c>
      <c r="N12" s="72">
        <v>110</v>
      </c>
      <c r="O12" s="72">
        <v>22</v>
      </c>
      <c r="P12" s="72">
        <v>109</v>
      </c>
      <c r="Q12" s="91">
        <f t="shared" si="0"/>
        <v>593</v>
      </c>
      <c r="R12" s="73">
        <v>0</v>
      </c>
      <c r="S12" s="92">
        <f>L12+IFERROR(VLOOKUP($E:$E,'（居民）工资表-2月'!$E:$S,15,0),0)</f>
        <v>13796.4</v>
      </c>
      <c r="T12" s="93">
        <f>5000+IFERROR(VLOOKUP($E:$E,'（居民）工资表-2月'!$E:$T,16,0),0)</f>
        <v>15000</v>
      </c>
      <c r="U12" s="93">
        <f>Q12+IFERROR(VLOOKUP($E:$E,'（居民）工资表-2月'!$E:$U,17,0),0)</f>
        <v>1779</v>
      </c>
      <c r="V12" s="73"/>
      <c r="W12" s="73"/>
      <c r="X12" s="73"/>
      <c r="Y12" s="73"/>
      <c r="Z12" s="73"/>
      <c r="AA12" s="73"/>
      <c r="AB12" s="92">
        <f t="shared" si="1"/>
        <v>0</v>
      </c>
      <c r="AC12" s="92">
        <f>R12+IFERROR(VLOOKUP($E:$E,'（居民）工资表-2月'!$E:$AC,25,0),0)</f>
        <v>0</v>
      </c>
      <c r="AD12" s="97">
        <f t="shared" si="2"/>
        <v>-2982.6</v>
      </c>
      <c r="AE12" s="98">
        <f>ROUND(MAX((AD12)*{0.03;0.1;0.2;0.25;0.3;0.35;0.45}-{0;2520;16920;31920;52920;85920;181920},0),2)</f>
        <v>0</v>
      </c>
      <c r="AF12" s="99">
        <f>IFERROR(VLOOKUP(E:E,'（居民）工资表-2月'!E:AF,28,0)+VLOOKUP(E:E,'（居民）工资表-2月'!E:AG,29,0),0)</f>
        <v>0</v>
      </c>
      <c r="AG12" s="99">
        <f t="shared" si="3"/>
        <v>0</v>
      </c>
      <c r="AH12" s="109">
        <f t="shared" si="4"/>
        <v>4005.8</v>
      </c>
      <c r="AI12" s="110"/>
      <c r="AJ12" s="109">
        <f t="shared" si="5"/>
        <v>4005.8</v>
      </c>
      <c r="AK12" s="111"/>
      <c r="AL12" s="109">
        <f t="shared" si="6"/>
        <v>4005.8</v>
      </c>
      <c r="AM12" s="111"/>
      <c r="AN12" s="111"/>
      <c r="AO12" s="111"/>
      <c r="AP12" s="111"/>
      <c r="AQ12" s="111"/>
      <c r="AR12" s="118" t="str">
        <f t="shared" si="7"/>
        <v>正确</v>
      </c>
      <c r="AS12" s="118" t="str">
        <f t="shared" si="8"/>
        <v>不</v>
      </c>
      <c r="AT12" s="118" t="str">
        <f t="shared" si="9"/>
        <v>重复</v>
      </c>
      <c r="AU12" s="12">
        <v>0</v>
      </c>
    </row>
    <row r="13" s="12" customFormat="1" ht="18" customHeight="1" spans="1:48">
      <c r="A13" s="36">
        <v>10</v>
      </c>
      <c r="B13" s="37" t="s">
        <v>194</v>
      </c>
      <c r="C13" s="37" t="s">
        <v>128</v>
      </c>
      <c r="D13" s="37" t="s">
        <v>195</v>
      </c>
      <c r="E13" s="381" t="s">
        <v>129</v>
      </c>
      <c r="F13" s="38" t="s">
        <v>196</v>
      </c>
      <c r="G13" s="41">
        <v>18356553626</v>
      </c>
      <c r="H13" s="40"/>
      <c r="I13" s="40"/>
      <c r="J13" s="70"/>
      <c r="K13" s="40"/>
      <c r="L13" s="73">
        <v>5918.18</v>
      </c>
      <c r="M13" s="72">
        <v>306.56</v>
      </c>
      <c r="N13" s="72">
        <v>112.49</v>
      </c>
      <c r="O13" s="72">
        <v>19.16</v>
      </c>
      <c r="P13" s="72">
        <v>75</v>
      </c>
      <c r="Q13" s="91">
        <f t="shared" ref="Q13:Q20" si="10">ROUND(SUM(M13:P13),2)</f>
        <v>513.21</v>
      </c>
      <c r="R13" s="73">
        <v>0</v>
      </c>
      <c r="S13" s="92">
        <f>L13+IFERROR(VLOOKUP($E:$E,'（居民）工资表-2月'!$E:$S,15,0),0)</f>
        <v>17118.18</v>
      </c>
      <c r="T13" s="93">
        <f>5000+IFERROR(VLOOKUP($E:$E,'（居民）工资表-2月'!$E:$T,16,0),0)</f>
        <v>15000</v>
      </c>
      <c r="U13" s="93">
        <f>Q13+IFERROR(VLOOKUP($E:$E,'（居民）工资表-2月'!$E:$U,17,0),0)</f>
        <v>1547.67</v>
      </c>
      <c r="V13" s="73"/>
      <c r="W13" s="73"/>
      <c r="X13" s="73"/>
      <c r="Y13" s="73"/>
      <c r="Z13" s="73"/>
      <c r="AA13" s="73"/>
      <c r="AB13" s="92">
        <f t="shared" ref="AB13:AB20" si="11">ROUND(SUM(V13:AA13),2)</f>
        <v>0</v>
      </c>
      <c r="AC13" s="92">
        <f>R13+IFERROR(VLOOKUP($E:$E,'（居民）工资表-2月'!$E:$AC,25,0),0)</f>
        <v>0</v>
      </c>
      <c r="AD13" s="97">
        <f t="shared" ref="AD13:AD20" si="12">ROUND(S13-T13-U13-AB13-AC13,2)</f>
        <v>570.51</v>
      </c>
      <c r="AE13" s="98">
        <f>ROUND(MAX((AD13)*{0.03;0.1;0.2;0.25;0.3;0.35;0.45}-{0;2520;16920;31920;52920;85920;181920},0),2)</f>
        <v>17.12</v>
      </c>
      <c r="AF13" s="99">
        <f>IFERROR(VLOOKUP(E:E,'（居民）工资表-2月'!E:AF,28,0)+VLOOKUP(E:E,'（居民）工资表-2月'!E:AG,29,0),0)</f>
        <v>4.97</v>
      </c>
      <c r="AG13" s="99">
        <f t="shared" ref="AG13:AG20" si="13">IF((AE13-AF13)&lt;0,0,AE13-AF13)</f>
        <v>12.15</v>
      </c>
      <c r="AH13" s="109">
        <f t="shared" ref="AH13:AH20" si="14">ROUND(IF((L13-Q13-AG13)&lt;0,0,(L13-Q13-AG13)),2)</f>
        <v>5392.82</v>
      </c>
      <c r="AI13" s="110"/>
      <c r="AJ13" s="109">
        <f t="shared" ref="AJ13:AJ20" si="15">AH13+AI13</f>
        <v>5392.82</v>
      </c>
      <c r="AK13" s="111"/>
      <c r="AL13" s="109">
        <f t="shared" ref="AL13:AL20" si="16">AJ13+AG13+AK13</f>
        <v>5404.97</v>
      </c>
      <c r="AM13" s="111"/>
      <c r="AN13" s="111"/>
      <c r="AO13" s="111"/>
      <c r="AP13" s="111"/>
      <c r="AQ13" s="111"/>
      <c r="AR13" s="118" t="str">
        <f t="shared" ref="AR13:AR20"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118" t="str">
        <f t="shared" ref="AS13:AS20" si="18">IF(SUMPRODUCT(N(E$1:E$5=E13))&gt;1,"重复","不")</f>
        <v>不</v>
      </c>
      <c r="AT13" s="118" t="str">
        <f t="shared" ref="AT13:AT20" si="19">IF(SUMPRODUCT(N(AO$1:AO$5=AO13))&gt;1,"重复","不")</f>
        <v>重复</v>
      </c>
      <c r="AU13" s="12" t="s">
        <v>144</v>
      </c>
      <c r="AV13" s="12" t="s">
        <v>51</v>
      </c>
    </row>
    <row r="14" s="12" customFormat="1" ht="18" customHeight="1" spans="1:48">
      <c r="A14" s="36">
        <v>11</v>
      </c>
      <c r="B14" s="37" t="s">
        <v>194</v>
      </c>
      <c r="C14" s="37" t="s">
        <v>123</v>
      </c>
      <c r="D14" s="37" t="s">
        <v>195</v>
      </c>
      <c r="E14" s="381" t="s">
        <v>124</v>
      </c>
      <c r="F14" s="38" t="s">
        <v>196</v>
      </c>
      <c r="G14" s="41">
        <v>18326897140</v>
      </c>
      <c r="H14" s="40"/>
      <c r="I14" s="40"/>
      <c r="J14" s="70"/>
      <c r="K14" s="40"/>
      <c r="L14" s="73">
        <v>4650</v>
      </c>
      <c r="M14" s="72">
        <v>306.56</v>
      </c>
      <c r="N14" s="72">
        <v>82.64</v>
      </c>
      <c r="O14" s="72">
        <v>19.16</v>
      </c>
      <c r="P14" s="72">
        <v>172</v>
      </c>
      <c r="Q14" s="91">
        <f t="shared" si="10"/>
        <v>580.36</v>
      </c>
      <c r="R14" s="73">
        <v>0</v>
      </c>
      <c r="S14" s="92">
        <f>L14+IFERROR(VLOOKUP($E:$E,'（居民）工资表-2月'!$E:$S,15,0),0)</f>
        <v>13450</v>
      </c>
      <c r="T14" s="93">
        <f>5000+IFERROR(VLOOKUP($E:$E,'（居民）工资表-2月'!$E:$T,16,0),0)</f>
        <v>15000</v>
      </c>
      <c r="U14" s="93">
        <f>Q14+IFERROR(VLOOKUP($E:$E,'（居民）工资表-2月'!$E:$U,17,0),0)</f>
        <v>1870.29</v>
      </c>
      <c r="V14" s="73"/>
      <c r="W14" s="73"/>
      <c r="X14" s="73"/>
      <c r="Y14" s="73"/>
      <c r="Z14" s="73"/>
      <c r="AA14" s="73"/>
      <c r="AB14" s="92">
        <f t="shared" si="11"/>
        <v>0</v>
      </c>
      <c r="AC14" s="92">
        <f>R14+IFERROR(VLOOKUP($E:$E,'（居民）工资表-2月'!$E:$AC,25,0),0)</f>
        <v>0</v>
      </c>
      <c r="AD14" s="97">
        <f t="shared" si="12"/>
        <v>-3420.29</v>
      </c>
      <c r="AE14" s="98">
        <f>ROUND(MAX((AD14)*{0.03;0.1;0.2;0.25;0.3;0.35;0.45}-{0;2520;16920;31920;52920;85920;181920},0),2)</f>
        <v>0</v>
      </c>
      <c r="AF14" s="99">
        <f>IFERROR(VLOOKUP(E:E,'（居民）工资表-2月'!E:AF,28,0)+VLOOKUP(E:E,'（居民）工资表-2月'!E:AG,29,0),0)</f>
        <v>0</v>
      </c>
      <c r="AG14" s="99">
        <f t="shared" si="13"/>
        <v>0</v>
      </c>
      <c r="AH14" s="109">
        <f t="shared" si="14"/>
        <v>4069.64</v>
      </c>
      <c r="AI14" s="110"/>
      <c r="AJ14" s="109">
        <f t="shared" si="15"/>
        <v>4069.64</v>
      </c>
      <c r="AK14" s="111"/>
      <c r="AL14" s="109">
        <f t="shared" si="16"/>
        <v>4069.64</v>
      </c>
      <c r="AM14" s="111"/>
      <c r="AN14" s="111"/>
      <c r="AO14" s="111"/>
      <c r="AP14" s="111"/>
      <c r="AQ14" s="111"/>
      <c r="AR14" s="118" t="str">
        <f t="shared" si="17"/>
        <v>正确</v>
      </c>
      <c r="AS14" s="118" t="str">
        <f t="shared" si="18"/>
        <v>不</v>
      </c>
      <c r="AT14" s="118" t="str">
        <f t="shared" si="19"/>
        <v>重复</v>
      </c>
      <c r="AU14" s="12" t="s">
        <v>144</v>
      </c>
      <c r="AV14" s="12" t="s">
        <v>51</v>
      </c>
    </row>
    <row r="15" s="12" customFormat="1" ht="18" customHeight="1" spans="1:48">
      <c r="A15" s="36">
        <v>12</v>
      </c>
      <c r="B15" s="37" t="s">
        <v>194</v>
      </c>
      <c r="C15" s="37" t="s">
        <v>121</v>
      </c>
      <c r="D15" s="37" t="s">
        <v>195</v>
      </c>
      <c r="E15" s="381" t="s">
        <v>122</v>
      </c>
      <c r="F15" s="38" t="s">
        <v>196</v>
      </c>
      <c r="G15" s="41">
        <v>17201857014</v>
      </c>
      <c r="H15" s="40"/>
      <c r="I15" s="40"/>
      <c r="J15" s="70"/>
      <c r="K15" s="40"/>
      <c r="L15" s="73">
        <v>4750</v>
      </c>
      <c r="M15" s="72">
        <v>306.56</v>
      </c>
      <c r="N15" s="72">
        <v>82.64</v>
      </c>
      <c r="O15" s="72">
        <v>19.16</v>
      </c>
      <c r="P15" s="72">
        <v>172</v>
      </c>
      <c r="Q15" s="91">
        <f t="shared" si="10"/>
        <v>580.36</v>
      </c>
      <c r="R15" s="73">
        <v>0</v>
      </c>
      <c r="S15" s="92">
        <f>L15+IFERROR(VLOOKUP($E:$E,'（居民）工资表-2月'!$E:$S,15,0),0)</f>
        <v>13550</v>
      </c>
      <c r="T15" s="93">
        <f>5000+IFERROR(VLOOKUP($E:$E,'（居民）工资表-2月'!$E:$T,16,0),0)</f>
        <v>15000</v>
      </c>
      <c r="U15" s="93">
        <f>Q15+IFERROR(VLOOKUP($E:$E,'（居民）工资表-2月'!$E:$U,17,0),0)</f>
        <v>1870.29</v>
      </c>
      <c r="V15" s="73"/>
      <c r="W15" s="73"/>
      <c r="X15" s="73"/>
      <c r="Y15" s="73"/>
      <c r="Z15" s="73"/>
      <c r="AA15" s="73"/>
      <c r="AB15" s="92">
        <f t="shared" si="11"/>
        <v>0</v>
      </c>
      <c r="AC15" s="92">
        <f>R15+IFERROR(VLOOKUP($E:$E,'（居民）工资表-2月'!$E:$AC,25,0),0)</f>
        <v>0</v>
      </c>
      <c r="AD15" s="97">
        <f t="shared" si="12"/>
        <v>-3320.29</v>
      </c>
      <c r="AE15" s="98">
        <f>ROUND(MAX((AD15)*{0.03;0.1;0.2;0.25;0.3;0.35;0.45}-{0;2520;16920;31920;52920;85920;181920},0),2)</f>
        <v>0</v>
      </c>
      <c r="AF15" s="99">
        <f>IFERROR(VLOOKUP(E:E,'（居民）工资表-2月'!E:AF,28,0)+VLOOKUP(E:E,'（居民）工资表-2月'!E:AG,29,0),0)</f>
        <v>0</v>
      </c>
      <c r="AG15" s="99">
        <f t="shared" si="13"/>
        <v>0</v>
      </c>
      <c r="AH15" s="109">
        <f t="shared" si="14"/>
        <v>4169.64</v>
      </c>
      <c r="AI15" s="110"/>
      <c r="AJ15" s="109">
        <f t="shared" si="15"/>
        <v>4169.64</v>
      </c>
      <c r="AK15" s="111"/>
      <c r="AL15" s="109">
        <f t="shared" si="16"/>
        <v>4169.64</v>
      </c>
      <c r="AM15" s="111"/>
      <c r="AN15" s="111"/>
      <c r="AO15" s="111"/>
      <c r="AP15" s="111"/>
      <c r="AQ15" s="111"/>
      <c r="AR15" s="118" t="str">
        <f t="shared" si="17"/>
        <v>正确</v>
      </c>
      <c r="AS15" s="118" t="str">
        <f t="shared" si="18"/>
        <v>不</v>
      </c>
      <c r="AT15" s="118" t="str">
        <f t="shared" si="19"/>
        <v>重复</v>
      </c>
      <c r="AU15" s="12" t="s">
        <v>144</v>
      </c>
      <c r="AV15" s="12" t="s">
        <v>51</v>
      </c>
    </row>
    <row r="16" s="12" customFormat="1" ht="18" customHeight="1" spans="1:48">
      <c r="A16" s="36">
        <v>13</v>
      </c>
      <c r="B16" s="37" t="s">
        <v>194</v>
      </c>
      <c r="C16" s="37" t="s">
        <v>126</v>
      </c>
      <c r="D16" s="37" t="s">
        <v>195</v>
      </c>
      <c r="E16" s="381" t="s">
        <v>127</v>
      </c>
      <c r="F16" s="38" t="s">
        <v>198</v>
      </c>
      <c r="G16" s="41" t="s">
        <v>207</v>
      </c>
      <c r="H16" s="40"/>
      <c r="I16" s="40"/>
      <c r="J16" s="70"/>
      <c r="K16" s="40"/>
      <c r="L16" s="73">
        <v>6109.09</v>
      </c>
      <c r="M16" s="72">
        <v>306.56</v>
      </c>
      <c r="N16" s="72">
        <v>112.49</v>
      </c>
      <c r="O16" s="72">
        <v>19.16</v>
      </c>
      <c r="P16" s="72">
        <v>75</v>
      </c>
      <c r="Q16" s="91">
        <f t="shared" si="10"/>
        <v>513.21</v>
      </c>
      <c r="R16" s="73">
        <v>0</v>
      </c>
      <c r="S16" s="92">
        <f>L16+IFERROR(VLOOKUP($E:$E,'（居民）工资表-2月'!$E:$S,15,0),0)</f>
        <v>17309.09</v>
      </c>
      <c r="T16" s="93">
        <f>5000+IFERROR(VLOOKUP($E:$E,'（居民）工资表-2月'!$E:$T,16,0),0)</f>
        <v>15000</v>
      </c>
      <c r="U16" s="93">
        <f>Q16+IFERROR(VLOOKUP($E:$E,'（居民）工资表-2月'!$E:$U,17,0),0)</f>
        <v>1555.71</v>
      </c>
      <c r="V16" s="73"/>
      <c r="W16" s="73"/>
      <c r="X16" s="73"/>
      <c r="Y16" s="73"/>
      <c r="Z16" s="73"/>
      <c r="AA16" s="73"/>
      <c r="AB16" s="92">
        <f t="shared" si="11"/>
        <v>0</v>
      </c>
      <c r="AC16" s="92">
        <f>R16+IFERROR(VLOOKUP($E:$E,'（居民）工资表-2月'!$E:$AC,25,0),0)</f>
        <v>0</v>
      </c>
      <c r="AD16" s="97">
        <f t="shared" si="12"/>
        <v>753.38</v>
      </c>
      <c r="AE16" s="98">
        <f>ROUND(MAX((AD16)*{0.03;0.1;0.2;0.25;0.3;0.35;0.45}-{0;2520;16920;31920;52920;85920;181920},0),2)</f>
        <v>22.6</v>
      </c>
      <c r="AF16" s="99">
        <f>IFERROR(VLOOKUP(E:E,'（居民）工资表-2月'!E:AF,28,0)+VLOOKUP(E:E,'（居民）工资表-2月'!E:AG,29,0),0)</f>
        <v>4.73</v>
      </c>
      <c r="AG16" s="99">
        <f t="shared" si="13"/>
        <v>17.87</v>
      </c>
      <c r="AH16" s="109">
        <f t="shared" si="14"/>
        <v>5578.01</v>
      </c>
      <c r="AI16" s="110"/>
      <c r="AJ16" s="109">
        <f t="shared" si="15"/>
        <v>5578.01</v>
      </c>
      <c r="AK16" s="111"/>
      <c r="AL16" s="109">
        <f t="shared" si="16"/>
        <v>5595.88</v>
      </c>
      <c r="AM16" s="111"/>
      <c r="AN16" s="111"/>
      <c r="AO16" s="111"/>
      <c r="AP16" s="111"/>
      <c r="AQ16" s="111"/>
      <c r="AR16" s="118" t="str">
        <f t="shared" si="17"/>
        <v>正确</v>
      </c>
      <c r="AS16" s="118" t="str">
        <f t="shared" si="18"/>
        <v>不</v>
      </c>
      <c r="AT16" s="118" t="str">
        <f t="shared" si="19"/>
        <v>重复</v>
      </c>
      <c r="AU16" s="12" t="s">
        <v>144</v>
      </c>
      <c r="AV16" s="12" t="s">
        <v>51</v>
      </c>
    </row>
    <row r="17" s="12" customFormat="1" ht="18" customHeight="1" spans="1:48">
      <c r="A17" s="36">
        <v>14</v>
      </c>
      <c r="B17" s="37" t="s">
        <v>194</v>
      </c>
      <c r="C17" s="37" t="s">
        <v>115</v>
      </c>
      <c r="D17" s="37" t="s">
        <v>195</v>
      </c>
      <c r="E17" s="381" t="s">
        <v>116</v>
      </c>
      <c r="F17" s="38" t="s">
        <v>198</v>
      </c>
      <c r="G17" s="41">
        <v>15855788591</v>
      </c>
      <c r="H17" s="40"/>
      <c r="I17" s="40"/>
      <c r="J17" s="70"/>
      <c r="K17" s="40"/>
      <c r="L17" s="73">
        <v>4092</v>
      </c>
      <c r="M17" s="72">
        <v>306.56</v>
      </c>
      <c r="N17" s="72">
        <v>84.64</v>
      </c>
      <c r="O17" s="72">
        <v>19.16</v>
      </c>
      <c r="P17" s="72">
        <v>75</v>
      </c>
      <c r="Q17" s="91">
        <f t="shared" si="10"/>
        <v>485.36</v>
      </c>
      <c r="R17" s="73">
        <v>0</v>
      </c>
      <c r="S17" s="92">
        <f>L17+IFERROR(VLOOKUP($E:$E,'（居民）工资表-2月'!$E:$S,15,0),0)</f>
        <v>13332</v>
      </c>
      <c r="T17" s="93">
        <f>5000+IFERROR(VLOOKUP($E:$E,'（居民）工资表-2月'!$E:$T,16,0),0)</f>
        <v>15000</v>
      </c>
      <c r="U17" s="93">
        <f>Q17+IFERROR(VLOOKUP($E:$E,'（居民）工资表-2月'!$E:$U,17,0),0)</f>
        <v>1941.44</v>
      </c>
      <c r="V17" s="73"/>
      <c r="W17" s="73"/>
      <c r="X17" s="73"/>
      <c r="Y17" s="73"/>
      <c r="Z17" s="73"/>
      <c r="AA17" s="73"/>
      <c r="AB17" s="92">
        <f t="shared" si="11"/>
        <v>0</v>
      </c>
      <c r="AC17" s="92">
        <f>R17+IFERROR(VLOOKUP($E:$E,'（居民）工资表-2月'!$E:$AC,25,0),0)</f>
        <v>0</v>
      </c>
      <c r="AD17" s="97">
        <f t="shared" si="12"/>
        <v>-3609.44</v>
      </c>
      <c r="AE17" s="98">
        <f>ROUND(MAX((AD17)*{0.03;0.1;0.2;0.25;0.3;0.35;0.45}-{0;2520;16920;31920;52920;85920;181920},0),2)</f>
        <v>0</v>
      </c>
      <c r="AF17" s="99">
        <f>IFERROR(VLOOKUP(E:E,'（居民）工资表-2月'!E:AF,28,0)+VLOOKUP(E:E,'（居民）工资表-2月'!E:AG,29,0),0)</f>
        <v>0</v>
      </c>
      <c r="AG17" s="99">
        <f t="shared" si="13"/>
        <v>0</v>
      </c>
      <c r="AH17" s="109">
        <f t="shared" si="14"/>
        <v>3606.64</v>
      </c>
      <c r="AI17" s="110"/>
      <c r="AJ17" s="109">
        <f t="shared" si="15"/>
        <v>3606.64</v>
      </c>
      <c r="AK17" s="111"/>
      <c r="AL17" s="109">
        <f t="shared" si="16"/>
        <v>3606.64</v>
      </c>
      <c r="AM17" s="111"/>
      <c r="AN17" s="111"/>
      <c r="AO17" s="111"/>
      <c r="AP17" s="111"/>
      <c r="AQ17" s="111"/>
      <c r="AR17" s="118" t="str">
        <f t="shared" si="17"/>
        <v>正确</v>
      </c>
      <c r="AS17" s="118" t="str">
        <f t="shared" si="18"/>
        <v>不</v>
      </c>
      <c r="AT17" s="118" t="str">
        <f t="shared" si="19"/>
        <v>重复</v>
      </c>
      <c r="AU17" s="12" t="s">
        <v>144</v>
      </c>
      <c r="AV17" s="12" t="s">
        <v>51</v>
      </c>
    </row>
    <row r="18" s="12" customFormat="1" ht="18" customHeight="1" spans="1:48">
      <c r="A18" s="36">
        <v>15</v>
      </c>
      <c r="B18" s="37" t="s">
        <v>194</v>
      </c>
      <c r="C18" s="37" t="s">
        <v>142</v>
      </c>
      <c r="D18" s="37" t="s">
        <v>195</v>
      </c>
      <c r="E18" s="381" t="s">
        <v>143</v>
      </c>
      <c r="F18" s="38" t="s">
        <v>198</v>
      </c>
      <c r="G18" s="41">
        <v>13873717760</v>
      </c>
      <c r="H18" s="40"/>
      <c r="I18" s="40"/>
      <c r="J18" s="70"/>
      <c r="K18" s="40"/>
      <c r="L18" s="73">
        <v>5260</v>
      </c>
      <c r="M18" s="72">
        <v>401.76</v>
      </c>
      <c r="N18" s="72">
        <v>203.44</v>
      </c>
      <c r="O18" s="72">
        <v>15.07</v>
      </c>
      <c r="P18" s="72">
        <v>175</v>
      </c>
      <c r="Q18" s="91">
        <f t="shared" si="10"/>
        <v>795.27</v>
      </c>
      <c r="R18" s="73">
        <v>0</v>
      </c>
      <c r="S18" s="92">
        <f>L18+IFERROR(VLOOKUP($E:$E,'（居民）工资表-2月'!$E:$S,15,0),0)</f>
        <v>11820</v>
      </c>
      <c r="T18" s="93">
        <f>5000+IFERROR(VLOOKUP($E:$E,'（居民）工资表-2月'!$E:$T,16,0),0)</f>
        <v>15000</v>
      </c>
      <c r="U18" s="93">
        <f>Q18+IFERROR(VLOOKUP($E:$E,'（居民）工资表-2月'!$E:$U,17,0),0)</f>
        <v>2448.35</v>
      </c>
      <c r="V18" s="73"/>
      <c r="W18" s="73"/>
      <c r="X18" s="73"/>
      <c r="Y18" s="73"/>
      <c r="Z18" s="73"/>
      <c r="AA18" s="73"/>
      <c r="AB18" s="92">
        <f t="shared" si="11"/>
        <v>0</v>
      </c>
      <c r="AC18" s="92">
        <f>R18+IFERROR(VLOOKUP($E:$E,'（居民）工资表-2月'!$E:$AC,25,0),0)</f>
        <v>0</v>
      </c>
      <c r="AD18" s="97">
        <f t="shared" si="12"/>
        <v>-5628.35</v>
      </c>
      <c r="AE18" s="98">
        <f>ROUND(MAX((AD18)*{0.03;0.1;0.2;0.25;0.3;0.35;0.45}-{0;2520;16920;31920;52920;85920;181920},0),2)</f>
        <v>0</v>
      </c>
      <c r="AF18" s="99">
        <f>IFERROR(VLOOKUP(E:E,'（居民）工资表-2月'!E:AF,28,0)+VLOOKUP(E:E,'（居民）工资表-2月'!E:AG,29,0),0)</f>
        <v>0</v>
      </c>
      <c r="AG18" s="99">
        <f t="shared" si="13"/>
        <v>0</v>
      </c>
      <c r="AH18" s="109">
        <f t="shared" si="14"/>
        <v>4464.73</v>
      </c>
      <c r="AI18" s="110"/>
      <c r="AJ18" s="109">
        <f t="shared" si="15"/>
        <v>4464.73</v>
      </c>
      <c r="AK18" s="111"/>
      <c r="AL18" s="109">
        <f t="shared" si="16"/>
        <v>4464.73</v>
      </c>
      <c r="AM18" s="111"/>
      <c r="AN18" s="111"/>
      <c r="AO18" s="111"/>
      <c r="AP18" s="111"/>
      <c r="AQ18" s="111"/>
      <c r="AR18" s="118" t="str">
        <f t="shared" si="17"/>
        <v>正确</v>
      </c>
      <c r="AS18" s="118" t="str">
        <f t="shared" si="18"/>
        <v>不</v>
      </c>
      <c r="AT18" s="118" t="str">
        <f t="shared" si="19"/>
        <v>重复</v>
      </c>
      <c r="AU18" s="12" t="s">
        <v>202</v>
      </c>
      <c r="AV18" s="12" t="s">
        <v>51</v>
      </c>
    </row>
    <row r="19" s="12" customFormat="1" ht="18" customHeight="1" spans="1:47">
      <c r="A19" s="36">
        <v>16</v>
      </c>
      <c r="B19" s="37" t="s">
        <v>194</v>
      </c>
      <c r="C19" s="37" t="s">
        <v>247</v>
      </c>
      <c r="D19" s="37" t="s">
        <v>195</v>
      </c>
      <c r="E19" s="381" t="s">
        <v>249</v>
      </c>
      <c r="F19" s="38" t="s">
        <v>198</v>
      </c>
      <c r="G19" s="41">
        <v>13979183143</v>
      </c>
      <c r="H19" s="40"/>
      <c r="I19" s="40"/>
      <c r="J19" s="70"/>
      <c r="K19" s="40"/>
      <c r="L19" s="73">
        <v>9545.45</v>
      </c>
      <c r="M19" s="72">
        <v>282.24</v>
      </c>
      <c r="N19" s="72">
        <v>92.81</v>
      </c>
      <c r="O19" s="72">
        <v>17.64</v>
      </c>
      <c r="P19" s="72">
        <v>142</v>
      </c>
      <c r="Q19" s="91">
        <f t="shared" si="10"/>
        <v>534.69</v>
      </c>
      <c r="R19" s="73">
        <v>0</v>
      </c>
      <c r="S19" s="92">
        <f>L19+IFERROR(VLOOKUP($E:$E,'（居民）工资表-2月'!$E:$S,15,0),0)</f>
        <v>9545.45</v>
      </c>
      <c r="T19" s="93">
        <f>5000+IFERROR(VLOOKUP($E:$E,'（居民）工资表-2月'!$E:$T,16,0),0)</f>
        <v>5000</v>
      </c>
      <c r="U19" s="93">
        <f>Q19+IFERROR(VLOOKUP($E:$E,'（居民）工资表-2月'!$E:$U,17,0),0)</f>
        <v>534.69</v>
      </c>
      <c r="V19" s="73"/>
      <c r="W19" s="73"/>
      <c r="X19" s="73"/>
      <c r="Y19" s="73"/>
      <c r="Z19" s="73"/>
      <c r="AA19" s="73"/>
      <c r="AB19" s="92">
        <f t="shared" si="11"/>
        <v>0</v>
      </c>
      <c r="AC19" s="92">
        <f>R19+IFERROR(VLOOKUP($E:$E,'（居民）工资表-2月'!$E:$AC,25,0),0)</f>
        <v>0</v>
      </c>
      <c r="AD19" s="97">
        <f t="shared" si="12"/>
        <v>4010.76</v>
      </c>
      <c r="AE19" s="98">
        <f>ROUND(MAX((AD19)*{0.03;0.1;0.2;0.25;0.3;0.35;0.45}-{0;2520;16920;31920;52920;85920;181920},0),2)</f>
        <v>120.32</v>
      </c>
      <c r="AF19" s="99">
        <f>IFERROR(VLOOKUP(E:E,'（居民）工资表-2月'!E:AF,28,0)+VLOOKUP(E:E,'（居民）工资表-2月'!E:AG,29,0),0)</f>
        <v>0</v>
      </c>
      <c r="AG19" s="99">
        <f t="shared" si="13"/>
        <v>120.32</v>
      </c>
      <c r="AH19" s="109">
        <f t="shared" si="14"/>
        <v>8890.44</v>
      </c>
      <c r="AI19" s="110"/>
      <c r="AJ19" s="109">
        <f t="shared" si="15"/>
        <v>8890.44</v>
      </c>
      <c r="AK19" s="111"/>
      <c r="AL19" s="109">
        <f t="shared" si="16"/>
        <v>9010.76</v>
      </c>
      <c r="AM19" s="111"/>
      <c r="AN19" s="111"/>
      <c r="AO19" s="111"/>
      <c r="AP19" s="111"/>
      <c r="AQ19" s="111"/>
      <c r="AR19" s="118" t="str">
        <f t="shared" si="17"/>
        <v>正确</v>
      </c>
      <c r="AS19" s="118" t="str">
        <f t="shared" si="18"/>
        <v>不</v>
      </c>
      <c r="AT19" s="118" t="str">
        <f t="shared" si="19"/>
        <v>重复</v>
      </c>
      <c r="AU19" s="12" t="s">
        <v>248</v>
      </c>
    </row>
    <row r="20" s="12" customFormat="1" ht="18" customHeight="1" spans="1:46">
      <c r="A20" s="36"/>
      <c r="B20" s="37"/>
      <c r="C20" s="121"/>
      <c r="D20" s="37"/>
      <c r="E20" s="122"/>
      <c r="F20" s="38"/>
      <c r="G20" s="39"/>
      <c r="H20" s="123"/>
      <c r="I20" s="123"/>
      <c r="J20" s="124"/>
      <c r="K20" s="123"/>
      <c r="L20" s="71"/>
      <c r="M20" s="71"/>
      <c r="N20" s="71"/>
      <c r="O20" s="71"/>
      <c r="P20" s="71"/>
      <c r="Q20" s="91"/>
      <c r="R20" s="73"/>
      <c r="S20" s="92"/>
      <c r="T20" s="93"/>
      <c r="U20" s="93"/>
      <c r="V20" s="73"/>
      <c r="W20" s="73"/>
      <c r="X20" s="73"/>
      <c r="Y20" s="73"/>
      <c r="Z20" s="73"/>
      <c r="AA20" s="73"/>
      <c r="AB20" s="92"/>
      <c r="AC20" s="92"/>
      <c r="AD20" s="97"/>
      <c r="AE20" s="98"/>
      <c r="AF20" s="99"/>
      <c r="AG20" s="99"/>
      <c r="AH20" s="109"/>
      <c r="AI20" s="110"/>
      <c r="AJ20" s="109"/>
      <c r="AK20" s="111"/>
      <c r="AL20" s="109"/>
      <c r="AM20" s="111"/>
      <c r="AN20" s="111"/>
      <c r="AO20" s="111"/>
      <c r="AP20" s="111"/>
      <c r="AQ20" s="111"/>
      <c r="AR20" s="118"/>
      <c r="AS20" s="118"/>
      <c r="AT20" s="118"/>
    </row>
    <row r="21" s="13" customFormat="1" ht="18" customHeight="1" spans="1:46">
      <c r="A21" s="42"/>
      <c r="B21" s="43" t="s">
        <v>208</v>
      </c>
      <c r="C21" s="43"/>
      <c r="D21" s="44"/>
      <c r="E21" s="45"/>
      <c r="F21" s="46"/>
      <c r="G21" s="47"/>
      <c r="H21" s="46"/>
      <c r="I21" s="74"/>
      <c r="J21" s="75"/>
      <c r="K21" s="74"/>
      <c r="L21" s="76">
        <f>SUM(L4:L20)</f>
        <v>120524.41</v>
      </c>
      <c r="M21" s="76">
        <f>SUM(M4:M20)</f>
        <v>4998.98</v>
      </c>
      <c r="N21" s="76">
        <f>SUM(N4:N20)</f>
        <v>1647.39</v>
      </c>
      <c r="O21" s="76">
        <f>SUM(O4:O20)</f>
        <v>268.77</v>
      </c>
      <c r="P21" s="76">
        <f t="shared" ref="P21:AL21" si="20">SUM(P4:P20)</f>
        <v>1825.3</v>
      </c>
      <c r="Q21" s="76">
        <f t="shared" si="20"/>
        <v>8740.44</v>
      </c>
      <c r="R21" s="76">
        <f t="shared" si="20"/>
        <v>0</v>
      </c>
      <c r="S21" s="76">
        <f t="shared" si="20"/>
        <v>341162.01</v>
      </c>
      <c r="T21" s="76">
        <f t="shared" si="20"/>
        <v>230000</v>
      </c>
      <c r="U21" s="76">
        <f t="shared" si="20"/>
        <v>27471.73</v>
      </c>
      <c r="V21" s="76">
        <f t="shared" si="20"/>
        <v>3000</v>
      </c>
      <c r="W21" s="76">
        <f t="shared" si="20"/>
        <v>0</v>
      </c>
      <c r="X21" s="76">
        <f t="shared" si="20"/>
        <v>3000</v>
      </c>
      <c r="Y21" s="76">
        <f t="shared" si="20"/>
        <v>0</v>
      </c>
      <c r="Z21" s="76">
        <f t="shared" si="20"/>
        <v>1200</v>
      </c>
      <c r="AA21" s="76">
        <f t="shared" si="20"/>
        <v>0</v>
      </c>
      <c r="AB21" s="76">
        <f t="shared" si="20"/>
        <v>7200</v>
      </c>
      <c r="AC21" s="76">
        <f t="shared" si="20"/>
        <v>0</v>
      </c>
      <c r="AD21" s="76">
        <f t="shared" si="20"/>
        <v>76490.28</v>
      </c>
      <c r="AE21" s="76">
        <f t="shared" si="20"/>
        <v>5426.59</v>
      </c>
      <c r="AF21" s="76">
        <f t="shared" si="20"/>
        <v>2710.21</v>
      </c>
      <c r="AG21" s="76">
        <f t="shared" si="20"/>
        <v>2793.15</v>
      </c>
      <c r="AH21" s="76">
        <f t="shared" si="20"/>
        <v>108990.82</v>
      </c>
      <c r="AI21" s="76">
        <f t="shared" si="20"/>
        <v>0</v>
      </c>
      <c r="AJ21" s="76">
        <f t="shared" si="20"/>
        <v>108990.82</v>
      </c>
      <c r="AK21" s="76">
        <f t="shared" si="20"/>
        <v>0</v>
      </c>
      <c r="AL21" s="76">
        <f t="shared" si="20"/>
        <v>111783.97</v>
      </c>
      <c r="AM21" s="112"/>
      <c r="AN21" s="112"/>
      <c r="AO21" s="112"/>
      <c r="AP21" s="112"/>
      <c r="AQ21" s="112"/>
      <c r="AR21" s="46"/>
      <c r="AS21" s="46"/>
      <c r="AT21" s="120"/>
    </row>
    <row r="24" spans="12:30">
      <c r="L24" s="15">
        <v>111783.97</v>
      </c>
      <c r="AD24" s="103"/>
    </row>
    <row r="25" ht="18.75" customHeight="1" spans="2:30">
      <c r="B25" s="48" t="s">
        <v>175</v>
      </c>
      <c r="C25" s="48" t="s">
        <v>209</v>
      </c>
      <c r="D25" s="48" t="s">
        <v>22</v>
      </c>
      <c r="E25" s="48" t="s">
        <v>23</v>
      </c>
      <c r="AD25" s="10"/>
    </row>
    <row r="26" ht="18.75" customHeight="1" spans="2:5">
      <c r="B26" s="49">
        <f>AJ21</f>
        <v>108990.82</v>
      </c>
      <c r="C26" s="49">
        <f>AG21</f>
        <v>2793.15</v>
      </c>
      <c r="D26" s="49">
        <f>AK21</f>
        <v>0</v>
      </c>
      <c r="E26" s="49">
        <f>B26+C26+D26</f>
        <v>111783.97</v>
      </c>
    </row>
    <row r="27" spans="2:5">
      <c r="B27" s="50"/>
      <c r="C27" s="50"/>
      <c r="D27" s="50"/>
      <c r="E27" s="50">
        <f>社保1!BC21</f>
        <v>27448.28</v>
      </c>
    </row>
    <row r="28" s="14" customFormat="1" spans="1:35">
      <c r="A28" s="52" t="s">
        <v>210</v>
      </c>
      <c r="B28" s="53" t="s">
        <v>211</v>
      </c>
      <c r="C28" s="51"/>
      <c r="D28" s="51"/>
      <c r="E28" s="51"/>
      <c r="G28" s="54"/>
      <c r="J28" s="77"/>
      <c r="M28" s="78"/>
      <c r="AI28" s="114"/>
    </row>
    <row r="29" s="14" customFormat="1" spans="1:35">
      <c r="A29" s="55"/>
      <c r="B29" s="56" t="s">
        <v>212</v>
      </c>
      <c r="C29" s="51"/>
      <c r="D29" s="51"/>
      <c r="E29" s="51"/>
      <c r="G29" s="54"/>
      <c r="J29" s="77"/>
      <c r="M29" s="78"/>
      <c r="AI29" s="114"/>
    </row>
    <row r="30" s="14" customFormat="1" spans="1:35">
      <c r="A30" s="53"/>
      <c r="B30" s="56" t="s">
        <v>213</v>
      </c>
      <c r="C30" s="57"/>
      <c r="D30" s="57"/>
      <c r="E30" s="57"/>
      <c r="F30" s="57"/>
      <c r="G30" s="57"/>
      <c r="H30" s="57"/>
      <c r="I30" s="57"/>
      <c r="J30" s="79"/>
      <c r="K30" s="57"/>
      <c r="L30" s="57"/>
      <c r="M30" s="80"/>
      <c r="N30" s="57"/>
      <c r="O30" s="57"/>
      <c r="P30" s="57"/>
      <c r="AI30" s="114"/>
    </row>
    <row r="31" s="14" customFormat="1" customHeight="1" spans="1:35">
      <c r="A31" s="56"/>
      <c r="B31" s="56" t="s">
        <v>214</v>
      </c>
      <c r="C31" s="58"/>
      <c r="D31" s="58"/>
      <c r="E31" s="58"/>
      <c r="F31" s="58"/>
      <c r="G31" s="58"/>
      <c r="H31" s="58"/>
      <c r="I31" s="81"/>
      <c r="J31" s="82"/>
      <c r="K31" s="81"/>
      <c r="L31" s="81"/>
      <c r="M31" s="83"/>
      <c r="N31" s="81"/>
      <c r="O31" s="81"/>
      <c r="P31" s="81"/>
      <c r="AI31" s="114"/>
    </row>
    <row r="32" s="14" customFormat="1" customHeight="1" spans="1:35">
      <c r="A32" s="56"/>
      <c r="B32" s="56" t="s">
        <v>215</v>
      </c>
      <c r="C32" s="58"/>
      <c r="D32" s="58"/>
      <c r="E32" s="58"/>
      <c r="F32" s="58"/>
      <c r="G32" s="58"/>
      <c r="H32" s="58"/>
      <c r="I32" s="58"/>
      <c r="J32" s="84"/>
      <c r="K32" s="58"/>
      <c r="L32" s="81"/>
      <c r="M32" s="83"/>
      <c r="N32" s="81"/>
      <c r="O32" s="81"/>
      <c r="P32" s="81"/>
      <c r="AI32" s="114"/>
    </row>
    <row r="33" s="14" customFormat="1" customHeight="1" spans="1:35">
      <c r="A33" s="56"/>
      <c r="B33" s="56" t="s">
        <v>216</v>
      </c>
      <c r="C33" s="58"/>
      <c r="D33" s="58"/>
      <c r="E33" s="58"/>
      <c r="F33" s="58"/>
      <c r="G33" s="58"/>
      <c r="H33" s="58"/>
      <c r="I33" s="81"/>
      <c r="J33" s="82"/>
      <c r="K33" s="81"/>
      <c r="L33" s="81"/>
      <c r="M33" s="83"/>
      <c r="N33" s="81"/>
      <c r="O33" s="81"/>
      <c r="P33" s="81"/>
      <c r="AI33" s="114"/>
    </row>
    <row r="35" ht="11.25" customHeight="1" spans="2:2">
      <c r="B35" s="59" t="s">
        <v>217</v>
      </c>
    </row>
    <row r="36" spans="2:2">
      <c r="B36" s="60" t="s">
        <v>218</v>
      </c>
    </row>
    <row r="37" spans="2:2">
      <c r="B37" s="60" t="s">
        <v>219</v>
      </c>
    </row>
  </sheetData>
  <autoFilter ref="A3:AT21">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3">
    <cfRule type="duplicateValues" dxfId="3" priority="2" stopIfTrue="1"/>
  </conditionalFormatting>
  <conditionalFormatting sqref="B28:B32">
    <cfRule type="duplicateValues" dxfId="3" priority="3" stopIfTrue="1"/>
  </conditionalFormatting>
  <conditionalFormatting sqref="B36:B37">
    <cfRule type="duplicateValues" dxfId="3" priority="1" stopIfTrue="1"/>
  </conditionalFormatting>
  <conditionalFormatting sqref="C25:C27">
    <cfRule type="duplicateValues" dxfId="3" priority="4" stopIfTrue="1"/>
    <cfRule type="expression" dxfId="4" priority="5" stopIfTrue="1">
      <formula>AND(COUNTIF($B$21:$B$65457,C25)+COUNTIF($B$1:$B$3,C25)&gt;1,NOT(ISBLANK(C25)))</formula>
    </cfRule>
    <cfRule type="expression" dxfId="4" priority="6" stopIfTrue="1">
      <formula>AND(COUNTIF($B$32:$B$65408,C25)+COUNTIF($B$1:$B$31,C25)&gt;1,NOT(ISBLANK(C25)))</formula>
    </cfRule>
    <cfRule type="expression" dxfId="4" priority="7" stopIfTrue="1">
      <formula>AND(COUNTIF($B$21:$B$65446,C25)+COUNTIF($B$1:$B$3,C25)&gt;1,NOT(ISBLANK(C25)))</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50"/>
    <pageSetUpPr fitToPage="1"/>
  </sheetPr>
  <dimension ref="A1:AT36"/>
  <sheetViews>
    <sheetView workbookViewId="0">
      <pane xSplit="6" ySplit="3" topLeftCell="G4" activePane="bottomRight" state="frozen"/>
      <selection/>
      <selection pane="topRight"/>
      <selection pane="bottomLeft"/>
      <selection pane="bottomRight" activeCell="B4" sqref="B4:P1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90833333333333"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ustomWidth="1"/>
    <col min="44" max="44" width="7" style="15" customWidth="1"/>
    <col min="45" max="45" width="6.725" style="15" customWidth="1"/>
    <col min="46" max="46" width="6.09166666666667" style="15" customWidth="1"/>
    <col min="47" max="47" width="9" style="15" customWidth="1"/>
    <col min="48"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194</v>
      </c>
      <c r="C4" s="37" t="s">
        <v>61</v>
      </c>
      <c r="D4" s="37" t="s">
        <v>195</v>
      </c>
      <c r="E4" s="37" t="s">
        <v>62</v>
      </c>
      <c r="F4" s="38" t="s">
        <v>196</v>
      </c>
      <c r="G4" s="39">
        <v>13944441728</v>
      </c>
      <c r="H4" s="40"/>
      <c r="I4" s="40"/>
      <c r="J4" s="70"/>
      <c r="K4" s="40"/>
      <c r="L4" s="71">
        <v>8000</v>
      </c>
      <c r="M4" s="72">
        <v>296.26</v>
      </c>
      <c r="N4" s="72">
        <v>76.62</v>
      </c>
      <c r="O4" s="72">
        <v>11.11</v>
      </c>
      <c r="P4" s="72">
        <v>463</v>
      </c>
      <c r="Q4" s="91">
        <f t="shared" ref="Q4:Q22" si="0">ROUND(SUM(M4:P4),2)</f>
        <v>846.99</v>
      </c>
      <c r="R4" s="73">
        <v>0</v>
      </c>
      <c r="S4" s="92">
        <f>L4+IFERROR(VLOOKUP($E:$E,'（居民）工资表-3月'!$E:$S,15,0),0)</f>
        <v>30000</v>
      </c>
      <c r="T4" s="93">
        <f>5000+IFERROR(VLOOKUP($E:$E,'（居民）工资表-3月'!$E:$T,16,0),0)</f>
        <v>20000</v>
      </c>
      <c r="U4" s="93">
        <f>Q4+IFERROR(VLOOKUP($E:$E,'（居民）工资表-3月'!$E:$U,17,0),0)</f>
        <v>2359.21</v>
      </c>
      <c r="V4" s="73"/>
      <c r="W4" s="73"/>
      <c r="X4" s="73"/>
      <c r="Y4" s="73"/>
      <c r="Z4" s="73"/>
      <c r="AA4" s="73"/>
      <c r="AB4" s="92">
        <f t="shared" ref="AB4:AB22" si="1">ROUND(SUM(V4:AA4),2)</f>
        <v>0</v>
      </c>
      <c r="AC4" s="92">
        <f>R4+IFERROR(VLOOKUP($E:$E,'（居民）工资表-3月'!$E:$AC,25,0),0)</f>
        <v>0</v>
      </c>
      <c r="AD4" s="97">
        <f t="shared" ref="AD4:AD22" si="2">ROUND(S4-T4-U4-AB4-AC4,2)</f>
        <v>7640.79</v>
      </c>
      <c r="AE4" s="98">
        <f>ROUND(MAX((AD4)*{0.03;0.1;0.2;0.25;0.3;0.35;0.45}-{0;2520;16920;31920;52920;85920;181920},0),2)</f>
        <v>229.22</v>
      </c>
      <c r="AF4" s="99">
        <f>IFERROR(VLOOKUP(E:E,'（居民）工资表-3月'!E:AF,28,0)+VLOOKUP(E:E,'（居民）工资表-3月'!E:AG,29,0),0)</f>
        <v>164.63</v>
      </c>
      <c r="AG4" s="99">
        <f t="shared" ref="AG4:AG22" si="3">IF((AE4-AF4)&lt;0,0,AE4-AF4)</f>
        <v>64.59</v>
      </c>
      <c r="AH4" s="109">
        <f t="shared" ref="AH4:AH22" si="4">ROUND(IF((L4-Q4-AG4)&lt;0,0,(L4-Q4-AG4)),2)</f>
        <v>7088.42</v>
      </c>
      <c r="AI4" s="110"/>
      <c r="AJ4" s="109">
        <f t="shared" ref="AJ4:AJ22" si="5">AH4+AI4</f>
        <v>7088.42</v>
      </c>
      <c r="AK4" s="111"/>
      <c r="AL4" s="109">
        <f t="shared" ref="AL4:AL22" si="6">AJ4+AG4+AK4</f>
        <v>7153.01</v>
      </c>
      <c r="AM4" s="111"/>
      <c r="AN4" s="111"/>
      <c r="AO4" s="111"/>
      <c r="AP4" s="111"/>
      <c r="AQ4" s="111"/>
      <c r="AR4" s="118"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1" si="8">IF(SUMPRODUCT(N(E$1:E$5=E4))&gt;1,"重复","不")</f>
        <v>不</v>
      </c>
      <c r="AT4" s="118" t="str">
        <f t="shared" ref="AT4:AT11" si="9">IF(SUMPRODUCT(N(AO$1:AO$5=AO4))&gt;1,"重复","不")</f>
        <v>重复</v>
      </c>
    </row>
    <row r="5" s="12" customFormat="1" ht="18" customHeight="1" spans="1:46">
      <c r="A5" s="36">
        <v>2</v>
      </c>
      <c r="B5" s="37" t="s">
        <v>194</v>
      </c>
      <c r="C5" s="37" t="s">
        <v>101</v>
      </c>
      <c r="D5" s="37" t="s">
        <v>195</v>
      </c>
      <c r="E5" s="381" t="s">
        <v>102</v>
      </c>
      <c r="F5" s="38" t="s">
        <v>198</v>
      </c>
      <c r="G5" s="39">
        <v>15360550807</v>
      </c>
      <c r="H5" s="40"/>
      <c r="I5" s="40"/>
      <c r="J5" s="70"/>
      <c r="K5" s="40"/>
      <c r="L5" s="71">
        <v>5700</v>
      </c>
      <c r="M5" s="72">
        <v>367.04</v>
      </c>
      <c r="N5" s="72">
        <v>113.48</v>
      </c>
      <c r="O5" s="72">
        <v>4.6</v>
      </c>
      <c r="P5" s="72">
        <v>115</v>
      </c>
      <c r="Q5" s="91">
        <f t="shared" si="0"/>
        <v>600.12</v>
      </c>
      <c r="R5" s="73">
        <v>0</v>
      </c>
      <c r="S5" s="92">
        <f>L5+IFERROR(VLOOKUP($E:$E,'（居民）工资表-3月'!$E:$S,15,0),0)</f>
        <v>22800</v>
      </c>
      <c r="T5" s="93">
        <f>5000+IFERROR(VLOOKUP($E:$E,'（居民）工资表-3月'!$E:$T,16,0),0)</f>
        <v>20000</v>
      </c>
      <c r="U5" s="93">
        <f>Q5+IFERROR(VLOOKUP($E:$E,'（居民）工资表-3月'!$E:$U,17,0),0)</f>
        <v>2400.48</v>
      </c>
      <c r="V5" s="73"/>
      <c r="W5" s="73"/>
      <c r="X5" s="73"/>
      <c r="Y5" s="73"/>
      <c r="Z5" s="73"/>
      <c r="AA5" s="73"/>
      <c r="AB5" s="92">
        <f t="shared" si="1"/>
        <v>0</v>
      </c>
      <c r="AC5" s="92">
        <f>R5+IFERROR(VLOOKUP($E:$E,'（居民）工资表-3月'!$E:$AC,25,0),0)</f>
        <v>0</v>
      </c>
      <c r="AD5" s="97">
        <f t="shared" si="2"/>
        <v>399.52</v>
      </c>
      <c r="AE5" s="98">
        <f>ROUND(MAX((AD5)*{0.03;0.1;0.2;0.25;0.3;0.35;0.45}-{0;2520;16920;31920;52920;85920;181920},0),2)</f>
        <v>11.99</v>
      </c>
      <c r="AF5" s="99">
        <f>IFERROR(VLOOKUP(E:E,'（居民）工资表-3月'!E:AF,28,0)+VLOOKUP(E:E,'（居民）工资表-3月'!E:AG,29,0),0)</f>
        <v>8.99</v>
      </c>
      <c r="AG5" s="99">
        <f t="shared" si="3"/>
        <v>3</v>
      </c>
      <c r="AH5" s="109">
        <f t="shared" si="4"/>
        <v>5096.88</v>
      </c>
      <c r="AI5" s="110"/>
      <c r="AJ5" s="109">
        <f t="shared" si="5"/>
        <v>5096.88</v>
      </c>
      <c r="AK5" s="111"/>
      <c r="AL5" s="109">
        <f t="shared" si="6"/>
        <v>5099.88</v>
      </c>
      <c r="AM5" s="111"/>
      <c r="AN5" s="111"/>
      <c r="AO5" s="111"/>
      <c r="AP5" s="111"/>
      <c r="AQ5" s="111"/>
      <c r="AR5" s="118" t="str">
        <f t="shared" si="7"/>
        <v>正确</v>
      </c>
      <c r="AS5" s="118" t="str">
        <f t="shared" si="8"/>
        <v>不</v>
      </c>
      <c r="AT5" s="118" t="str">
        <f t="shared" si="9"/>
        <v>重复</v>
      </c>
    </row>
    <row r="6" s="12" customFormat="1" ht="18" customHeight="1" spans="1:46">
      <c r="A6" s="36">
        <v>3</v>
      </c>
      <c r="B6" s="37" t="s">
        <v>194</v>
      </c>
      <c r="C6" s="37" t="s">
        <v>108</v>
      </c>
      <c r="D6" s="37" t="s">
        <v>195</v>
      </c>
      <c r="E6" s="381" t="s">
        <v>109</v>
      </c>
      <c r="F6" s="38" t="s">
        <v>196</v>
      </c>
      <c r="G6" s="39" t="s">
        <v>199</v>
      </c>
      <c r="H6" s="40"/>
      <c r="I6" s="40"/>
      <c r="J6" s="70"/>
      <c r="K6" s="40"/>
      <c r="L6" s="71">
        <v>30060</v>
      </c>
      <c r="M6" s="72">
        <v>521.6</v>
      </c>
      <c r="N6" s="72">
        <v>130.4</v>
      </c>
      <c r="O6" s="72">
        <v>32.6</v>
      </c>
      <c r="P6" s="72">
        <v>181.3</v>
      </c>
      <c r="Q6" s="91">
        <f t="shared" si="0"/>
        <v>865.9</v>
      </c>
      <c r="R6" s="73">
        <v>0</v>
      </c>
      <c r="S6" s="92">
        <f>L6+IFERROR(VLOOKUP($E:$E,'（居民）工资表-3月'!$E:$S,15,0),0)</f>
        <v>120240</v>
      </c>
      <c r="T6" s="93">
        <f>5000+IFERROR(VLOOKUP($E:$E,'（居民）工资表-3月'!$E:$T,16,0),0)</f>
        <v>20000</v>
      </c>
      <c r="U6" s="93">
        <f>Q6+IFERROR(VLOOKUP($E:$E,'（居民）工资表-3月'!$E:$U,17,0),0)</f>
        <v>3463.6</v>
      </c>
      <c r="V6" s="73"/>
      <c r="W6" s="73"/>
      <c r="X6" s="73"/>
      <c r="Y6" s="73"/>
      <c r="Z6" s="73"/>
      <c r="AA6" s="73"/>
      <c r="AB6" s="92">
        <f t="shared" si="1"/>
        <v>0</v>
      </c>
      <c r="AC6" s="92">
        <f>R6+IFERROR(VLOOKUP($E:$E,'（居民）工资表-3月'!$E:$AC,25,0),0)</f>
        <v>0</v>
      </c>
      <c r="AD6" s="97">
        <f t="shared" si="2"/>
        <v>96776.4</v>
      </c>
      <c r="AE6" s="98">
        <f>ROUND(MAX((AD6)*{0.03;0.1;0.2;0.25;0.3;0.35;0.45}-{0;2520;16920;31920;52920;85920;181920},0),2)</f>
        <v>7157.64</v>
      </c>
      <c r="AF6" s="99">
        <f>IFERROR(VLOOKUP(E:E,'（居民）工资表-3月'!E:AF,28,0)+VLOOKUP(E:E,'（居民）工资表-3月'!E:AG,29,0),0)</f>
        <v>4738.23</v>
      </c>
      <c r="AG6" s="99">
        <f t="shared" si="3"/>
        <v>2419.41</v>
      </c>
      <c r="AH6" s="109">
        <f t="shared" si="4"/>
        <v>26774.69</v>
      </c>
      <c r="AI6" s="110"/>
      <c r="AJ6" s="109">
        <f t="shared" si="5"/>
        <v>26774.69</v>
      </c>
      <c r="AK6" s="111"/>
      <c r="AL6" s="109">
        <f t="shared" si="6"/>
        <v>29194.1</v>
      </c>
      <c r="AM6" s="111"/>
      <c r="AN6" s="111"/>
      <c r="AO6" s="111"/>
      <c r="AP6" s="111"/>
      <c r="AQ6" s="111"/>
      <c r="AR6" s="118" t="str">
        <f t="shared" si="7"/>
        <v>正确</v>
      </c>
      <c r="AS6" s="118" t="str">
        <f t="shared" si="8"/>
        <v>不</v>
      </c>
      <c r="AT6" s="118" t="str">
        <f t="shared" si="9"/>
        <v>重复</v>
      </c>
    </row>
    <row r="7" s="12" customFormat="1" ht="18" customHeight="1" spans="1:46">
      <c r="A7" s="36">
        <v>4</v>
      </c>
      <c r="B7" s="37" t="s">
        <v>194</v>
      </c>
      <c r="C7" s="37" t="s">
        <v>112</v>
      </c>
      <c r="D7" s="37" t="s">
        <v>195</v>
      </c>
      <c r="E7" s="381" t="s">
        <v>113</v>
      </c>
      <c r="F7" s="38" t="s">
        <v>196</v>
      </c>
      <c r="G7" s="39" t="s">
        <v>201</v>
      </c>
      <c r="H7" s="40"/>
      <c r="I7" s="40"/>
      <c r="J7" s="70"/>
      <c r="K7" s="40"/>
      <c r="L7" s="71">
        <v>7000</v>
      </c>
      <c r="M7" s="72">
        <v>306.56</v>
      </c>
      <c r="N7" s="72">
        <v>84.64</v>
      </c>
      <c r="O7" s="72">
        <v>19.16</v>
      </c>
      <c r="P7" s="72">
        <v>75</v>
      </c>
      <c r="Q7" s="91">
        <f t="shared" si="0"/>
        <v>485.36</v>
      </c>
      <c r="R7" s="73">
        <v>0</v>
      </c>
      <c r="S7" s="92">
        <f>L7+IFERROR(VLOOKUP($E:$E,'（居民）工资表-3月'!$E:$S,15,0),0)</f>
        <v>26000</v>
      </c>
      <c r="T7" s="93">
        <f>5000+IFERROR(VLOOKUP($E:$E,'（居民）工资表-3月'!$E:$T,16,0),0)</f>
        <v>20000</v>
      </c>
      <c r="U7" s="93">
        <f>Q7+IFERROR(VLOOKUP($E:$E,'（居民）工资表-3月'!$E:$U,17,0),0)</f>
        <v>2194.7</v>
      </c>
      <c r="V7" s="73"/>
      <c r="W7" s="73"/>
      <c r="X7" s="73"/>
      <c r="Y7" s="73"/>
      <c r="Z7" s="73"/>
      <c r="AA7" s="73"/>
      <c r="AB7" s="92">
        <f t="shared" si="1"/>
        <v>0</v>
      </c>
      <c r="AC7" s="92">
        <f>R7+IFERROR(VLOOKUP($E:$E,'（居民）工资表-3月'!$E:$AC,25,0),0)</f>
        <v>0</v>
      </c>
      <c r="AD7" s="97">
        <f t="shared" si="2"/>
        <v>3805.3</v>
      </c>
      <c r="AE7" s="98">
        <f>ROUND(MAX((AD7)*{0.03;0.1;0.2;0.25;0.3;0.35;0.45}-{0;2520;16920;31920;52920;85920;181920},0),2)</f>
        <v>114.16</v>
      </c>
      <c r="AF7" s="99">
        <f>IFERROR(VLOOKUP(E:E,'（居民）工资表-3月'!E:AF,28,0)+VLOOKUP(E:E,'（居民）工资表-3月'!E:AG,29,0),0)</f>
        <v>68.72</v>
      </c>
      <c r="AG7" s="99">
        <f t="shared" si="3"/>
        <v>45.44</v>
      </c>
      <c r="AH7" s="109">
        <f t="shared" si="4"/>
        <v>6469.2</v>
      </c>
      <c r="AI7" s="110"/>
      <c r="AJ7" s="109">
        <f t="shared" si="5"/>
        <v>6469.2</v>
      </c>
      <c r="AK7" s="111"/>
      <c r="AL7" s="109">
        <f t="shared" si="6"/>
        <v>6514.64</v>
      </c>
      <c r="AM7" s="111"/>
      <c r="AN7" s="111"/>
      <c r="AO7" s="111"/>
      <c r="AP7" s="111"/>
      <c r="AQ7" s="111"/>
      <c r="AR7" s="118" t="str">
        <f t="shared" si="7"/>
        <v>正确</v>
      </c>
      <c r="AS7" s="118" t="str">
        <f t="shared" si="8"/>
        <v>不</v>
      </c>
      <c r="AT7" s="118" t="str">
        <f t="shared" si="9"/>
        <v>重复</v>
      </c>
    </row>
    <row r="8" s="12" customFormat="1" ht="18" customHeight="1" spans="1:46">
      <c r="A8" s="36">
        <v>5</v>
      </c>
      <c r="B8" s="37" t="s">
        <v>194</v>
      </c>
      <c r="C8" s="37" t="s">
        <v>119</v>
      </c>
      <c r="D8" s="37" t="s">
        <v>195</v>
      </c>
      <c r="E8" s="381" t="s">
        <v>120</v>
      </c>
      <c r="F8" s="38" t="s">
        <v>196</v>
      </c>
      <c r="G8" s="39">
        <v>19356875630</v>
      </c>
      <c r="H8" s="40"/>
      <c r="I8" s="40"/>
      <c r="J8" s="70"/>
      <c r="K8" s="40"/>
      <c r="L8" s="71">
        <v>8000</v>
      </c>
      <c r="M8" s="72">
        <v>306.56</v>
      </c>
      <c r="N8" s="72">
        <v>82.64</v>
      </c>
      <c r="O8" s="72">
        <v>19.16</v>
      </c>
      <c r="P8" s="72">
        <v>172</v>
      </c>
      <c r="Q8" s="73">
        <f t="shared" si="0"/>
        <v>580.36</v>
      </c>
      <c r="R8" s="73">
        <v>0</v>
      </c>
      <c r="S8" s="94">
        <f>L8+IFERROR(VLOOKUP($E:$E,'（居民）工资表-3月'!$E:$S,15,0),0)</f>
        <v>29000</v>
      </c>
      <c r="T8" s="95">
        <f>5000+IFERROR(VLOOKUP($E:$E,'（居民）工资表-3月'!$E:$T,16,0),0)</f>
        <v>20000</v>
      </c>
      <c r="U8" s="95">
        <f>Q8+IFERROR(VLOOKUP($E:$E,'（居民）工资表-3月'!$E:$U,17,0),0)</f>
        <v>2661.7</v>
      </c>
      <c r="V8" s="73"/>
      <c r="W8" s="73"/>
      <c r="X8" s="73"/>
      <c r="Y8" s="73"/>
      <c r="Z8" s="73"/>
      <c r="AA8" s="73"/>
      <c r="AB8" s="94">
        <f t="shared" si="1"/>
        <v>0</v>
      </c>
      <c r="AC8" s="94">
        <f>R8+IFERROR(VLOOKUP($E:$E,'（居民）工资表-3月'!$E:$AC,25,0),0)</f>
        <v>0</v>
      </c>
      <c r="AD8" s="100">
        <f t="shared" si="2"/>
        <v>6338.3</v>
      </c>
      <c r="AE8" s="101">
        <f>ROUND(MAX((AD8)*{0.03;0.1;0.2;0.25;0.3;0.35;0.45}-{0;2520;16920;31920;52920;85920;181920},0),2)</f>
        <v>190.15</v>
      </c>
      <c r="AF8" s="102">
        <f>IFERROR(VLOOKUP(E:E,'（居民）工资表-3月'!E:AF,28,0)+VLOOKUP(E:E,'（居民）工资表-3月'!E:AG,29,0),0)</f>
        <v>117.56</v>
      </c>
      <c r="AG8" s="102">
        <f t="shared" si="3"/>
        <v>72.59</v>
      </c>
      <c r="AH8" s="111">
        <f t="shared" si="4"/>
        <v>7347.05</v>
      </c>
      <c r="AI8" s="110"/>
      <c r="AJ8" s="111">
        <f t="shared" si="5"/>
        <v>7347.05</v>
      </c>
      <c r="AK8" s="111"/>
      <c r="AL8" s="111">
        <f t="shared" si="6"/>
        <v>7419.64</v>
      </c>
      <c r="AM8" s="111"/>
      <c r="AN8" s="111"/>
      <c r="AO8" s="111"/>
      <c r="AP8" s="111"/>
      <c r="AQ8" s="111"/>
      <c r="AR8" s="119" t="str">
        <f t="shared" si="7"/>
        <v>正确</v>
      </c>
      <c r="AS8" s="119" t="str">
        <f t="shared" si="8"/>
        <v>不</v>
      </c>
      <c r="AT8" s="119" t="str">
        <f t="shared" si="9"/>
        <v>重复</v>
      </c>
    </row>
    <row r="9" s="12" customFormat="1" ht="18" customHeight="1" spans="1:46">
      <c r="A9" s="36">
        <v>6</v>
      </c>
      <c r="B9" s="37" t="s">
        <v>194</v>
      </c>
      <c r="C9" s="37" t="s">
        <v>131</v>
      </c>
      <c r="D9" s="37" t="s">
        <v>195</v>
      </c>
      <c r="E9" s="381" t="s">
        <v>132</v>
      </c>
      <c r="F9" s="38" t="s">
        <v>196</v>
      </c>
      <c r="G9" s="39">
        <v>13973652684</v>
      </c>
      <c r="H9" s="40"/>
      <c r="I9" s="40"/>
      <c r="J9" s="70"/>
      <c r="K9" s="40"/>
      <c r="L9" s="71">
        <v>6500</v>
      </c>
      <c r="M9" s="72">
        <v>315.6</v>
      </c>
      <c r="N9" s="72">
        <v>114.72</v>
      </c>
      <c r="O9" s="72">
        <v>11.84</v>
      </c>
      <c r="P9" s="72">
        <v>100</v>
      </c>
      <c r="Q9" s="91">
        <f t="shared" si="0"/>
        <v>542.16</v>
      </c>
      <c r="R9" s="73">
        <v>0</v>
      </c>
      <c r="S9" s="92">
        <f>L9+IFERROR(VLOOKUP($E:$E,'（居民）工资表-3月'!$E:$S,15,0),0)</f>
        <v>26000</v>
      </c>
      <c r="T9" s="93">
        <f>5000+IFERROR(VLOOKUP($E:$E,'（居民）工资表-3月'!$E:$T,16,0),0)</f>
        <v>20000</v>
      </c>
      <c r="U9" s="93">
        <f>Q9+IFERROR(VLOOKUP($E:$E,'（居民）工资表-3月'!$E:$U,17,0),0)</f>
        <v>2098.14</v>
      </c>
      <c r="V9" s="73"/>
      <c r="W9" s="73"/>
      <c r="X9" s="73"/>
      <c r="Y9" s="73"/>
      <c r="Z9" s="73"/>
      <c r="AA9" s="73"/>
      <c r="AB9" s="92">
        <f t="shared" si="1"/>
        <v>0</v>
      </c>
      <c r="AC9" s="92">
        <f>R9+IFERROR(VLOOKUP($E:$E,'（居民）工资表-3月'!$E:$AC,25,0),0)</f>
        <v>0</v>
      </c>
      <c r="AD9" s="97">
        <f t="shared" si="2"/>
        <v>3901.86</v>
      </c>
      <c r="AE9" s="98">
        <f>ROUND(MAX((AD9)*{0.03;0.1;0.2;0.25;0.3;0.35;0.45}-{0;2520;16920;31920;52920;85920;181920},0),2)</f>
        <v>117.06</v>
      </c>
      <c r="AF9" s="99">
        <f>IFERROR(VLOOKUP(E:E,'（居民）工资表-3月'!E:AF,28,0)+VLOOKUP(E:E,'（居民）工资表-3月'!E:AG,29,0),0)</f>
        <v>88.32</v>
      </c>
      <c r="AG9" s="99">
        <f t="shared" si="3"/>
        <v>28.74</v>
      </c>
      <c r="AH9" s="109">
        <f t="shared" si="4"/>
        <v>5929.1</v>
      </c>
      <c r="AI9" s="110"/>
      <c r="AJ9" s="109">
        <f t="shared" si="5"/>
        <v>5929.1</v>
      </c>
      <c r="AK9" s="111"/>
      <c r="AL9" s="109">
        <f t="shared" si="6"/>
        <v>5957.84</v>
      </c>
      <c r="AM9" s="111"/>
      <c r="AN9" s="111"/>
      <c r="AO9" s="111"/>
      <c r="AP9" s="111"/>
      <c r="AQ9" s="111"/>
      <c r="AR9" s="118" t="str">
        <f t="shared" si="7"/>
        <v>正确</v>
      </c>
      <c r="AS9" s="118" t="str">
        <f t="shared" si="8"/>
        <v>不</v>
      </c>
      <c r="AT9" s="118" t="str">
        <f t="shared" si="9"/>
        <v>重复</v>
      </c>
    </row>
    <row r="10" s="12" customFormat="1" ht="18" customHeight="1" spans="1:46">
      <c r="A10" s="36">
        <v>7</v>
      </c>
      <c r="B10" s="37" t="s">
        <v>194</v>
      </c>
      <c r="C10" s="37" t="s">
        <v>134</v>
      </c>
      <c r="D10" s="37" t="s">
        <v>195</v>
      </c>
      <c r="E10" s="381" t="s">
        <v>135</v>
      </c>
      <c r="F10" s="38" t="s">
        <v>196</v>
      </c>
      <c r="G10" s="39" t="s">
        <v>203</v>
      </c>
      <c r="H10" s="40"/>
      <c r="I10" s="40"/>
      <c r="J10" s="70"/>
      <c r="K10" s="40"/>
      <c r="L10" s="71">
        <v>5500</v>
      </c>
      <c r="M10" s="72">
        <v>316.56</v>
      </c>
      <c r="N10" s="72">
        <v>84.14</v>
      </c>
      <c r="O10" s="72">
        <v>19.79</v>
      </c>
      <c r="P10" s="72">
        <v>105</v>
      </c>
      <c r="Q10" s="91">
        <f t="shared" si="0"/>
        <v>525.49</v>
      </c>
      <c r="R10" s="73">
        <v>0</v>
      </c>
      <c r="S10" s="92">
        <f>L10+IFERROR(VLOOKUP($E:$E,'（居民）工资表-3月'!$E:$S,15,0),0)</f>
        <v>22000</v>
      </c>
      <c r="T10" s="93">
        <f>5000+IFERROR(VLOOKUP($E:$E,'（居民）工资表-3月'!$E:$T,16,0),0)</f>
        <v>20000</v>
      </c>
      <c r="U10" s="93">
        <f>Q10+IFERROR(VLOOKUP($E:$E,'（居民）工资表-3月'!$E:$U,17,0),0)</f>
        <v>2101.96</v>
      </c>
      <c r="V10" s="73"/>
      <c r="W10" s="73"/>
      <c r="X10" s="73"/>
      <c r="Y10" s="73"/>
      <c r="Z10" s="73"/>
      <c r="AA10" s="73"/>
      <c r="AB10" s="92">
        <f t="shared" si="1"/>
        <v>0</v>
      </c>
      <c r="AC10" s="92">
        <f>R10+IFERROR(VLOOKUP($E:$E,'（居民）工资表-3月'!$E:$AC,25,0),0)</f>
        <v>0</v>
      </c>
      <c r="AD10" s="97">
        <f t="shared" si="2"/>
        <v>-101.96</v>
      </c>
      <c r="AE10" s="98">
        <f>ROUND(MAX((AD10)*{0.03;0.1;0.2;0.25;0.3;0.35;0.45}-{0;2520;16920;31920;52920;85920;181920},0),2)</f>
        <v>0</v>
      </c>
      <c r="AF10" s="99">
        <f>IFERROR(VLOOKUP(E:E,'（居民）工资表-3月'!E:AF,28,0)+VLOOKUP(E:E,'（居民）工资表-3月'!E:AG,29,0),0)</f>
        <v>0</v>
      </c>
      <c r="AG10" s="99">
        <f t="shared" si="3"/>
        <v>0</v>
      </c>
      <c r="AH10" s="109">
        <f t="shared" si="4"/>
        <v>4974.51</v>
      </c>
      <c r="AI10" s="110"/>
      <c r="AJ10" s="109">
        <f t="shared" si="5"/>
        <v>4974.51</v>
      </c>
      <c r="AK10" s="111"/>
      <c r="AL10" s="109">
        <f t="shared" si="6"/>
        <v>4974.51</v>
      </c>
      <c r="AM10" s="111"/>
      <c r="AN10" s="111"/>
      <c r="AO10" s="111"/>
      <c r="AP10" s="111"/>
      <c r="AQ10" s="111"/>
      <c r="AR10" s="118" t="str">
        <f t="shared" si="7"/>
        <v>正确</v>
      </c>
      <c r="AS10" s="118" t="str">
        <f t="shared" si="8"/>
        <v>不</v>
      </c>
      <c r="AT10" s="118" t="str">
        <f t="shared" si="9"/>
        <v>重复</v>
      </c>
    </row>
    <row r="11" s="12" customFormat="1" ht="18" customHeight="1" spans="1:46">
      <c r="A11" s="36">
        <v>8</v>
      </c>
      <c r="B11" s="37" t="s">
        <v>194</v>
      </c>
      <c r="C11" s="37" t="s">
        <v>138</v>
      </c>
      <c r="D11" s="37" t="s">
        <v>195</v>
      </c>
      <c r="E11" s="381" t="s">
        <v>139</v>
      </c>
      <c r="F11" s="38" t="s">
        <v>198</v>
      </c>
      <c r="G11" s="39" t="s">
        <v>205</v>
      </c>
      <c r="H11" s="40"/>
      <c r="I11" s="40"/>
      <c r="J11" s="70"/>
      <c r="K11" s="40"/>
      <c r="L11" s="71">
        <v>4598.8</v>
      </c>
      <c r="M11" s="72">
        <v>352</v>
      </c>
      <c r="N11" s="72">
        <v>110</v>
      </c>
      <c r="O11" s="72">
        <v>22</v>
      </c>
      <c r="P11" s="72">
        <v>109</v>
      </c>
      <c r="Q11" s="91">
        <f t="shared" si="0"/>
        <v>593</v>
      </c>
      <c r="R11" s="73">
        <v>0</v>
      </c>
      <c r="S11" s="92">
        <f>L11+IFERROR(VLOOKUP($E:$E,'（居民）工资表-3月'!$E:$S,15,0),0)</f>
        <v>18395.2</v>
      </c>
      <c r="T11" s="93">
        <f>5000+IFERROR(VLOOKUP($E:$E,'（居民）工资表-3月'!$E:$T,16,0),0)</f>
        <v>20000</v>
      </c>
      <c r="U11" s="93">
        <f>Q11+IFERROR(VLOOKUP($E:$E,'（居民）工资表-3月'!$E:$U,17,0),0)</f>
        <v>2372</v>
      </c>
      <c r="V11" s="73"/>
      <c r="W11" s="73"/>
      <c r="X11" s="73"/>
      <c r="Y11" s="73"/>
      <c r="Z11" s="73"/>
      <c r="AA11" s="73"/>
      <c r="AB11" s="92">
        <f t="shared" si="1"/>
        <v>0</v>
      </c>
      <c r="AC11" s="92">
        <f>R11+IFERROR(VLOOKUP($E:$E,'（居民）工资表-3月'!$E:$AC,25,0),0)</f>
        <v>0</v>
      </c>
      <c r="AD11" s="97">
        <f t="shared" si="2"/>
        <v>-3976.8</v>
      </c>
      <c r="AE11" s="98">
        <f>ROUND(MAX((AD11)*{0.03;0.1;0.2;0.25;0.3;0.35;0.45}-{0;2520;16920;31920;52920;85920;181920},0),2)</f>
        <v>0</v>
      </c>
      <c r="AF11" s="99">
        <f>IFERROR(VLOOKUP(E:E,'（居民）工资表-3月'!E:AF,28,0)+VLOOKUP(E:E,'（居民）工资表-3月'!E:AG,29,0),0)</f>
        <v>0</v>
      </c>
      <c r="AG11" s="99">
        <f t="shared" si="3"/>
        <v>0</v>
      </c>
      <c r="AH11" s="109">
        <f t="shared" si="4"/>
        <v>4005.8</v>
      </c>
      <c r="AI11" s="110"/>
      <c r="AJ11" s="109">
        <f t="shared" si="5"/>
        <v>4005.8</v>
      </c>
      <c r="AK11" s="111"/>
      <c r="AL11" s="109">
        <f t="shared" si="6"/>
        <v>4005.8</v>
      </c>
      <c r="AM11" s="111"/>
      <c r="AN11" s="111"/>
      <c r="AO11" s="111"/>
      <c r="AP11" s="111"/>
      <c r="AQ11" s="111"/>
      <c r="AR11" s="118" t="str">
        <f t="shared" si="7"/>
        <v>正确</v>
      </c>
      <c r="AS11" s="118" t="str">
        <f t="shared" si="8"/>
        <v>不</v>
      </c>
      <c r="AT11" s="118" t="str">
        <f t="shared" si="9"/>
        <v>重复</v>
      </c>
    </row>
    <row r="12" s="12" customFormat="1" ht="18" customHeight="1" spans="1:46">
      <c r="A12" s="36">
        <v>9</v>
      </c>
      <c r="B12" s="37" t="s">
        <v>194</v>
      </c>
      <c r="C12" s="37" t="s">
        <v>128</v>
      </c>
      <c r="D12" s="37" t="s">
        <v>195</v>
      </c>
      <c r="E12" s="381" t="s">
        <v>129</v>
      </c>
      <c r="F12" s="38" t="s">
        <v>196</v>
      </c>
      <c r="G12" s="39">
        <v>18356553626</v>
      </c>
      <c r="H12" s="40"/>
      <c r="I12" s="40"/>
      <c r="J12" s="70"/>
      <c r="K12" s="40"/>
      <c r="L12" s="71">
        <v>7000</v>
      </c>
      <c r="M12" s="72">
        <v>306.56</v>
      </c>
      <c r="N12" s="72">
        <v>112.49</v>
      </c>
      <c r="O12" s="72">
        <v>19.16</v>
      </c>
      <c r="P12" s="72">
        <v>140</v>
      </c>
      <c r="Q12" s="91">
        <f t="shared" si="0"/>
        <v>578.21</v>
      </c>
      <c r="R12" s="73">
        <v>0</v>
      </c>
      <c r="S12" s="92">
        <f>L12+IFERROR(VLOOKUP($E:$E,'（居民）工资表-3月'!$E:$S,15,0),0)</f>
        <v>24118.18</v>
      </c>
      <c r="T12" s="93">
        <f>5000+IFERROR(VLOOKUP($E:$E,'（居民）工资表-3月'!$E:$T,16,0),0)</f>
        <v>20000</v>
      </c>
      <c r="U12" s="93">
        <f>Q12+IFERROR(VLOOKUP($E:$E,'（居民）工资表-3月'!$E:$U,17,0),0)</f>
        <v>2125.88</v>
      </c>
      <c r="V12" s="73"/>
      <c r="W12" s="73"/>
      <c r="X12" s="73"/>
      <c r="Y12" s="73"/>
      <c r="Z12" s="73"/>
      <c r="AA12" s="73"/>
      <c r="AB12" s="92">
        <f t="shared" si="1"/>
        <v>0</v>
      </c>
      <c r="AC12" s="92">
        <f>R12+IFERROR(VLOOKUP($E:$E,'（居民）工资表-3月'!$E:$AC,25,0),0)</f>
        <v>0</v>
      </c>
      <c r="AD12" s="97">
        <f t="shared" si="2"/>
        <v>1992.3</v>
      </c>
      <c r="AE12" s="98">
        <f>ROUND(MAX((AD12)*{0.03;0.1;0.2;0.25;0.3;0.35;0.45}-{0;2520;16920;31920;52920;85920;181920},0),2)</f>
        <v>59.77</v>
      </c>
      <c r="AF12" s="99">
        <f>IFERROR(VLOOKUP(E:E,'（居民）工资表-3月'!E:AF,28,0)+VLOOKUP(E:E,'（居民）工资表-3月'!E:AG,29,0),0)</f>
        <v>17.12</v>
      </c>
      <c r="AG12" s="99">
        <f t="shared" si="3"/>
        <v>42.65</v>
      </c>
      <c r="AH12" s="109">
        <f t="shared" si="4"/>
        <v>6379.14</v>
      </c>
      <c r="AI12" s="110"/>
      <c r="AJ12" s="109">
        <f t="shared" si="5"/>
        <v>6379.14</v>
      </c>
      <c r="AK12" s="111"/>
      <c r="AL12" s="109">
        <f t="shared" si="6"/>
        <v>6421.79</v>
      </c>
      <c r="AM12" s="111"/>
      <c r="AN12" s="111"/>
      <c r="AO12" s="111"/>
      <c r="AP12" s="111"/>
      <c r="AQ12" s="111"/>
      <c r="AR12" s="118"/>
      <c r="AS12" s="118"/>
      <c r="AT12" s="118"/>
    </row>
    <row r="13" s="12" customFormat="1" ht="18" customHeight="1" spans="1:46">
      <c r="A13" s="36">
        <v>10</v>
      </c>
      <c r="B13" s="37" t="s">
        <v>194</v>
      </c>
      <c r="C13" s="37" t="s">
        <v>123</v>
      </c>
      <c r="D13" s="37" t="s">
        <v>195</v>
      </c>
      <c r="E13" s="381" t="s">
        <v>124</v>
      </c>
      <c r="F13" s="38" t="s">
        <v>196</v>
      </c>
      <c r="G13" s="39">
        <v>18326897140</v>
      </c>
      <c r="H13" s="40"/>
      <c r="I13" s="40"/>
      <c r="J13" s="70"/>
      <c r="K13" s="40"/>
      <c r="L13" s="71">
        <v>5500</v>
      </c>
      <c r="M13" s="72">
        <v>306.56</v>
      </c>
      <c r="N13" s="72">
        <v>82.64</v>
      </c>
      <c r="O13" s="72">
        <v>19.16</v>
      </c>
      <c r="P13" s="72">
        <v>172</v>
      </c>
      <c r="Q13" s="91">
        <f t="shared" si="0"/>
        <v>580.36</v>
      </c>
      <c r="R13" s="73">
        <v>0</v>
      </c>
      <c r="S13" s="92">
        <f>L13+IFERROR(VLOOKUP($E:$E,'（居民）工资表-3月'!$E:$S,15,0),0)</f>
        <v>18950</v>
      </c>
      <c r="T13" s="93">
        <f>5000+IFERROR(VLOOKUP($E:$E,'（居民）工资表-3月'!$E:$T,16,0),0)</f>
        <v>20000</v>
      </c>
      <c r="U13" s="93">
        <f>Q13+IFERROR(VLOOKUP($E:$E,'（居民）工资表-3月'!$E:$U,17,0),0)</f>
        <v>2450.65</v>
      </c>
      <c r="V13" s="73"/>
      <c r="W13" s="73"/>
      <c r="X13" s="73"/>
      <c r="Y13" s="73"/>
      <c r="Z13" s="73"/>
      <c r="AA13" s="73"/>
      <c r="AB13" s="92">
        <f t="shared" si="1"/>
        <v>0</v>
      </c>
      <c r="AC13" s="92">
        <f>R13+IFERROR(VLOOKUP($E:$E,'（居民）工资表-3月'!$E:$AC,25,0),0)</f>
        <v>0</v>
      </c>
      <c r="AD13" s="97">
        <f t="shared" si="2"/>
        <v>-3500.65</v>
      </c>
      <c r="AE13" s="98">
        <f>ROUND(MAX((AD13)*{0.03;0.1;0.2;0.25;0.3;0.35;0.45}-{0;2520;16920;31920;52920;85920;181920},0),2)</f>
        <v>0</v>
      </c>
      <c r="AF13" s="99">
        <f>IFERROR(VLOOKUP(E:E,'（居民）工资表-3月'!E:AF,28,0)+VLOOKUP(E:E,'（居民）工资表-3月'!E:AG,29,0),0)</f>
        <v>0</v>
      </c>
      <c r="AG13" s="99">
        <f t="shared" si="3"/>
        <v>0</v>
      </c>
      <c r="AH13" s="109">
        <f t="shared" si="4"/>
        <v>4919.64</v>
      </c>
      <c r="AI13" s="110"/>
      <c r="AJ13" s="109">
        <f t="shared" si="5"/>
        <v>4919.64</v>
      </c>
      <c r="AK13" s="111"/>
      <c r="AL13" s="109">
        <f t="shared" si="6"/>
        <v>4919.64</v>
      </c>
      <c r="AM13" s="111"/>
      <c r="AN13" s="111"/>
      <c r="AO13" s="111"/>
      <c r="AP13" s="111"/>
      <c r="AQ13" s="111"/>
      <c r="AR13" s="118"/>
      <c r="AS13" s="118"/>
      <c r="AT13" s="118"/>
    </row>
    <row r="14" s="12" customFormat="1" ht="17" customHeight="1" spans="1:46">
      <c r="A14" s="36">
        <v>11</v>
      </c>
      <c r="B14" s="37" t="s">
        <v>194</v>
      </c>
      <c r="C14" s="37" t="s">
        <v>121</v>
      </c>
      <c r="D14" s="37" t="s">
        <v>195</v>
      </c>
      <c r="E14" s="381" t="s">
        <v>122</v>
      </c>
      <c r="F14" s="38" t="s">
        <v>196</v>
      </c>
      <c r="G14" s="39">
        <v>17201857014</v>
      </c>
      <c r="H14" s="40"/>
      <c r="I14" s="40"/>
      <c r="J14" s="70"/>
      <c r="K14" s="40"/>
      <c r="L14" s="71">
        <v>5500</v>
      </c>
      <c r="M14" s="72">
        <v>306.56</v>
      </c>
      <c r="N14" s="72">
        <v>82.64</v>
      </c>
      <c r="O14" s="72">
        <v>19.16</v>
      </c>
      <c r="P14" s="72">
        <v>172</v>
      </c>
      <c r="Q14" s="91">
        <f t="shared" si="0"/>
        <v>580.36</v>
      </c>
      <c r="R14" s="73">
        <v>0</v>
      </c>
      <c r="S14" s="92">
        <f>L14+IFERROR(VLOOKUP($E:$E,'（居民）工资表-3月'!$E:$S,15,0),0)</f>
        <v>19050</v>
      </c>
      <c r="T14" s="93">
        <f>5000+IFERROR(VLOOKUP($E:$E,'（居民）工资表-3月'!$E:$T,16,0),0)</f>
        <v>20000</v>
      </c>
      <c r="U14" s="93">
        <f>Q14+IFERROR(VLOOKUP($E:$E,'（居民）工资表-3月'!$E:$U,17,0),0)</f>
        <v>2450.65</v>
      </c>
      <c r="V14" s="73"/>
      <c r="W14" s="73"/>
      <c r="X14" s="73"/>
      <c r="Y14" s="73"/>
      <c r="Z14" s="73"/>
      <c r="AA14" s="73"/>
      <c r="AB14" s="92">
        <f t="shared" si="1"/>
        <v>0</v>
      </c>
      <c r="AC14" s="92">
        <f>R14+IFERROR(VLOOKUP($E:$E,'（居民）工资表-3月'!$E:$AC,25,0),0)</f>
        <v>0</v>
      </c>
      <c r="AD14" s="97">
        <f t="shared" si="2"/>
        <v>-3400.65</v>
      </c>
      <c r="AE14" s="98">
        <f>ROUND(MAX((AD14)*{0.03;0.1;0.2;0.25;0.3;0.35;0.45}-{0;2520;16920;31920;52920;85920;181920},0),2)</f>
        <v>0</v>
      </c>
      <c r="AF14" s="99">
        <f>IFERROR(VLOOKUP(E:E,'（居民）工资表-3月'!E:AF,28,0)+VLOOKUP(E:E,'（居民）工资表-3月'!E:AG,29,0),0)</f>
        <v>0</v>
      </c>
      <c r="AG14" s="99">
        <f t="shared" si="3"/>
        <v>0</v>
      </c>
      <c r="AH14" s="109">
        <f t="shared" si="4"/>
        <v>4919.64</v>
      </c>
      <c r="AI14" s="110"/>
      <c r="AJ14" s="109">
        <f t="shared" si="5"/>
        <v>4919.64</v>
      </c>
      <c r="AK14" s="111"/>
      <c r="AL14" s="109">
        <f t="shared" si="6"/>
        <v>4919.64</v>
      </c>
      <c r="AM14" s="111"/>
      <c r="AN14" s="111"/>
      <c r="AO14" s="111"/>
      <c r="AP14" s="111"/>
      <c r="AQ14" s="111"/>
      <c r="AR14" s="118"/>
      <c r="AS14" s="118"/>
      <c r="AT14" s="118"/>
    </row>
    <row r="15" s="12" customFormat="1" ht="17" customHeight="1" spans="1:46">
      <c r="A15" s="36">
        <v>12</v>
      </c>
      <c r="B15" s="37" t="s">
        <v>194</v>
      </c>
      <c r="C15" s="37" t="s">
        <v>126</v>
      </c>
      <c r="D15" s="37" t="s">
        <v>195</v>
      </c>
      <c r="E15" s="381" t="s">
        <v>127</v>
      </c>
      <c r="F15" s="38" t="s">
        <v>198</v>
      </c>
      <c r="G15" s="39" t="s">
        <v>207</v>
      </c>
      <c r="H15" s="40"/>
      <c r="I15" s="40"/>
      <c r="J15" s="70"/>
      <c r="K15" s="40"/>
      <c r="L15" s="71">
        <v>7000</v>
      </c>
      <c r="M15" s="72">
        <v>306.56</v>
      </c>
      <c r="N15" s="72">
        <v>112.49</v>
      </c>
      <c r="O15" s="72">
        <v>19.16</v>
      </c>
      <c r="P15" s="72">
        <v>140</v>
      </c>
      <c r="Q15" s="91">
        <f t="shared" si="0"/>
        <v>578.21</v>
      </c>
      <c r="R15" s="73">
        <v>0</v>
      </c>
      <c r="S15" s="92">
        <f>L15+IFERROR(VLOOKUP($E:$E,'（居民）工资表-3月'!$E:$S,15,0),0)</f>
        <v>24309.09</v>
      </c>
      <c r="T15" s="93">
        <f>5000+IFERROR(VLOOKUP($E:$E,'（居民）工资表-3月'!$E:$T,16,0),0)</f>
        <v>20000</v>
      </c>
      <c r="U15" s="93">
        <f>Q15+IFERROR(VLOOKUP($E:$E,'（居民）工资表-3月'!$E:$U,17,0),0)</f>
        <v>2133.92</v>
      </c>
      <c r="V15" s="73"/>
      <c r="W15" s="73"/>
      <c r="X15" s="73"/>
      <c r="Y15" s="73"/>
      <c r="Z15" s="73"/>
      <c r="AA15" s="73"/>
      <c r="AB15" s="92">
        <f t="shared" si="1"/>
        <v>0</v>
      </c>
      <c r="AC15" s="92">
        <f>R15+IFERROR(VLOOKUP($E:$E,'（居民）工资表-3月'!$E:$AC,25,0),0)</f>
        <v>0</v>
      </c>
      <c r="AD15" s="97">
        <f t="shared" si="2"/>
        <v>2175.17</v>
      </c>
      <c r="AE15" s="98">
        <f>ROUND(MAX((AD15)*{0.03;0.1;0.2;0.25;0.3;0.35;0.45}-{0;2520;16920;31920;52920;85920;181920},0),2)</f>
        <v>65.26</v>
      </c>
      <c r="AF15" s="99">
        <f>IFERROR(VLOOKUP(E:E,'（居民）工资表-3月'!E:AF,28,0)+VLOOKUP(E:E,'（居民）工资表-3月'!E:AG,29,0),0)</f>
        <v>22.6</v>
      </c>
      <c r="AG15" s="99">
        <f t="shared" si="3"/>
        <v>42.66</v>
      </c>
      <c r="AH15" s="109">
        <f t="shared" si="4"/>
        <v>6379.13</v>
      </c>
      <c r="AI15" s="110"/>
      <c r="AJ15" s="109">
        <f t="shared" si="5"/>
        <v>6379.13</v>
      </c>
      <c r="AK15" s="111"/>
      <c r="AL15" s="109">
        <f t="shared" si="6"/>
        <v>6421.79</v>
      </c>
      <c r="AM15" s="111"/>
      <c r="AN15" s="111"/>
      <c r="AO15" s="111"/>
      <c r="AP15" s="111"/>
      <c r="AQ15" s="111"/>
      <c r="AR15" s="118"/>
      <c r="AS15" s="118"/>
      <c r="AT15" s="118"/>
    </row>
    <row r="16" s="12" customFormat="1" ht="17" customHeight="1" spans="1:46">
      <c r="A16" s="36">
        <v>13</v>
      </c>
      <c r="B16" s="37" t="s">
        <v>194</v>
      </c>
      <c r="C16" s="37" t="s">
        <v>115</v>
      </c>
      <c r="D16" s="37" t="s">
        <v>195</v>
      </c>
      <c r="E16" s="381" t="s">
        <v>116</v>
      </c>
      <c r="F16" s="38" t="s">
        <v>198</v>
      </c>
      <c r="G16" s="39">
        <v>15855788591</v>
      </c>
      <c r="H16" s="40"/>
      <c r="I16" s="40"/>
      <c r="J16" s="70"/>
      <c r="K16" s="40"/>
      <c r="L16" s="71">
        <v>5880</v>
      </c>
      <c r="M16" s="72">
        <v>306.56</v>
      </c>
      <c r="N16" s="72">
        <v>84.64</v>
      </c>
      <c r="O16" s="72">
        <v>19.16</v>
      </c>
      <c r="P16" s="72">
        <v>75</v>
      </c>
      <c r="Q16" s="91">
        <f t="shared" si="0"/>
        <v>485.36</v>
      </c>
      <c r="R16" s="73">
        <v>0</v>
      </c>
      <c r="S16" s="92">
        <f>L16+IFERROR(VLOOKUP($E:$E,'（居民）工资表-3月'!$E:$S,15,0),0)</f>
        <v>19212</v>
      </c>
      <c r="T16" s="93">
        <f>5000+IFERROR(VLOOKUP($E:$E,'（居民）工资表-3月'!$E:$T,16,0),0)</f>
        <v>20000</v>
      </c>
      <c r="U16" s="93">
        <f>Q16+IFERROR(VLOOKUP($E:$E,'（居民）工资表-3月'!$E:$U,17,0),0)</f>
        <v>2426.8</v>
      </c>
      <c r="V16" s="73"/>
      <c r="W16" s="73"/>
      <c r="X16" s="73"/>
      <c r="Y16" s="73"/>
      <c r="Z16" s="73"/>
      <c r="AA16" s="73"/>
      <c r="AB16" s="92">
        <f t="shared" si="1"/>
        <v>0</v>
      </c>
      <c r="AC16" s="92">
        <f>R16+IFERROR(VLOOKUP($E:$E,'（居民）工资表-3月'!$E:$AC,25,0),0)</f>
        <v>0</v>
      </c>
      <c r="AD16" s="97">
        <f t="shared" si="2"/>
        <v>-3214.8</v>
      </c>
      <c r="AE16" s="98">
        <f>ROUND(MAX((AD16)*{0.03;0.1;0.2;0.25;0.3;0.35;0.45}-{0;2520;16920;31920;52920;85920;181920},0),2)</f>
        <v>0</v>
      </c>
      <c r="AF16" s="99">
        <f>IFERROR(VLOOKUP(E:E,'（居民）工资表-3月'!E:AF,28,0)+VLOOKUP(E:E,'（居民）工资表-3月'!E:AG,29,0),0)</f>
        <v>0</v>
      </c>
      <c r="AG16" s="99">
        <f t="shared" si="3"/>
        <v>0</v>
      </c>
      <c r="AH16" s="109">
        <f t="shared" si="4"/>
        <v>5394.64</v>
      </c>
      <c r="AI16" s="110"/>
      <c r="AJ16" s="109">
        <f t="shared" si="5"/>
        <v>5394.64</v>
      </c>
      <c r="AK16" s="111"/>
      <c r="AL16" s="109">
        <f t="shared" si="6"/>
        <v>5394.64</v>
      </c>
      <c r="AM16" s="111"/>
      <c r="AN16" s="111"/>
      <c r="AO16" s="111"/>
      <c r="AP16" s="111"/>
      <c r="AQ16" s="111"/>
      <c r="AR16" s="118"/>
      <c r="AS16" s="118"/>
      <c r="AT16" s="118"/>
    </row>
    <row r="17" s="12" customFormat="1" ht="17" customHeight="1" spans="1:46">
      <c r="A17" s="36">
        <v>14</v>
      </c>
      <c r="B17" s="37" t="s">
        <v>194</v>
      </c>
      <c r="C17" s="37" t="s">
        <v>142</v>
      </c>
      <c r="D17" s="37" t="s">
        <v>195</v>
      </c>
      <c r="E17" s="381" t="s">
        <v>143</v>
      </c>
      <c r="F17" s="38" t="s">
        <v>198</v>
      </c>
      <c r="G17" s="39">
        <v>13873717760</v>
      </c>
      <c r="H17" s="40"/>
      <c r="I17" s="40"/>
      <c r="J17" s="70"/>
      <c r="K17" s="40"/>
      <c r="L17" s="71">
        <v>5585</v>
      </c>
      <c r="M17" s="72">
        <v>315.6</v>
      </c>
      <c r="N17" s="72">
        <v>86.72</v>
      </c>
      <c r="O17" s="72">
        <v>11.84</v>
      </c>
      <c r="P17" s="72">
        <v>175</v>
      </c>
      <c r="Q17" s="91">
        <f t="shared" si="0"/>
        <v>589.16</v>
      </c>
      <c r="R17" s="73">
        <v>0</v>
      </c>
      <c r="S17" s="92">
        <f>L17+IFERROR(VLOOKUP($E:$E,'（居民）工资表-3月'!$E:$S,15,0),0)</f>
        <v>17405</v>
      </c>
      <c r="T17" s="93">
        <f>5000+IFERROR(VLOOKUP($E:$E,'（居民）工资表-3月'!$E:$T,16,0),0)</f>
        <v>20000</v>
      </c>
      <c r="U17" s="93">
        <f>Q17+IFERROR(VLOOKUP($E:$E,'（居民）工资表-3月'!$E:$U,17,0),0)</f>
        <v>3037.51</v>
      </c>
      <c r="V17" s="73"/>
      <c r="W17" s="73"/>
      <c r="X17" s="73"/>
      <c r="Y17" s="73"/>
      <c r="Z17" s="73"/>
      <c r="AA17" s="73"/>
      <c r="AB17" s="92">
        <f t="shared" si="1"/>
        <v>0</v>
      </c>
      <c r="AC17" s="92">
        <f>R17+IFERROR(VLOOKUP($E:$E,'（居民）工资表-3月'!$E:$AC,25,0),0)</f>
        <v>0</v>
      </c>
      <c r="AD17" s="97">
        <f t="shared" si="2"/>
        <v>-5632.51</v>
      </c>
      <c r="AE17" s="98">
        <f>ROUND(MAX((AD17)*{0.03;0.1;0.2;0.25;0.3;0.35;0.45}-{0;2520;16920;31920;52920;85920;181920},0),2)</f>
        <v>0</v>
      </c>
      <c r="AF17" s="99">
        <f>IFERROR(VLOOKUP(E:E,'（居民）工资表-3月'!E:AF,28,0)+VLOOKUP(E:E,'（居民）工资表-3月'!E:AG,29,0),0)</f>
        <v>0</v>
      </c>
      <c r="AG17" s="99">
        <f t="shared" si="3"/>
        <v>0</v>
      </c>
      <c r="AH17" s="109">
        <f t="shared" si="4"/>
        <v>4995.84</v>
      </c>
      <c r="AI17" s="110"/>
      <c r="AJ17" s="109">
        <f t="shared" si="5"/>
        <v>4995.84</v>
      </c>
      <c r="AK17" s="111"/>
      <c r="AL17" s="109">
        <f t="shared" si="6"/>
        <v>4995.84</v>
      </c>
      <c r="AM17" s="111"/>
      <c r="AN17" s="111"/>
      <c r="AO17" s="111"/>
      <c r="AP17" s="111"/>
      <c r="AQ17" s="111"/>
      <c r="AR17" s="118"/>
      <c r="AS17" s="118"/>
      <c r="AT17" s="118"/>
    </row>
    <row r="18" s="12" customFormat="1" ht="17" customHeight="1" spans="1:46">
      <c r="A18" s="36">
        <v>15</v>
      </c>
      <c r="B18" s="37" t="s">
        <v>194</v>
      </c>
      <c r="C18" s="37" t="s">
        <v>247</v>
      </c>
      <c r="D18" s="37" t="s">
        <v>195</v>
      </c>
      <c r="E18" s="381" t="s">
        <v>249</v>
      </c>
      <c r="F18" s="38" t="s">
        <v>198</v>
      </c>
      <c r="G18" s="39">
        <v>13979183143</v>
      </c>
      <c r="H18" s="40"/>
      <c r="I18" s="40"/>
      <c r="J18" s="70"/>
      <c r="K18" s="40"/>
      <c r="L18" s="71">
        <v>6000</v>
      </c>
      <c r="M18" s="72">
        <v>-282.24</v>
      </c>
      <c r="N18" s="72">
        <v>-92.81</v>
      </c>
      <c r="O18" s="72">
        <v>-17.64</v>
      </c>
      <c r="P18" s="72">
        <v>-142</v>
      </c>
      <c r="Q18" s="91">
        <f t="shared" si="0"/>
        <v>-534.69</v>
      </c>
      <c r="R18" s="73">
        <v>0</v>
      </c>
      <c r="S18" s="92">
        <f>L18+IFERROR(VLOOKUP($E:$E,'（居民）工资表-3月'!$E:$S,15,0),0)</f>
        <v>15545.45</v>
      </c>
      <c r="T18" s="93">
        <f>5000+IFERROR(VLOOKUP($E:$E,'（居民）工资表-3月'!$E:$T,16,0),0)</f>
        <v>10000</v>
      </c>
      <c r="U18" s="93">
        <f>Q18+IFERROR(VLOOKUP($E:$E,'（居民）工资表-3月'!$E:$U,17,0),0)</f>
        <v>0</v>
      </c>
      <c r="V18" s="73"/>
      <c r="W18" s="73"/>
      <c r="X18" s="73"/>
      <c r="Y18" s="73"/>
      <c r="Z18" s="73"/>
      <c r="AA18" s="73"/>
      <c r="AB18" s="92">
        <f t="shared" si="1"/>
        <v>0</v>
      </c>
      <c r="AC18" s="92">
        <f>R18+IFERROR(VLOOKUP($E:$E,'（居民）工资表-3月'!$E:$AC,25,0),0)</f>
        <v>0</v>
      </c>
      <c r="AD18" s="97">
        <f t="shared" si="2"/>
        <v>5545.45</v>
      </c>
      <c r="AE18" s="98">
        <f>ROUND(MAX((AD18)*{0.03;0.1;0.2;0.25;0.3;0.35;0.45}-{0;2520;16920;31920;52920;85920;181920},0),2)</f>
        <v>166.36</v>
      </c>
      <c r="AF18" s="99">
        <f>IFERROR(VLOOKUP(E:E,'（居民）工资表-3月'!E:AF,28,0)+VLOOKUP(E:E,'（居民）工资表-3月'!E:AG,29,0),0)</f>
        <v>120.32</v>
      </c>
      <c r="AG18" s="99">
        <f t="shared" si="3"/>
        <v>46.04</v>
      </c>
      <c r="AH18" s="109">
        <f t="shared" si="4"/>
        <v>6488.65</v>
      </c>
      <c r="AI18" s="110"/>
      <c r="AJ18" s="109">
        <f t="shared" si="5"/>
        <v>6488.65</v>
      </c>
      <c r="AK18" s="111"/>
      <c r="AL18" s="109">
        <f t="shared" si="6"/>
        <v>6534.69</v>
      </c>
      <c r="AM18" s="111"/>
      <c r="AN18" s="111"/>
      <c r="AO18" s="111"/>
      <c r="AP18" s="111"/>
      <c r="AQ18" s="111"/>
      <c r="AR18" s="118"/>
      <c r="AS18" s="118"/>
      <c r="AT18" s="118"/>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c r="AM19" s="111"/>
      <c r="AN19" s="111"/>
      <c r="AO19" s="111"/>
      <c r="AP19" s="111"/>
      <c r="AQ19" s="111"/>
      <c r="AR19" s="118"/>
      <c r="AS19" s="118"/>
      <c r="AT19" s="118"/>
    </row>
    <row r="20" s="13" customFormat="1" ht="18" customHeight="1" spans="1:46">
      <c r="A20" s="42"/>
      <c r="B20" s="43" t="s">
        <v>208</v>
      </c>
      <c r="C20" s="43"/>
      <c r="D20" s="44"/>
      <c r="E20" s="45"/>
      <c r="F20" s="46"/>
      <c r="G20" s="47"/>
      <c r="H20" s="46"/>
      <c r="I20" s="74"/>
      <c r="J20" s="75"/>
      <c r="K20" s="74"/>
      <c r="L20" s="76">
        <f>SUM(L4:L19)</f>
        <v>117823.8</v>
      </c>
      <c r="M20" s="76">
        <f t="shared" ref="M20:AL20" si="10">SUM(M4:M19)</f>
        <v>4348.34</v>
      </c>
      <c r="N20" s="76">
        <f t="shared" si="10"/>
        <v>1265.45</v>
      </c>
      <c r="O20" s="76">
        <f t="shared" si="10"/>
        <v>230.26</v>
      </c>
      <c r="P20" s="76">
        <f t="shared" si="10"/>
        <v>2052.3</v>
      </c>
      <c r="Q20" s="76">
        <f t="shared" si="10"/>
        <v>7896.35</v>
      </c>
      <c r="R20" s="76">
        <f t="shared" si="10"/>
        <v>0</v>
      </c>
      <c r="S20" s="76">
        <f t="shared" si="10"/>
        <v>433024.92</v>
      </c>
      <c r="T20" s="76">
        <f t="shared" si="10"/>
        <v>290000</v>
      </c>
      <c r="U20" s="76">
        <f t="shared" si="10"/>
        <v>34277.2</v>
      </c>
      <c r="V20" s="76">
        <f t="shared" si="10"/>
        <v>0</v>
      </c>
      <c r="W20" s="76">
        <f t="shared" si="10"/>
        <v>0</v>
      </c>
      <c r="X20" s="76">
        <f t="shared" si="10"/>
        <v>0</v>
      </c>
      <c r="Y20" s="76">
        <f t="shared" si="10"/>
        <v>0</v>
      </c>
      <c r="Z20" s="76">
        <f t="shared" si="10"/>
        <v>0</v>
      </c>
      <c r="AA20" s="76">
        <f t="shared" si="10"/>
        <v>0</v>
      </c>
      <c r="AB20" s="76">
        <f t="shared" si="10"/>
        <v>0</v>
      </c>
      <c r="AC20" s="76">
        <f t="shared" si="10"/>
        <v>0</v>
      </c>
      <c r="AD20" s="76">
        <f t="shared" si="10"/>
        <v>108747.72</v>
      </c>
      <c r="AE20" s="76">
        <f t="shared" si="10"/>
        <v>8111.61</v>
      </c>
      <c r="AF20" s="76">
        <f t="shared" si="10"/>
        <v>5346.49</v>
      </c>
      <c r="AG20" s="76">
        <f t="shared" si="10"/>
        <v>2765.12</v>
      </c>
      <c r="AH20" s="76">
        <f t="shared" si="10"/>
        <v>107162.33</v>
      </c>
      <c r="AI20" s="76">
        <f t="shared" si="10"/>
        <v>0</v>
      </c>
      <c r="AJ20" s="76">
        <f t="shared" si="10"/>
        <v>107162.33</v>
      </c>
      <c r="AK20" s="76">
        <f t="shared" si="10"/>
        <v>0</v>
      </c>
      <c r="AL20" s="76">
        <f t="shared" si="10"/>
        <v>109927.45</v>
      </c>
      <c r="AM20" s="112"/>
      <c r="AN20" s="112"/>
      <c r="AO20" s="112"/>
      <c r="AP20" s="112"/>
      <c r="AQ20" s="112"/>
      <c r="AR20" s="46"/>
      <c r="AS20" s="46"/>
      <c r="AT20" s="120"/>
    </row>
    <row r="23" spans="30:30">
      <c r="AD23" s="103"/>
    </row>
    <row r="24" ht="18.75" customHeight="1" spans="2:33">
      <c r="B24" s="48" t="s">
        <v>175</v>
      </c>
      <c r="C24" s="48" t="s">
        <v>209</v>
      </c>
      <c r="D24" s="48" t="s">
        <v>22</v>
      </c>
      <c r="E24" s="48" t="s">
        <v>23</v>
      </c>
      <c r="AD24" s="10"/>
      <c r="AG24" s="113"/>
    </row>
    <row r="25" ht="18.75" customHeight="1" spans="2:5">
      <c r="B25" s="49">
        <f>AJ20</f>
        <v>107162.33</v>
      </c>
      <c r="C25" s="49">
        <f>AG20</f>
        <v>2765.12</v>
      </c>
      <c r="D25" s="49">
        <f>AK20</f>
        <v>0</v>
      </c>
      <c r="E25" s="49">
        <f>B25+C25+D25</f>
        <v>109927.45</v>
      </c>
    </row>
    <row r="26" spans="2:5">
      <c r="B26" s="50"/>
      <c r="C26" s="50"/>
      <c r="D26" s="50"/>
      <c r="E26" s="51"/>
    </row>
    <row r="27" s="14" customFormat="1" spans="1:35">
      <c r="A27" s="52" t="s">
        <v>210</v>
      </c>
      <c r="B27" s="53" t="s">
        <v>211</v>
      </c>
      <c r="C27" s="51"/>
      <c r="D27" s="51"/>
      <c r="E27" s="51"/>
      <c r="G27" s="54"/>
      <c r="J27" s="77"/>
      <c r="M27" s="78"/>
      <c r="AI27" s="114"/>
    </row>
    <row r="28" s="14" customFormat="1" spans="1:35">
      <c r="A28" s="55"/>
      <c r="B28" s="56" t="s">
        <v>212</v>
      </c>
      <c r="C28" s="51"/>
      <c r="D28" s="51"/>
      <c r="E28" s="51"/>
      <c r="G28" s="54"/>
      <c r="J28" s="77"/>
      <c r="M28" s="78"/>
      <c r="AI28" s="114"/>
    </row>
    <row r="29" s="14" customFormat="1" spans="1:35">
      <c r="A29" s="53"/>
      <c r="B29" s="56" t="s">
        <v>213</v>
      </c>
      <c r="C29" s="57"/>
      <c r="D29" s="57"/>
      <c r="E29" s="57"/>
      <c r="F29" s="57"/>
      <c r="G29" s="57"/>
      <c r="H29" s="57"/>
      <c r="I29" s="57"/>
      <c r="J29" s="79"/>
      <c r="K29" s="57"/>
      <c r="L29" s="57"/>
      <c r="M29" s="80"/>
      <c r="N29" s="57"/>
      <c r="O29" s="57"/>
      <c r="P29" s="57"/>
      <c r="AI29" s="114"/>
    </row>
    <row r="30" s="14" customFormat="1" customHeight="1" spans="1:35">
      <c r="A30" s="56"/>
      <c r="B30" s="56" t="s">
        <v>214</v>
      </c>
      <c r="C30" s="58"/>
      <c r="D30" s="58"/>
      <c r="E30" s="58"/>
      <c r="F30" s="58"/>
      <c r="G30" s="58"/>
      <c r="H30" s="58"/>
      <c r="I30" s="81"/>
      <c r="J30" s="82"/>
      <c r="K30" s="81"/>
      <c r="L30" s="81"/>
      <c r="M30" s="83"/>
      <c r="N30" s="81"/>
      <c r="O30" s="81"/>
      <c r="P30" s="81"/>
      <c r="AI30" s="114"/>
    </row>
    <row r="31" s="14" customFormat="1" customHeight="1" spans="1:35">
      <c r="A31" s="56"/>
      <c r="B31" s="56" t="s">
        <v>215</v>
      </c>
      <c r="C31" s="58"/>
      <c r="D31" s="58"/>
      <c r="E31" s="58"/>
      <c r="F31" s="58"/>
      <c r="G31" s="58"/>
      <c r="H31" s="58"/>
      <c r="I31" s="58"/>
      <c r="J31" s="84"/>
      <c r="K31" s="58"/>
      <c r="L31" s="81"/>
      <c r="M31" s="83"/>
      <c r="N31" s="81"/>
      <c r="O31" s="81"/>
      <c r="P31" s="81"/>
      <c r="AI31" s="114"/>
    </row>
    <row r="32" s="14" customFormat="1" customHeight="1" spans="1:35">
      <c r="A32" s="56"/>
      <c r="B32" s="56" t="s">
        <v>216</v>
      </c>
      <c r="C32" s="58"/>
      <c r="D32" s="58"/>
      <c r="E32" s="58"/>
      <c r="F32" s="58"/>
      <c r="G32" s="58"/>
      <c r="H32" s="58"/>
      <c r="I32" s="81"/>
      <c r="J32" s="82"/>
      <c r="K32" s="81"/>
      <c r="L32" s="81"/>
      <c r="M32" s="83"/>
      <c r="N32" s="81"/>
      <c r="O32" s="81"/>
      <c r="P32" s="81"/>
      <c r="AI32" s="114"/>
    </row>
    <row r="34" ht="11.25" customHeight="1" spans="2:2">
      <c r="B34" s="59" t="s">
        <v>217</v>
      </c>
    </row>
    <row r="35" spans="2:2">
      <c r="B35" s="60" t="s">
        <v>218</v>
      </c>
    </row>
    <row r="36" spans="2:2">
      <c r="B36" s="60" t="s">
        <v>219</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B1:E44"/>
  <sheetViews>
    <sheetView workbookViewId="0">
      <selection activeCell="D4" sqref="D4"/>
    </sheetView>
  </sheetViews>
  <sheetFormatPr defaultColWidth="9" defaultRowHeight="13.5" outlineLevelCol="4"/>
  <cols>
    <col min="3" max="3" width="32" customWidth="1"/>
    <col min="4" max="4" width="13.725" customWidth="1"/>
    <col min="5" max="5" width="16.0916666666667" customWidth="1"/>
  </cols>
  <sheetData>
    <row r="1" ht="57" customHeight="1" spans="2:5">
      <c r="B1" s="1" t="s">
        <v>250</v>
      </c>
      <c r="C1" s="1"/>
      <c r="D1" s="1"/>
      <c r="E1" s="1"/>
    </row>
    <row r="2" ht="21" spans="2:2">
      <c r="B2" s="2"/>
    </row>
    <row r="3" ht="27.75" customHeight="1" spans="2:5">
      <c r="B3" s="3" t="s">
        <v>251</v>
      </c>
      <c r="C3" s="4" t="s">
        <v>252</v>
      </c>
      <c r="D3" s="4" t="s">
        <v>253</v>
      </c>
      <c r="E3" s="4" t="s">
        <v>254</v>
      </c>
    </row>
    <row r="4" ht="29.25" customHeight="1" spans="2:5">
      <c r="B4" s="5">
        <v>1</v>
      </c>
      <c r="C4" s="6" t="s">
        <v>255</v>
      </c>
      <c r="D4" s="7">
        <v>0.03</v>
      </c>
      <c r="E4" s="8">
        <v>0</v>
      </c>
    </row>
    <row r="5" ht="29.25" customHeight="1" spans="2:5">
      <c r="B5" s="5">
        <v>2</v>
      </c>
      <c r="C5" s="6" t="s">
        <v>256</v>
      </c>
      <c r="D5" s="7">
        <v>0.1</v>
      </c>
      <c r="E5" s="8">
        <v>2520</v>
      </c>
    </row>
    <row r="6" ht="29.25" customHeight="1" spans="2:5">
      <c r="B6" s="5">
        <v>3</v>
      </c>
      <c r="C6" s="6" t="s">
        <v>257</v>
      </c>
      <c r="D6" s="7">
        <v>0.2</v>
      </c>
      <c r="E6" s="8">
        <v>16920</v>
      </c>
    </row>
    <row r="7" ht="29.25" customHeight="1" spans="2:5">
      <c r="B7" s="5">
        <v>4</v>
      </c>
      <c r="C7" s="6" t="s">
        <v>258</v>
      </c>
      <c r="D7" s="7">
        <v>0.25</v>
      </c>
      <c r="E7" s="8">
        <v>31920</v>
      </c>
    </row>
    <row r="8" ht="29.25" customHeight="1" spans="2:5">
      <c r="B8" s="5">
        <v>5</v>
      </c>
      <c r="C8" s="6" t="s">
        <v>259</v>
      </c>
      <c r="D8" s="7">
        <v>0.3</v>
      </c>
      <c r="E8" s="8">
        <v>52920</v>
      </c>
    </row>
    <row r="9" ht="29.25" customHeight="1" spans="2:5">
      <c r="B9" s="5">
        <v>6</v>
      </c>
      <c r="C9" s="6" t="s">
        <v>260</v>
      </c>
      <c r="D9" s="7">
        <v>0.35</v>
      </c>
      <c r="E9" s="8">
        <v>85920</v>
      </c>
    </row>
    <row r="10" ht="29.25" customHeight="1" spans="2:5">
      <c r="B10" s="5">
        <v>7</v>
      </c>
      <c r="C10" s="6" t="s">
        <v>261</v>
      </c>
      <c r="D10" s="7">
        <v>0.45</v>
      </c>
      <c r="E10" s="8">
        <v>181920</v>
      </c>
    </row>
    <row r="13" ht="57" customHeight="1" spans="2:5">
      <c r="B13" s="1" t="s">
        <v>262</v>
      </c>
      <c r="C13" s="1"/>
      <c r="D13" s="1"/>
      <c r="E13" s="1"/>
    </row>
    <row r="14" ht="21" spans="2:2">
      <c r="B14" s="2"/>
    </row>
    <row r="15" ht="27.75" customHeight="1" spans="2:5">
      <c r="B15" s="3" t="s">
        <v>251</v>
      </c>
      <c r="C15" s="4" t="s">
        <v>263</v>
      </c>
      <c r="D15" s="4" t="s">
        <v>253</v>
      </c>
      <c r="E15" s="4" t="s">
        <v>254</v>
      </c>
    </row>
    <row r="16" ht="29.25" customHeight="1" spans="2:5">
      <c r="B16" s="5">
        <v>1</v>
      </c>
      <c r="C16" s="6" t="s">
        <v>264</v>
      </c>
      <c r="D16" s="7">
        <v>0.2</v>
      </c>
      <c r="E16" s="8">
        <v>0</v>
      </c>
    </row>
    <row r="17" ht="29.25" customHeight="1" spans="2:5">
      <c r="B17" s="5">
        <v>2</v>
      </c>
      <c r="C17" s="6" t="s">
        <v>265</v>
      </c>
      <c r="D17" s="7">
        <v>0.3</v>
      </c>
      <c r="E17" s="8">
        <v>2000</v>
      </c>
    </row>
    <row r="18" ht="29.25" customHeight="1" spans="2:5">
      <c r="B18" s="5">
        <v>3</v>
      </c>
      <c r="C18" s="6" t="s">
        <v>266</v>
      </c>
      <c r="D18" s="7">
        <v>0.4</v>
      </c>
      <c r="E18" s="8">
        <v>7000</v>
      </c>
    </row>
    <row r="21" ht="47.25" customHeight="1" spans="2:5">
      <c r="B21" s="1" t="s">
        <v>267</v>
      </c>
      <c r="C21" s="1"/>
      <c r="D21" s="1"/>
      <c r="E21" s="1"/>
    </row>
    <row r="22" ht="21" spans="2:2">
      <c r="B22" s="2"/>
    </row>
    <row r="23" ht="27.75" customHeight="1" spans="2:5">
      <c r="B23" s="3" t="s">
        <v>251</v>
      </c>
      <c r="C23" s="4" t="s">
        <v>268</v>
      </c>
      <c r="D23" s="4" t="s">
        <v>253</v>
      </c>
      <c r="E23" s="4" t="s">
        <v>254</v>
      </c>
    </row>
    <row r="24" ht="29.25" customHeight="1" spans="2:5">
      <c r="B24" s="5">
        <v>1</v>
      </c>
      <c r="C24" s="6" t="s">
        <v>269</v>
      </c>
      <c r="D24" s="7">
        <v>0.03</v>
      </c>
      <c r="E24" s="8">
        <v>0</v>
      </c>
    </row>
    <row r="25" ht="29.25" customHeight="1" spans="2:5">
      <c r="B25" s="5">
        <v>2</v>
      </c>
      <c r="C25" s="6" t="s">
        <v>270</v>
      </c>
      <c r="D25" s="7">
        <v>0.1</v>
      </c>
      <c r="E25" s="8">
        <v>210</v>
      </c>
    </row>
    <row r="26" ht="29.25" customHeight="1" spans="2:5">
      <c r="B26" s="5">
        <v>3</v>
      </c>
      <c r="C26" s="6" t="s">
        <v>271</v>
      </c>
      <c r="D26" s="7">
        <v>0.2</v>
      </c>
      <c r="E26" s="8">
        <v>1410</v>
      </c>
    </row>
    <row r="27" ht="29.25" customHeight="1" spans="2:5">
      <c r="B27" s="5">
        <v>4</v>
      </c>
      <c r="C27" s="6" t="s">
        <v>272</v>
      </c>
      <c r="D27" s="7">
        <v>0.25</v>
      </c>
      <c r="E27" s="8">
        <v>2660</v>
      </c>
    </row>
    <row r="28" ht="29.25" customHeight="1" spans="2:5">
      <c r="B28" s="5">
        <v>5</v>
      </c>
      <c r="C28" s="6" t="s">
        <v>273</v>
      </c>
      <c r="D28" s="7">
        <v>0.3</v>
      </c>
      <c r="E28" s="8">
        <v>4410</v>
      </c>
    </row>
    <row r="29" ht="29.25" customHeight="1" spans="2:5">
      <c r="B29" s="5">
        <v>6</v>
      </c>
      <c r="C29" s="6" t="s">
        <v>274</v>
      </c>
      <c r="D29" s="7">
        <v>0.35</v>
      </c>
      <c r="E29" s="8">
        <v>7160</v>
      </c>
    </row>
    <row r="30" ht="29.25" customHeight="1" spans="2:5">
      <c r="B30" s="5">
        <v>7</v>
      </c>
      <c r="C30" s="6" t="s">
        <v>275</v>
      </c>
      <c r="D30" s="7">
        <v>0.45</v>
      </c>
      <c r="E30" s="8">
        <v>15160</v>
      </c>
    </row>
    <row r="35" ht="57" customHeight="1" spans="2:5">
      <c r="B35" s="9" t="s">
        <v>276</v>
      </c>
      <c r="C35" s="9"/>
      <c r="D35" s="9"/>
      <c r="E35" s="9"/>
    </row>
    <row r="36" ht="14.25"/>
    <row r="37" ht="21.75" customHeight="1" spans="2:5">
      <c r="B37" s="3" t="s">
        <v>251</v>
      </c>
      <c r="C37" s="4" t="s">
        <v>277</v>
      </c>
      <c r="D37" s="4" t="s">
        <v>278</v>
      </c>
      <c r="E37" s="4" t="s">
        <v>254</v>
      </c>
    </row>
    <row r="38" ht="21.75" customHeight="1" spans="2:5">
      <c r="B38" s="5">
        <v>1</v>
      </c>
      <c r="C38" s="6" t="s">
        <v>269</v>
      </c>
      <c r="D38" s="7">
        <v>0.03</v>
      </c>
      <c r="E38" s="8">
        <v>0</v>
      </c>
    </row>
    <row r="39" ht="21.75" customHeight="1" spans="2:5">
      <c r="B39" s="5">
        <v>2</v>
      </c>
      <c r="C39" s="6" t="s">
        <v>270</v>
      </c>
      <c r="D39" s="7">
        <v>0.1</v>
      </c>
      <c r="E39" s="8">
        <v>210</v>
      </c>
    </row>
    <row r="40" ht="21.75" customHeight="1" spans="2:5">
      <c r="B40" s="5">
        <v>3</v>
      </c>
      <c r="C40" s="6" t="s">
        <v>271</v>
      </c>
      <c r="D40" s="7">
        <v>0.2</v>
      </c>
      <c r="E40" s="8">
        <v>1410</v>
      </c>
    </row>
    <row r="41" ht="21.75" customHeight="1" spans="2:5">
      <c r="B41" s="5">
        <v>4</v>
      </c>
      <c r="C41" s="6" t="s">
        <v>272</v>
      </c>
      <c r="D41" s="7">
        <v>0.25</v>
      </c>
      <c r="E41" s="8">
        <v>2660</v>
      </c>
    </row>
    <row r="42" ht="21.75" customHeight="1" spans="2:5">
      <c r="B42" s="5">
        <v>5</v>
      </c>
      <c r="C42" s="6" t="s">
        <v>273</v>
      </c>
      <c r="D42" s="7">
        <v>0.3</v>
      </c>
      <c r="E42" s="8">
        <v>4410</v>
      </c>
    </row>
    <row r="43" ht="21.75" customHeight="1" spans="2:5">
      <c r="B43" s="5">
        <v>6</v>
      </c>
      <c r="C43" s="6" t="s">
        <v>274</v>
      </c>
      <c r="D43" s="7">
        <v>0.35</v>
      </c>
      <c r="E43" s="8">
        <v>7160</v>
      </c>
    </row>
    <row r="44" ht="21.75" customHeight="1" spans="2:5">
      <c r="B44" s="5">
        <v>7</v>
      </c>
      <c r="C44" s="6" t="s">
        <v>275</v>
      </c>
      <c r="D44" s="7">
        <v>0.45</v>
      </c>
      <c r="E44" s="8">
        <v>15160</v>
      </c>
    </row>
  </sheetData>
  <mergeCells count="4">
    <mergeCell ref="B1:E1"/>
    <mergeCell ref="B13:E13"/>
    <mergeCell ref="B21:E21"/>
    <mergeCell ref="B35:E3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26"/>
  <sheetViews>
    <sheetView tabSelected="1" workbookViewId="0">
      <selection activeCell="H12" sqref="H12"/>
    </sheetView>
  </sheetViews>
  <sheetFormatPr defaultColWidth="9" defaultRowHeight="13.5"/>
  <cols>
    <col min="1" max="2" width="9" style="250"/>
    <col min="3" max="3" width="10.725" style="250" customWidth="1"/>
    <col min="4" max="4" width="16.725" style="250" customWidth="1"/>
    <col min="5" max="5" width="11.725" style="250" customWidth="1"/>
    <col min="6" max="6" width="9" style="250"/>
    <col min="7" max="7" width="10.725" style="250" customWidth="1"/>
    <col min="8" max="12" width="9" style="250"/>
    <col min="13" max="13" width="9.45" style="250" customWidth="1"/>
    <col min="14" max="14" width="16.45" style="250" customWidth="1"/>
    <col min="15" max="16384" width="9" style="250"/>
  </cols>
  <sheetData>
    <row r="1" ht="25.5" spans="1:14">
      <c r="A1" s="251" t="s">
        <v>67</v>
      </c>
      <c r="B1" s="251"/>
      <c r="C1" s="251"/>
      <c r="D1" s="251"/>
      <c r="E1" s="251"/>
      <c r="F1" s="251"/>
      <c r="G1" s="251"/>
      <c r="H1" s="251"/>
      <c r="I1" s="251"/>
      <c r="J1" s="251"/>
      <c r="K1" s="251"/>
      <c r="L1" s="251"/>
      <c r="M1" s="251"/>
      <c r="N1" s="251"/>
    </row>
    <row r="2" ht="14.25" spans="1:14">
      <c r="A2" s="252"/>
      <c r="B2" s="253"/>
      <c r="C2" s="253"/>
      <c r="D2" s="254"/>
      <c r="E2" s="254"/>
      <c r="F2" s="254"/>
      <c r="G2" s="252"/>
      <c r="H2" s="252"/>
      <c r="I2" s="252"/>
      <c r="J2" s="254"/>
      <c r="K2" s="254"/>
      <c r="L2" s="254"/>
      <c r="M2" s="254"/>
      <c r="N2" s="254"/>
    </row>
    <row r="3" spans="1:14">
      <c r="A3" s="255"/>
      <c r="B3" s="256"/>
      <c r="C3" s="257"/>
      <c r="D3" s="258"/>
      <c r="E3" s="259"/>
      <c r="F3" s="259"/>
      <c r="G3" s="260"/>
      <c r="H3" s="261"/>
      <c r="I3" s="256"/>
      <c r="J3" s="257"/>
      <c r="K3" s="258"/>
      <c r="L3" s="329"/>
      <c r="M3" s="254"/>
      <c r="N3" s="254"/>
    </row>
    <row r="4" spans="1:14">
      <c r="A4" s="255"/>
      <c r="B4" s="262" t="s">
        <v>68</v>
      </c>
      <c r="C4" s="262"/>
      <c r="D4" s="262"/>
      <c r="E4" s="262"/>
      <c r="F4" s="263"/>
      <c r="G4" s="262"/>
      <c r="H4" s="261"/>
      <c r="K4" s="254"/>
      <c r="L4" s="330"/>
      <c r="M4" s="331"/>
      <c r="N4" s="254"/>
    </row>
    <row r="5" spans="1:14">
      <c r="A5" s="264"/>
      <c r="B5" s="265" t="s">
        <v>69</v>
      </c>
      <c r="C5" s="258"/>
      <c r="D5" s="258"/>
      <c r="E5" s="258"/>
      <c r="F5" s="258"/>
      <c r="G5" s="258"/>
      <c r="H5" s="266"/>
      <c r="I5" s="261"/>
      <c r="J5" s="256"/>
      <c r="K5" s="257"/>
      <c r="L5" s="329"/>
      <c r="M5" s="254"/>
      <c r="N5" s="254"/>
    </row>
    <row r="6" ht="9.75" customHeight="1" spans="1:14">
      <c r="A6" s="267"/>
      <c r="B6" s="267"/>
      <c r="C6" s="267"/>
      <c r="D6" s="267"/>
      <c r="E6" s="267"/>
      <c r="F6" s="267"/>
      <c r="G6" s="267"/>
      <c r="H6" s="267"/>
      <c r="I6" s="332"/>
      <c r="J6" s="332"/>
      <c r="K6" s="333"/>
      <c r="L6" s="333"/>
      <c r="M6" s="333"/>
      <c r="N6" s="333"/>
    </row>
    <row r="7" ht="15" spans="1:14">
      <c r="A7" s="267"/>
      <c r="B7" s="268" t="s">
        <v>70</v>
      </c>
      <c r="C7" s="269"/>
      <c r="D7" s="269"/>
      <c r="E7" s="269"/>
      <c r="F7" s="269"/>
      <c r="G7" s="269"/>
      <c r="H7" s="269"/>
      <c r="I7" s="334" t="s">
        <v>71</v>
      </c>
      <c r="J7" s="334"/>
      <c r="K7" s="335"/>
      <c r="L7" s="253"/>
      <c r="M7" s="253"/>
      <c r="N7" s="336"/>
    </row>
    <row r="8" ht="14.25" spans="1:14">
      <c r="A8" s="267"/>
      <c r="B8" s="270" t="s">
        <v>72</v>
      </c>
      <c r="C8" s="271"/>
      <c r="D8" s="271"/>
      <c r="E8" s="272">
        <f>D10</f>
        <v>141146.68</v>
      </c>
      <c r="F8" s="273"/>
      <c r="G8" s="273"/>
      <c r="H8" s="274"/>
      <c r="I8" s="337"/>
      <c r="J8" s="338" t="s">
        <v>73</v>
      </c>
      <c r="K8" s="338"/>
      <c r="L8" s="338"/>
      <c r="M8" s="338"/>
      <c r="N8" s="338"/>
    </row>
    <row r="9" ht="14.25" spans="1:14">
      <c r="A9" s="267"/>
      <c r="B9" s="275" t="s">
        <v>74</v>
      </c>
      <c r="C9" s="276"/>
      <c r="D9" s="276"/>
      <c r="E9" s="277">
        <f>G24</f>
        <v>141146.68</v>
      </c>
      <c r="F9" s="278"/>
      <c r="G9" s="278"/>
      <c r="H9" s="279"/>
      <c r="I9" s="338"/>
      <c r="J9" s="339" t="s">
        <v>75</v>
      </c>
      <c r="K9" s="339"/>
      <c r="L9" s="339"/>
      <c r="M9" s="339"/>
      <c r="N9" s="340"/>
    </row>
    <row r="10" ht="15" spans="1:14">
      <c r="A10" s="267"/>
      <c r="B10" s="280" t="s">
        <v>76</v>
      </c>
      <c r="C10" s="281"/>
      <c r="D10" s="282">
        <f>G24</f>
        <v>141146.68</v>
      </c>
      <c r="E10" s="283" t="s">
        <v>77</v>
      </c>
      <c r="F10" s="284"/>
      <c r="G10" s="285"/>
      <c r="H10" s="286">
        <v>0</v>
      </c>
      <c r="I10" s="341"/>
      <c r="J10" s="342" t="s">
        <v>78</v>
      </c>
      <c r="K10" s="342"/>
      <c r="L10" s="342"/>
      <c r="M10" s="342"/>
      <c r="N10" s="343"/>
    </row>
    <row r="11" ht="14.25" spans="1:14">
      <c r="A11" s="267"/>
      <c r="B11" s="287" t="s">
        <v>79</v>
      </c>
      <c r="C11" s="288"/>
      <c r="D11" s="289"/>
      <c r="E11" s="290" t="s">
        <v>80</v>
      </c>
      <c r="F11" s="291"/>
      <c r="G11" s="292"/>
      <c r="H11" s="293"/>
      <c r="I11" s="344"/>
      <c r="J11" s="345"/>
      <c r="K11" s="344"/>
      <c r="L11" s="344"/>
      <c r="M11" s="344"/>
      <c r="N11" s="346"/>
    </row>
    <row r="12" spans="1:14">
      <c r="A12" s="264"/>
      <c r="B12" s="287" t="s">
        <v>81</v>
      </c>
      <c r="C12" s="288"/>
      <c r="D12" s="289">
        <v>0</v>
      </c>
      <c r="E12" s="290" t="s">
        <v>82</v>
      </c>
      <c r="F12" s="291"/>
      <c r="G12" s="292"/>
      <c r="H12" s="293"/>
      <c r="I12" s="347"/>
      <c r="J12" s="348"/>
      <c r="K12" s="349"/>
      <c r="L12" s="349"/>
      <c r="M12" s="349"/>
      <c r="N12" s="349"/>
    </row>
    <row r="13" ht="14.25" spans="1:14">
      <c r="A13" s="254"/>
      <c r="B13" s="294" t="s">
        <v>83</v>
      </c>
      <c r="C13" s="295"/>
      <c r="D13" s="296">
        <v>0</v>
      </c>
      <c r="E13" s="297"/>
      <c r="F13" s="298"/>
      <c r="G13" s="299"/>
      <c r="H13" s="300"/>
      <c r="I13" s="267"/>
      <c r="J13" s="350"/>
      <c r="K13" s="351"/>
      <c r="L13" s="351"/>
      <c r="M13" s="351"/>
      <c r="N13" s="351"/>
    </row>
    <row r="14" ht="5.25" customHeight="1" spans="1:14">
      <c r="A14" s="301"/>
      <c r="B14" s="267"/>
      <c r="C14" s="267"/>
      <c r="D14" s="267"/>
      <c r="E14" s="267"/>
      <c r="F14" s="267"/>
      <c r="G14" s="267"/>
      <c r="H14" s="267"/>
      <c r="I14" s="267"/>
      <c r="J14" s="267"/>
      <c r="K14" s="267"/>
      <c r="L14" s="267"/>
      <c r="M14" s="267"/>
      <c r="N14" s="267"/>
    </row>
    <row r="15" spans="1:14">
      <c r="A15" s="254" t="s">
        <v>84</v>
      </c>
      <c r="B15" s="254"/>
      <c r="C15" s="254"/>
      <c r="D15" s="254"/>
      <c r="E15" s="254"/>
      <c r="F15" s="254"/>
      <c r="G15" s="254"/>
      <c r="H15" s="254"/>
      <c r="I15" s="254"/>
      <c r="J15" s="254"/>
      <c r="K15" s="254"/>
      <c r="L15" s="254"/>
      <c r="M15" s="254"/>
      <c r="N15" s="254"/>
    </row>
    <row r="16" ht="3" customHeight="1" spans="1:14">
      <c r="A16" s="254"/>
      <c r="B16" s="254"/>
      <c r="C16" s="254"/>
      <c r="D16" s="254"/>
      <c r="E16" s="254"/>
      <c r="F16" s="254"/>
      <c r="G16" s="254"/>
      <c r="H16" s="254"/>
      <c r="I16" s="254"/>
      <c r="J16" s="254"/>
      <c r="K16" s="254"/>
      <c r="L16" s="254"/>
      <c r="M16" s="254"/>
      <c r="N16" s="254"/>
    </row>
    <row r="17" ht="18.75" spans="2:13">
      <c r="B17" s="302" t="s">
        <v>0</v>
      </c>
      <c r="C17" s="303" t="s">
        <v>85</v>
      </c>
      <c r="D17" s="303" t="s">
        <v>86</v>
      </c>
      <c r="E17" s="303"/>
      <c r="F17" s="304" t="s">
        <v>87</v>
      </c>
      <c r="G17" s="305" t="s">
        <v>31</v>
      </c>
      <c r="H17" s="306" t="s">
        <v>24</v>
      </c>
      <c r="J17" s="352" t="s">
        <v>88</v>
      </c>
      <c r="K17" s="352"/>
      <c r="L17" s="352"/>
      <c r="M17" s="352"/>
    </row>
    <row r="18" ht="16.5" spans="2:13">
      <c r="B18" s="307">
        <v>1</v>
      </c>
      <c r="C18" s="308" t="s">
        <v>89</v>
      </c>
      <c r="D18" s="309" t="s">
        <v>90</v>
      </c>
      <c r="E18" s="309"/>
      <c r="F18" s="310"/>
      <c r="G18" s="311">
        <f>'（居民）工资表-6月'!E25</f>
        <v>113698.4</v>
      </c>
      <c r="H18" s="312"/>
      <c r="J18" s="352"/>
      <c r="K18" s="352"/>
      <c r="L18" s="352"/>
      <c r="M18" s="352"/>
    </row>
    <row r="19" ht="16.5" spans="2:13">
      <c r="B19" s="307">
        <v>2</v>
      </c>
      <c r="C19" s="308"/>
      <c r="D19" s="313" t="s">
        <v>91</v>
      </c>
      <c r="E19" s="314" t="s">
        <v>92</v>
      </c>
      <c r="F19" s="310"/>
      <c r="G19" s="311">
        <f>社保1!AX21</f>
        <v>22309.68</v>
      </c>
      <c r="H19" s="315"/>
      <c r="J19" s="352"/>
      <c r="K19" s="352"/>
      <c r="L19" s="352"/>
      <c r="M19" s="352"/>
    </row>
    <row r="20" ht="16.5" spans="2:13">
      <c r="B20" s="307">
        <v>3</v>
      </c>
      <c r="C20" s="308"/>
      <c r="D20" s="313" t="s">
        <v>93</v>
      </c>
      <c r="E20" s="314" t="s">
        <v>92</v>
      </c>
      <c r="F20" s="310"/>
      <c r="G20" s="311">
        <f>社保1!AZ21</f>
        <v>3938.6</v>
      </c>
      <c r="H20" s="315"/>
      <c r="J20" s="352"/>
      <c r="K20" s="352"/>
      <c r="L20" s="352"/>
      <c r="M20" s="352"/>
    </row>
    <row r="21" ht="16.5" spans="2:13">
      <c r="B21" s="307">
        <v>4</v>
      </c>
      <c r="C21" s="308"/>
      <c r="D21" s="316" t="s">
        <v>38</v>
      </c>
      <c r="E21" s="316"/>
      <c r="F21" s="310"/>
      <c r="G21" s="317">
        <f>G18+G19+G20</f>
        <v>139946.68</v>
      </c>
      <c r="H21" s="318"/>
      <c r="J21" s="352"/>
      <c r="K21" s="352"/>
      <c r="L21" s="352"/>
      <c r="M21" s="352"/>
    </row>
    <row r="22" ht="16.5" spans="2:13">
      <c r="B22" s="307">
        <v>5</v>
      </c>
      <c r="C22" s="308" t="s">
        <v>94</v>
      </c>
      <c r="D22" s="316" t="s">
        <v>95</v>
      </c>
      <c r="E22" s="316"/>
      <c r="F22" s="310"/>
      <c r="G22" s="317">
        <f>社保1!BB21</f>
        <v>1200</v>
      </c>
      <c r="H22" s="312"/>
      <c r="J22" s="352"/>
      <c r="K22" s="352"/>
      <c r="L22" s="352"/>
      <c r="M22" s="352"/>
    </row>
    <row r="23" ht="18" customHeight="1" spans="2:13">
      <c r="B23" s="307">
        <v>6</v>
      </c>
      <c r="C23" s="319" t="s">
        <v>96</v>
      </c>
      <c r="D23" s="320">
        <v>0.056</v>
      </c>
      <c r="E23" s="320"/>
      <c r="F23" s="320"/>
      <c r="G23" s="317"/>
      <c r="H23" s="312"/>
      <c r="J23" s="352"/>
      <c r="K23" s="352"/>
      <c r="L23" s="352"/>
      <c r="M23" s="352"/>
    </row>
    <row r="24" ht="16.5" spans="2:8">
      <c r="B24" s="321" t="s">
        <v>97</v>
      </c>
      <c r="C24" s="322"/>
      <c r="D24" s="322"/>
      <c r="E24" s="322"/>
      <c r="F24" s="322"/>
      <c r="G24" s="323">
        <f>G21+G22</f>
        <v>141146.68</v>
      </c>
      <c r="H24" s="324"/>
    </row>
    <row r="25" ht="16" customHeight="1" spans="2:8">
      <c r="B25" s="325" t="s">
        <v>98</v>
      </c>
      <c r="C25" s="326"/>
      <c r="D25" s="326"/>
      <c r="E25" s="326"/>
      <c r="F25" s="326"/>
      <c r="G25" s="327">
        <f>G24</f>
        <v>141146.68</v>
      </c>
      <c r="H25" s="328"/>
    </row>
    <row r="26" ht="14.25"/>
  </sheetData>
  <mergeCells count="31">
    <mergeCell ref="A1:N1"/>
    <mergeCell ref="B4:F4"/>
    <mergeCell ref="B7:H7"/>
    <mergeCell ref="I7:J7"/>
    <mergeCell ref="B8:D8"/>
    <mergeCell ref="E8:H8"/>
    <mergeCell ref="J8:N8"/>
    <mergeCell ref="B9:D9"/>
    <mergeCell ref="E9:H9"/>
    <mergeCell ref="J9:N9"/>
    <mergeCell ref="B10:C10"/>
    <mergeCell ref="E10:G10"/>
    <mergeCell ref="J10:N10"/>
    <mergeCell ref="B11:C11"/>
    <mergeCell ref="E11:G11"/>
    <mergeCell ref="B12:C12"/>
    <mergeCell ref="E12:G12"/>
    <mergeCell ref="K12:N12"/>
    <mergeCell ref="B13:C13"/>
    <mergeCell ref="E13:G13"/>
    <mergeCell ref="K13:N13"/>
    <mergeCell ref="A15:N15"/>
    <mergeCell ref="D17:E17"/>
    <mergeCell ref="D18:E18"/>
    <mergeCell ref="D21:E21"/>
    <mergeCell ref="D22:E22"/>
    <mergeCell ref="D23:F23"/>
    <mergeCell ref="B24:F24"/>
    <mergeCell ref="B25:F25"/>
    <mergeCell ref="C18:C21"/>
    <mergeCell ref="J17:M23"/>
  </mergeCells>
  <conditionalFormatting sqref="G20:H21 C21:E21 F19:F22">
    <cfRule type="cellIs" dxfId="1" priority="1" stopIfTrue="1" operator="equal">
      <formula>"信用卡"</formula>
    </cfRule>
    <cfRule type="cellIs" dxfId="2" priority="2" stopIfTrue="1" operator="equal">
      <formula>"現金"</formula>
    </cfRule>
  </conditionalFormatting>
  <pageMargins left="0.75" right="0.75" top="1" bottom="1" header="0.5" footer="0.5"/>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H25"/>
  <sheetViews>
    <sheetView workbookViewId="0">
      <pane xSplit="11" ySplit="2" topLeftCell="L3" activePane="bottomRight" state="frozen"/>
      <selection/>
      <selection pane="topRight"/>
      <selection pane="bottomLeft"/>
      <selection pane="bottomRight" activeCell="G11" sqref="G11"/>
    </sheetView>
  </sheetViews>
  <sheetFormatPr defaultColWidth="9" defaultRowHeight="16.5"/>
  <cols>
    <col min="1" max="1" width="3.26666666666667" style="154" customWidth="1"/>
    <col min="2" max="2" width="19.2666666666667" style="154" customWidth="1"/>
    <col min="3" max="3" width="6" style="154" customWidth="1"/>
    <col min="4" max="4" width="8.45" style="154" hidden="1" customWidth="1"/>
    <col min="5" max="5" width="8.26666666666667" style="154" hidden="1" customWidth="1"/>
    <col min="6" max="6" width="11.9083333333333" style="154" customWidth="1"/>
    <col min="7" max="7" width="16.3666666666667" style="154" customWidth="1"/>
    <col min="8" max="11" width="8.45" style="154" customWidth="1"/>
    <col min="12" max="12" width="9.09166666666667" style="154" customWidth="1"/>
    <col min="13" max="14" width="9.26666666666667" style="154" customWidth="1"/>
    <col min="15" max="15" width="7.45" style="154" customWidth="1"/>
    <col min="16" max="16" width="11.2666666666667" style="154" customWidth="1"/>
    <col min="17" max="17" width="9.09166666666667" style="154" customWidth="1"/>
    <col min="18" max="21" width="9.26666666666667" style="154" customWidth="1"/>
    <col min="22" max="22" width="9.09166666666667" style="154" customWidth="1"/>
    <col min="23" max="26" width="9.26666666666667" style="154" customWidth="1"/>
    <col min="27" max="28" width="9.09166666666667" style="154" customWidth="1"/>
    <col min="29" max="29" width="9" style="154" customWidth="1"/>
    <col min="30" max="30" width="9.09166666666667" style="154" customWidth="1"/>
    <col min="31" max="31" width="9.26666666666667" style="154" customWidth="1"/>
    <col min="32" max="32" width="8.90833333333333" style="154" customWidth="1"/>
    <col min="33" max="33" width="9.09166666666667" style="154" customWidth="1"/>
    <col min="34" max="34" width="9.26666666666667" style="154" customWidth="1"/>
    <col min="35" max="35" width="11.0916666666667" style="154" customWidth="1"/>
    <col min="36" max="36" width="9.26666666666667" style="154" customWidth="1"/>
    <col min="37" max="37" width="8.26666666666667" style="154" customWidth="1"/>
    <col min="38" max="38" width="9.09166666666667" style="154" hidden="1" customWidth="1"/>
    <col min="39" max="39" width="9.26666666666667" style="154" hidden="1" customWidth="1"/>
    <col min="40" max="40" width="9.26666666666667" style="154" customWidth="1"/>
    <col min="41" max="42" width="9.26666666666667" style="154" hidden="1" customWidth="1"/>
    <col min="43" max="43" width="9.90833333333333" style="154" customWidth="1"/>
    <col min="44" max="44" width="9.36666666666667" style="154" customWidth="1"/>
    <col min="45" max="45" width="10.2666666666667" style="155" customWidth="1"/>
    <col min="46" max="46" width="10" style="155" customWidth="1"/>
    <col min="47" max="49" width="9.26666666666667" style="155" customWidth="1"/>
    <col min="50" max="50" width="9.26666666666667" style="154" customWidth="1"/>
    <col min="51" max="51" width="5.90833333333333" style="154" customWidth="1"/>
    <col min="52" max="52" width="8.36666666666667" style="154" customWidth="1"/>
    <col min="53" max="53" width="5.90833333333333" style="154" customWidth="1"/>
    <col min="54" max="54" width="8.90833333333333" style="154" customWidth="1"/>
    <col min="55" max="55" width="10.9083333333333" style="154" customWidth="1"/>
    <col min="56" max="56" width="40.2666666666667" style="156" customWidth="1"/>
    <col min="57" max="57" width="10.6333333333333" style="154" customWidth="1"/>
    <col min="58" max="16384" width="9" style="154"/>
  </cols>
  <sheetData>
    <row r="1" s="147" customFormat="1" ht="22.5" customHeight="1" spans="1:56">
      <c r="A1" s="157" t="s">
        <v>0</v>
      </c>
      <c r="B1" s="158" t="s">
        <v>1</v>
      </c>
      <c r="C1" s="158" t="s">
        <v>2</v>
      </c>
      <c r="D1" s="157" t="s">
        <v>3</v>
      </c>
      <c r="E1" s="158" t="s">
        <v>4</v>
      </c>
      <c r="F1" s="158" t="s">
        <v>5</v>
      </c>
      <c r="G1" s="158" t="s">
        <v>6</v>
      </c>
      <c r="H1" s="158" t="s">
        <v>7</v>
      </c>
      <c r="I1" s="158" t="s">
        <v>8</v>
      </c>
      <c r="J1" s="158" t="s">
        <v>9</v>
      </c>
      <c r="K1" s="158" t="s">
        <v>10</v>
      </c>
      <c r="L1" s="193" t="s">
        <v>11</v>
      </c>
      <c r="M1" s="193"/>
      <c r="N1" s="193"/>
      <c r="O1" s="193"/>
      <c r="P1" s="193"/>
      <c r="Q1" s="193" t="s">
        <v>12</v>
      </c>
      <c r="R1" s="193"/>
      <c r="S1" s="193"/>
      <c r="T1" s="193"/>
      <c r="U1" s="193"/>
      <c r="V1" s="193" t="s">
        <v>13</v>
      </c>
      <c r="W1" s="193"/>
      <c r="X1" s="193"/>
      <c r="Y1" s="193"/>
      <c r="Z1" s="193"/>
      <c r="AA1" s="157" t="s">
        <v>14</v>
      </c>
      <c r="AB1" s="157"/>
      <c r="AC1" s="157"/>
      <c r="AD1" s="157" t="s">
        <v>15</v>
      </c>
      <c r="AE1" s="157"/>
      <c r="AF1" s="157"/>
      <c r="AG1" s="193" t="s">
        <v>16</v>
      </c>
      <c r="AH1" s="193"/>
      <c r="AI1" s="193"/>
      <c r="AJ1" s="193"/>
      <c r="AK1" s="193"/>
      <c r="AL1" s="157" t="s">
        <v>99</v>
      </c>
      <c r="AM1" s="157"/>
      <c r="AN1" s="157"/>
      <c r="AO1" s="157"/>
      <c r="AP1" s="157"/>
      <c r="AQ1" s="157" t="s">
        <v>18</v>
      </c>
      <c r="AR1" s="157"/>
      <c r="AS1" s="209" t="s">
        <v>19</v>
      </c>
      <c r="AT1" s="209"/>
      <c r="AU1" s="209"/>
      <c r="AV1" s="209"/>
      <c r="AW1" s="209"/>
      <c r="AX1" s="157" t="s">
        <v>20</v>
      </c>
      <c r="AY1" s="157"/>
      <c r="AZ1" s="157" t="s">
        <v>21</v>
      </c>
      <c r="BA1" s="157"/>
      <c r="BB1" s="157" t="s">
        <v>22</v>
      </c>
      <c r="BC1" s="157" t="s">
        <v>23</v>
      </c>
      <c r="BD1" s="222" t="s">
        <v>24</v>
      </c>
    </row>
    <row r="2" ht="22.5" customHeight="1" spans="1:56">
      <c r="A2" s="157"/>
      <c r="B2" s="159"/>
      <c r="C2" s="158"/>
      <c r="D2" s="157"/>
      <c r="E2" s="158"/>
      <c r="F2" s="160"/>
      <c r="G2" s="160"/>
      <c r="H2" s="158"/>
      <c r="I2" s="158"/>
      <c r="J2" s="158"/>
      <c r="K2" s="158"/>
      <c r="L2" s="194" t="s">
        <v>25</v>
      </c>
      <c r="M2" s="194" t="s">
        <v>26</v>
      </c>
      <c r="N2" s="194" t="s">
        <v>27</v>
      </c>
      <c r="O2" s="194" t="s">
        <v>28</v>
      </c>
      <c r="P2" s="194" t="s">
        <v>29</v>
      </c>
      <c r="Q2" s="194" t="s">
        <v>25</v>
      </c>
      <c r="R2" s="194" t="s">
        <v>26</v>
      </c>
      <c r="S2" s="194" t="s">
        <v>27</v>
      </c>
      <c r="T2" s="194" t="s">
        <v>28</v>
      </c>
      <c r="U2" s="194" t="s">
        <v>29</v>
      </c>
      <c r="V2" s="194" t="s">
        <v>25</v>
      </c>
      <c r="W2" s="194" t="s">
        <v>26</v>
      </c>
      <c r="X2" s="194" t="s">
        <v>27</v>
      </c>
      <c r="Y2" s="194" t="s">
        <v>28</v>
      </c>
      <c r="Z2" s="194" t="s">
        <v>29</v>
      </c>
      <c r="AA2" s="194" t="s">
        <v>25</v>
      </c>
      <c r="AB2" s="194" t="s">
        <v>30</v>
      </c>
      <c r="AC2" s="194" t="s">
        <v>31</v>
      </c>
      <c r="AD2" s="194" t="s">
        <v>25</v>
      </c>
      <c r="AE2" s="194" t="s">
        <v>30</v>
      </c>
      <c r="AF2" s="194" t="s">
        <v>31</v>
      </c>
      <c r="AG2" s="194" t="s">
        <v>25</v>
      </c>
      <c r="AH2" s="194" t="s">
        <v>26</v>
      </c>
      <c r="AI2" s="194" t="s">
        <v>27</v>
      </c>
      <c r="AJ2" s="194" t="s">
        <v>28</v>
      </c>
      <c r="AK2" s="194" t="s">
        <v>29</v>
      </c>
      <c r="AL2" s="194" t="s">
        <v>25</v>
      </c>
      <c r="AM2" s="194" t="s">
        <v>26</v>
      </c>
      <c r="AN2" s="194" t="s">
        <v>27</v>
      </c>
      <c r="AO2" s="194" t="s">
        <v>28</v>
      </c>
      <c r="AP2" s="194" t="s">
        <v>29</v>
      </c>
      <c r="AQ2" s="194" t="s">
        <v>32</v>
      </c>
      <c r="AR2" s="194" t="s">
        <v>33</v>
      </c>
      <c r="AS2" s="210" t="s">
        <v>34</v>
      </c>
      <c r="AT2" s="210" t="s">
        <v>35</v>
      </c>
      <c r="AU2" s="210" t="s">
        <v>36</v>
      </c>
      <c r="AV2" s="210" t="s">
        <v>37</v>
      </c>
      <c r="AW2" s="210" t="s">
        <v>38</v>
      </c>
      <c r="AX2" s="157"/>
      <c r="AY2" s="157"/>
      <c r="AZ2" s="157"/>
      <c r="BA2" s="157"/>
      <c r="BB2" s="157"/>
      <c r="BC2" s="157"/>
      <c r="BD2" s="222"/>
    </row>
    <row r="3" s="148" customFormat="1" ht="18" customHeight="1" spans="1:60">
      <c r="A3" s="161">
        <v>1</v>
      </c>
      <c r="B3" s="162" t="s">
        <v>39</v>
      </c>
      <c r="C3" s="163" t="s">
        <v>60</v>
      </c>
      <c r="D3" s="162" t="s">
        <v>41</v>
      </c>
      <c r="E3" s="162" t="s">
        <v>51</v>
      </c>
      <c r="F3" s="164" t="s">
        <v>61</v>
      </c>
      <c r="G3" s="165" t="s">
        <v>62</v>
      </c>
      <c r="H3" s="162" t="s">
        <v>63</v>
      </c>
      <c r="I3" s="162" t="s">
        <v>63</v>
      </c>
      <c r="J3" s="162" t="s">
        <v>100</v>
      </c>
      <c r="K3" s="162" t="s">
        <v>100</v>
      </c>
      <c r="L3" s="161">
        <v>3703.2</v>
      </c>
      <c r="M3" s="161">
        <v>0.16</v>
      </c>
      <c r="N3" s="161">
        <f>ROUND(L3*M3,2)</f>
        <v>592.51</v>
      </c>
      <c r="O3" s="161">
        <v>0.08</v>
      </c>
      <c r="P3" s="161">
        <f>ROUND(L3*O3,2)</f>
        <v>296.26</v>
      </c>
      <c r="Q3" s="161">
        <v>3830.9</v>
      </c>
      <c r="R3" s="161">
        <v>0.067</v>
      </c>
      <c r="S3" s="161">
        <f>ROUND(Q3*R3,2)</f>
        <v>256.67</v>
      </c>
      <c r="T3" s="161">
        <v>0.02</v>
      </c>
      <c r="U3" s="161">
        <f>ROUND(Q3*T3,2)</f>
        <v>76.62</v>
      </c>
      <c r="V3" s="161">
        <v>3703.2</v>
      </c>
      <c r="W3" s="161">
        <v>0.007</v>
      </c>
      <c r="X3" s="161">
        <f t="shared" ref="X3:X18" si="0">ROUND(V3*W3,2)</f>
        <v>25.92</v>
      </c>
      <c r="Y3" s="161">
        <v>0.003</v>
      </c>
      <c r="Z3" s="161">
        <f>ROUND(V3*Y3,2)</f>
        <v>11.11</v>
      </c>
      <c r="AA3" s="161">
        <v>3830.9</v>
      </c>
      <c r="AB3" s="161">
        <v>0.007</v>
      </c>
      <c r="AC3" s="161">
        <f>ROUND(AA3*AB3,2)</f>
        <v>26.82</v>
      </c>
      <c r="AD3" s="161">
        <v>3830.9</v>
      </c>
      <c r="AE3" s="161">
        <v>0.002</v>
      </c>
      <c r="AF3" s="161">
        <f t="shared" ref="AF3:AF18" si="1">ROUND(AD3*AE3,2)</f>
        <v>7.66</v>
      </c>
      <c r="AG3" s="161">
        <v>3548</v>
      </c>
      <c r="AH3" s="161">
        <v>0.05</v>
      </c>
      <c r="AI3" s="161">
        <f>ROUND(AG3*AH3,0)</f>
        <v>177</v>
      </c>
      <c r="AJ3" s="161">
        <v>0.05</v>
      </c>
      <c r="AK3" s="161">
        <f>ROUND(AG3*AJ3,0)</f>
        <v>177</v>
      </c>
      <c r="AL3" s="205"/>
      <c r="AM3" s="161"/>
      <c r="AN3" s="161"/>
      <c r="AO3" s="161"/>
      <c r="AP3" s="162"/>
      <c r="AQ3" s="211"/>
      <c r="AR3" s="211"/>
      <c r="AS3" s="204">
        <f t="shared" ref="AS3:AS18" si="2">N3+S3+X3+AC3+AF3+AN3+AQ3</f>
        <v>909.58</v>
      </c>
      <c r="AT3" s="204">
        <f t="shared" ref="AT3:AT18" si="3">P3+U3+Z3+AR3</f>
        <v>383.99</v>
      </c>
      <c r="AU3" s="204">
        <f t="shared" ref="AU3:AU18" si="4">AI3</f>
        <v>177</v>
      </c>
      <c r="AV3" s="204">
        <f t="shared" ref="AV3:AV18" si="5">AK3</f>
        <v>177</v>
      </c>
      <c r="AW3" s="204">
        <f t="shared" ref="AW3:AW18" si="6">AV3+AS3+AT3+AU3</f>
        <v>1647.57</v>
      </c>
      <c r="AX3" s="223">
        <f t="shared" ref="AX3:AX18" si="7">AS3+AT3</f>
        <v>1293.57</v>
      </c>
      <c r="AY3" s="223"/>
      <c r="AZ3" s="223">
        <f t="shared" ref="AZ3:AZ18" si="8">AU3+AV3</f>
        <v>354</v>
      </c>
      <c r="BA3" s="223"/>
      <c r="BB3" s="224">
        <v>80</v>
      </c>
      <c r="BC3" s="223">
        <f t="shared" ref="BC3:BC18" si="9">AX3+AZ3+BB3</f>
        <v>1727.57</v>
      </c>
      <c r="BD3" s="225"/>
      <c r="BE3" s="245"/>
      <c r="BF3" s="246"/>
      <c r="BG3" s="246"/>
      <c r="BH3" s="246"/>
    </row>
    <row r="4" s="148" customFormat="1" ht="18" customHeight="1" spans="1:60">
      <c r="A4" s="161">
        <v>2</v>
      </c>
      <c r="B4" s="162" t="s">
        <v>39</v>
      </c>
      <c r="C4" s="163" t="s">
        <v>50</v>
      </c>
      <c r="D4" s="162" t="s">
        <v>41</v>
      </c>
      <c r="E4" s="162" t="s">
        <v>51</v>
      </c>
      <c r="F4" s="164" t="s">
        <v>101</v>
      </c>
      <c r="G4" s="165" t="s">
        <v>102</v>
      </c>
      <c r="H4" s="162" t="s">
        <v>103</v>
      </c>
      <c r="I4" s="162" t="s">
        <v>103</v>
      </c>
      <c r="J4" s="162" t="s">
        <v>100</v>
      </c>
      <c r="K4" s="162" t="s">
        <v>100</v>
      </c>
      <c r="L4" s="161">
        <v>4588</v>
      </c>
      <c r="M4" s="161">
        <v>0.15</v>
      </c>
      <c r="N4" s="161">
        <f>ROUND(L4*M4,2)</f>
        <v>688.2</v>
      </c>
      <c r="O4" s="161">
        <v>0.08</v>
      </c>
      <c r="P4" s="161">
        <f>ROUND(L4*O4,2)</f>
        <v>367.04</v>
      </c>
      <c r="Q4" s="161">
        <v>5674</v>
      </c>
      <c r="R4" s="161">
        <v>0.0685</v>
      </c>
      <c r="S4" s="161">
        <f>ROUND(Q4*R4,2)</f>
        <v>388.67</v>
      </c>
      <c r="T4" s="161">
        <v>0.02</v>
      </c>
      <c r="U4" s="161">
        <f>ROUND(Q4*T4,2)</f>
        <v>113.48</v>
      </c>
      <c r="V4" s="161">
        <v>2300</v>
      </c>
      <c r="W4" s="161">
        <v>0.008</v>
      </c>
      <c r="X4" s="161">
        <f t="shared" si="0"/>
        <v>18.4</v>
      </c>
      <c r="Y4" s="161">
        <v>0.002</v>
      </c>
      <c r="Z4" s="161">
        <f>ROUND(V4*Y4,2)</f>
        <v>4.6</v>
      </c>
      <c r="AA4" s="161"/>
      <c r="AB4" s="161"/>
      <c r="AC4" s="161"/>
      <c r="AD4" s="161">
        <v>2300</v>
      </c>
      <c r="AE4" s="161">
        <v>0.0032</v>
      </c>
      <c r="AF4" s="161">
        <f t="shared" si="1"/>
        <v>7.36</v>
      </c>
      <c r="AG4" s="161">
        <v>2300</v>
      </c>
      <c r="AH4" s="161">
        <v>0.05</v>
      </c>
      <c r="AI4" s="161">
        <f>ROUND(AG4*AH4,2)</f>
        <v>115</v>
      </c>
      <c r="AJ4" s="161">
        <v>0.05</v>
      </c>
      <c r="AK4" s="161">
        <f>ROUND(AG4*AJ4,2)</f>
        <v>115</v>
      </c>
      <c r="AL4" s="205"/>
      <c r="AM4" s="161"/>
      <c r="AN4" s="161"/>
      <c r="AO4" s="161"/>
      <c r="AP4" s="162"/>
      <c r="AQ4" s="211">
        <f>ROUND(12024*0.0026,2)</f>
        <v>31.26</v>
      </c>
      <c r="AR4" s="211"/>
      <c r="AS4" s="204">
        <f t="shared" si="2"/>
        <v>1133.89</v>
      </c>
      <c r="AT4" s="204">
        <f t="shared" si="3"/>
        <v>485.12</v>
      </c>
      <c r="AU4" s="204">
        <f t="shared" si="4"/>
        <v>115</v>
      </c>
      <c r="AV4" s="204">
        <f t="shared" si="5"/>
        <v>115</v>
      </c>
      <c r="AW4" s="204">
        <f t="shared" si="6"/>
        <v>1849.01</v>
      </c>
      <c r="AX4" s="223">
        <f t="shared" si="7"/>
        <v>1619.01</v>
      </c>
      <c r="AY4" s="223"/>
      <c r="AZ4" s="223">
        <f t="shared" si="8"/>
        <v>230</v>
      </c>
      <c r="BA4" s="223"/>
      <c r="BB4" s="224">
        <v>80</v>
      </c>
      <c r="BC4" s="223">
        <f t="shared" si="9"/>
        <v>1929.01</v>
      </c>
      <c r="BD4" s="225" t="s">
        <v>104</v>
      </c>
      <c r="BE4" s="246"/>
      <c r="BF4" s="246"/>
      <c r="BG4" s="246"/>
      <c r="BH4" s="246"/>
    </row>
    <row r="5" s="149" customFormat="1" ht="18" customHeight="1" spans="1:60">
      <c r="A5" s="166" t="s">
        <v>55</v>
      </c>
      <c r="B5" s="167" t="s">
        <v>39</v>
      </c>
      <c r="C5" s="168" t="s">
        <v>50</v>
      </c>
      <c r="D5" s="167" t="s">
        <v>41</v>
      </c>
      <c r="E5" s="167" t="s">
        <v>51</v>
      </c>
      <c r="F5" s="169" t="s">
        <v>101</v>
      </c>
      <c r="G5" s="170" t="s">
        <v>102</v>
      </c>
      <c r="H5" s="167" t="s">
        <v>103</v>
      </c>
      <c r="I5" s="167" t="s">
        <v>103</v>
      </c>
      <c r="J5" s="167" t="s">
        <v>105</v>
      </c>
      <c r="K5" s="167" t="s">
        <v>105</v>
      </c>
      <c r="L5" s="166"/>
      <c r="M5" s="166"/>
      <c r="N5" s="166"/>
      <c r="O5" s="166"/>
      <c r="P5" s="166"/>
      <c r="Q5" s="166"/>
      <c r="R5" s="166"/>
      <c r="S5" s="166"/>
      <c r="T5" s="166"/>
      <c r="U5" s="166"/>
      <c r="V5" s="166">
        <v>2300</v>
      </c>
      <c r="W5" s="166">
        <f>0.008-0.0048</f>
        <v>0.0032</v>
      </c>
      <c r="X5" s="166">
        <f t="shared" si="0"/>
        <v>7.36</v>
      </c>
      <c r="Y5" s="166"/>
      <c r="Z5" s="166"/>
      <c r="AA5" s="166"/>
      <c r="AB5" s="166"/>
      <c r="AC5" s="166"/>
      <c r="AD5" s="166">
        <v>2300</v>
      </c>
      <c r="AE5" s="166">
        <f>0.0032-0.0016</f>
        <v>0.0016</v>
      </c>
      <c r="AF5" s="166">
        <f t="shared" si="1"/>
        <v>3.68</v>
      </c>
      <c r="AG5" s="166"/>
      <c r="AH5" s="166"/>
      <c r="AI5" s="166"/>
      <c r="AJ5" s="166"/>
      <c r="AK5" s="166"/>
      <c r="AL5" s="206"/>
      <c r="AM5" s="166"/>
      <c r="AN5" s="166"/>
      <c r="AO5" s="166"/>
      <c r="AP5" s="167"/>
      <c r="AQ5" s="212"/>
      <c r="AR5" s="212"/>
      <c r="AS5" s="213">
        <f t="shared" si="2"/>
        <v>11.04</v>
      </c>
      <c r="AT5" s="213">
        <f t="shared" si="3"/>
        <v>0</v>
      </c>
      <c r="AU5" s="213">
        <f t="shared" si="4"/>
        <v>0</v>
      </c>
      <c r="AV5" s="213">
        <f t="shared" si="5"/>
        <v>0</v>
      </c>
      <c r="AW5" s="213">
        <f t="shared" si="6"/>
        <v>11.04</v>
      </c>
      <c r="AX5" s="226">
        <f t="shared" si="7"/>
        <v>11.04</v>
      </c>
      <c r="AY5" s="226"/>
      <c r="AZ5" s="226">
        <f t="shared" si="8"/>
        <v>0</v>
      </c>
      <c r="BA5" s="226"/>
      <c r="BB5" s="227"/>
      <c r="BC5" s="226">
        <f t="shared" si="9"/>
        <v>11.04</v>
      </c>
      <c r="BD5" s="228" t="s">
        <v>106</v>
      </c>
      <c r="BE5" s="247"/>
      <c r="BF5" s="247"/>
      <c r="BG5" s="247"/>
      <c r="BH5" s="247"/>
    </row>
    <row r="6" s="148" customFormat="1" ht="20" customHeight="1" spans="1:60">
      <c r="A6" s="161">
        <v>3</v>
      </c>
      <c r="B6" s="162" t="s">
        <v>39</v>
      </c>
      <c r="C6" s="163" t="s">
        <v>107</v>
      </c>
      <c r="D6" s="162" t="s">
        <v>41</v>
      </c>
      <c r="E6" s="162" t="s">
        <v>51</v>
      </c>
      <c r="F6" s="164" t="s">
        <v>108</v>
      </c>
      <c r="G6" s="379" t="s">
        <v>109</v>
      </c>
      <c r="H6" s="162">
        <v>202208</v>
      </c>
      <c r="I6" s="162" t="s">
        <v>110</v>
      </c>
      <c r="J6" s="162" t="s">
        <v>100</v>
      </c>
      <c r="K6" s="162" t="s">
        <v>100</v>
      </c>
      <c r="L6" s="161">
        <v>6520</v>
      </c>
      <c r="M6" s="161">
        <v>0.16</v>
      </c>
      <c r="N6" s="161">
        <f t="shared" ref="N6:N18" si="10">ROUND(L6*M6,2)</f>
        <v>1043.2</v>
      </c>
      <c r="O6" s="161">
        <v>0.08</v>
      </c>
      <c r="P6" s="161">
        <f t="shared" ref="P6:P18" si="11">ROUND(L6*O6,2)</f>
        <v>521.6</v>
      </c>
      <c r="Q6" s="161">
        <v>6520</v>
      </c>
      <c r="R6" s="161">
        <v>0.105</v>
      </c>
      <c r="S6" s="161">
        <f t="shared" ref="S6:S18" si="12">ROUND(Q6*R6,2)</f>
        <v>684.6</v>
      </c>
      <c r="T6" s="161">
        <v>0.02</v>
      </c>
      <c r="U6" s="161">
        <f t="shared" ref="U6:U18" si="13">ROUND(Q6*T6,2)</f>
        <v>130.4</v>
      </c>
      <c r="V6" s="161">
        <v>6520</v>
      </c>
      <c r="W6" s="161">
        <v>0.005</v>
      </c>
      <c r="X6" s="161">
        <f t="shared" si="0"/>
        <v>32.6</v>
      </c>
      <c r="Y6" s="161">
        <v>0.005</v>
      </c>
      <c r="Z6" s="161">
        <f t="shared" ref="Z6:Z18" si="14">ROUND(V6*Y6,2)</f>
        <v>32.6</v>
      </c>
      <c r="AA6" s="161"/>
      <c r="AB6" s="161"/>
      <c r="AC6" s="161"/>
      <c r="AD6" s="161">
        <v>6520</v>
      </c>
      <c r="AE6" s="161">
        <v>0.00256</v>
      </c>
      <c r="AF6" s="161">
        <f t="shared" si="1"/>
        <v>16.69</v>
      </c>
      <c r="AG6" s="161">
        <v>2590</v>
      </c>
      <c r="AH6" s="161">
        <v>0.07</v>
      </c>
      <c r="AI6" s="161">
        <f>ROUND(AG6*AH6,2)</f>
        <v>181.3</v>
      </c>
      <c r="AJ6" s="161">
        <v>0.07</v>
      </c>
      <c r="AK6" s="161">
        <f>ROUND(AG6*AJ6,2)</f>
        <v>181.3</v>
      </c>
      <c r="AL6" s="205"/>
      <c r="AM6" s="161"/>
      <c r="AN6" s="161">
        <f>ROUND(L6*1.5%,2)</f>
        <v>97.8</v>
      </c>
      <c r="AO6" s="161"/>
      <c r="AP6" s="162"/>
      <c r="AQ6" s="211"/>
      <c r="AR6" s="211"/>
      <c r="AS6" s="204">
        <f t="shared" si="2"/>
        <v>1874.89</v>
      </c>
      <c r="AT6" s="204">
        <f t="shared" si="3"/>
        <v>684.6</v>
      </c>
      <c r="AU6" s="204">
        <f t="shared" si="4"/>
        <v>181.3</v>
      </c>
      <c r="AV6" s="204">
        <f t="shared" si="5"/>
        <v>181.3</v>
      </c>
      <c r="AW6" s="204">
        <f t="shared" si="6"/>
        <v>2922.09</v>
      </c>
      <c r="AX6" s="223">
        <f t="shared" si="7"/>
        <v>2559.49</v>
      </c>
      <c r="AY6" s="223"/>
      <c r="AZ6" s="223">
        <f t="shared" si="8"/>
        <v>362.6</v>
      </c>
      <c r="BA6" s="223"/>
      <c r="BB6" s="224">
        <v>80</v>
      </c>
      <c r="BC6" s="223">
        <f t="shared" si="9"/>
        <v>3002.09</v>
      </c>
      <c r="BD6" s="229"/>
      <c r="BE6" s="246"/>
      <c r="BF6" s="246"/>
      <c r="BG6" s="246"/>
      <c r="BH6" s="246"/>
    </row>
    <row r="7" s="148" customFormat="1" ht="20" customHeight="1" spans="1:60">
      <c r="A7" s="161">
        <v>4</v>
      </c>
      <c r="B7" s="162" t="s">
        <v>39</v>
      </c>
      <c r="C7" s="163" t="s">
        <v>111</v>
      </c>
      <c r="D7" s="162" t="s">
        <v>41</v>
      </c>
      <c r="E7" s="162" t="s">
        <v>51</v>
      </c>
      <c r="F7" s="164" t="s">
        <v>112</v>
      </c>
      <c r="G7" s="379" t="s">
        <v>113</v>
      </c>
      <c r="H7" s="162">
        <v>202208</v>
      </c>
      <c r="I7" s="162">
        <v>202208</v>
      </c>
      <c r="J7" s="162" t="s">
        <v>114</v>
      </c>
      <c r="K7" s="162" t="s">
        <v>114</v>
      </c>
      <c r="L7" s="161">
        <v>3832</v>
      </c>
      <c r="M7" s="161">
        <v>0.16</v>
      </c>
      <c r="N7" s="161">
        <f t="shared" si="10"/>
        <v>613.12</v>
      </c>
      <c r="O7" s="161">
        <v>0.08</v>
      </c>
      <c r="P7" s="161">
        <f t="shared" si="11"/>
        <v>306.56</v>
      </c>
      <c r="Q7" s="161">
        <v>3832</v>
      </c>
      <c r="R7" s="161">
        <v>0.088</v>
      </c>
      <c r="S7" s="161">
        <f t="shared" si="12"/>
        <v>337.22</v>
      </c>
      <c r="T7" s="161">
        <v>0.02</v>
      </c>
      <c r="U7" s="161">
        <f t="shared" si="13"/>
        <v>76.64</v>
      </c>
      <c r="V7" s="161">
        <v>3832</v>
      </c>
      <c r="W7" s="161">
        <v>0.005</v>
      </c>
      <c r="X7" s="161">
        <f t="shared" si="0"/>
        <v>19.16</v>
      </c>
      <c r="Y7" s="161">
        <v>0.005</v>
      </c>
      <c r="Z7" s="161">
        <f t="shared" si="14"/>
        <v>19.16</v>
      </c>
      <c r="AA7" s="161"/>
      <c r="AB7" s="161"/>
      <c r="AC7" s="161"/>
      <c r="AD7" s="161">
        <v>3832</v>
      </c>
      <c r="AE7" s="161">
        <v>0.0032</v>
      </c>
      <c r="AF7" s="161">
        <f t="shared" si="1"/>
        <v>12.26</v>
      </c>
      <c r="AG7" s="161">
        <v>1930</v>
      </c>
      <c r="AH7" s="161">
        <v>0.05</v>
      </c>
      <c r="AI7" s="161">
        <f>ROUND(AG7*AH7,0)</f>
        <v>97</v>
      </c>
      <c r="AJ7" s="161">
        <v>0.05</v>
      </c>
      <c r="AK7" s="161">
        <f>ROUND(AG7*AJ7,0)</f>
        <v>97</v>
      </c>
      <c r="AL7" s="205"/>
      <c r="AM7" s="161"/>
      <c r="AN7" s="161"/>
      <c r="AO7" s="161"/>
      <c r="AP7" s="162"/>
      <c r="AQ7" s="211">
        <v>14</v>
      </c>
      <c r="AR7" s="211">
        <v>8</v>
      </c>
      <c r="AS7" s="204">
        <f t="shared" si="2"/>
        <v>995.76</v>
      </c>
      <c r="AT7" s="204">
        <f t="shared" si="3"/>
        <v>410.36</v>
      </c>
      <c r="AU7" s="204">
        <f t="shared" si="4"/>
        <v>97</v>
      </c>
      <c r="AV7" s="204">
        <f t="shared" si="5"/>
        <v>97</v>
      </c>
      <c r="AW7" s="204">
        <f t="shared" si="6"/>
        <v>1600.12</v>
      </c>
      <c r="AX7" s="223">
        <f t="shared" si="7"/>
        <v>1406.12</v>
      </c>
      <c r="AY7" s="223"/>
      <c r="AZ7" s="223">
        <f t="shared" si="8"/>
        <v>194</v>
      </c>
      <c r="BA7" s="223"/>
      <c r="BB7" s="224">
        <v>80</v>
      </c>
      <c r="BC7" s="223">
        <f t="shared" si="9"/>
        <v>1680.12</v>
      </c>
      <c r="BD7" s="230"/>
      <c r="BE7" s="246"/>
      <c r="BF7" s="246"/>
      <c r="BG7" s="246"/>
      <c r="BH7" s="246"/>
    </row>
    <row r="8" s="148" customFormat="1" ht="20" customHeight="1" spans="1:60">
      <c r="A8" s="161">
        <v>5</v>
      </c>
      <c r="B8" s="162" t="s">
        <v>39</v>
      </c>
      <c r="C8" s="163" t="s">
        <v>111</v>
      </c>
      <c r="D8" s="162" t="s">
        <v>41</v>
      </c>
      <c r="E8" s="162" t="s">
        <v>51</v>
      </c>
      <c r="F8" s="164" t="s">
        <v>115</v>
      </c>
      <c r="G8" s="379" t="s">
        <v>116</v>
      </c>
      <c r="H8" s="162" t="s">
        <v>117</v>
      </c>
      <c r="I8" s="162" t="s">
        <v>117</v>
      </c>
      <c r="J8" s="162" t="s">
        <v>114</v>
      </c>
      <c r="K8" s="162" t="s">
        <v>114</v>
      </c>
      <c r="L8" s="161">
        <v>3832</v>
      </c>
      <c r="M8" s="161">
        <v>0.16</v>
      </c>
      <c r="N8" s="161">
        <f t="shared" si="10"/>
        <v>613.12</v>
      </c>
      <c r="O8" s="161">
        <v>0.08</v>
      </c>
      <c r="P8" s="161">
        <f t="shared" si="11"/>
        <v>306.56</v>
      </c>
      <c r="Q8" s="161">
        <v>3832</v>
      </c>
      <c r="R8" s="161">
        <v>0.088</v>
      </c>
      <c r="S8" s="161">
        <f t="shared" si="12"/>
        <v>337.22</v>
      </c>
      <c r="T8" s="161">
        <v>0.02</v>
      </c>
      <c r="U8" s="161">
        <f t="shared" si="13"/>
        <v>76.64</v>
      </c>
      <c r="V8" s="161">
        <v>3832</v>
      </c>
      <c r="W8" s="196">
        <v>0.005</v>
      </c>
      <c r="X8" s="161">
        <f t="shared" si="0"/>
        <v>19.16</v>
      </c>
      <c r="Y8" s="196">
        <v>0.005</v>
      </c>
      <c r="Z8" s="161">
        <f t="shared" si="14"/>
        <v>19.16</v>
      </c>
      <c r="AA8" s="161"/>
      <c r="AB8" s="161"/>
      <c r="AC8" s="161"/>
      <c r="AD8" s="161">
        <v>3832</v>
      </c>
      <c r="AE8" s="161">
        <v>0.0032</v>
      </c>
      <c r="AF8" s="161">
        <f t="shared" si="1"/>
        <v>12.26</v>
      </c>
      <c r="AG8" s="161">
        <v>1930</v>
      </c>
      <c r="AH8" s="161">
        <v>0.05</v>
      </c>
      <c r="AI8" s="161">
        <f>ROUND(AG8*AH8,0)</f>
        <v>97</v>
      </c>
      <c r="AJ8" s="161">
        <v>0.05</v>
      </c>
      <c r="AK8" s="161">
        <f>ROUND(AG8*AJ8,0)</f>
        <v>97</v>
      </c>
      <c r="AL8" s="205"/>
      <c r="AM8" s="161"/>
      <c r="AN8" s="161"/>
      <c r="AO8" s="161"/>
      <c r="AP8" s="162"/>
      <c r="AQ8" s="211">
        <v>14</v>
      </c>
      <c r="AR8" s="211">
        <v>8</v>
      </c>
      <c r="AS8" s="204">
        <f t="shared" si="2"/>
        <v>995.76</v>
      </c>
      <c r="AT8" s="204">
        <f t="shared" si="3"/>
        <v>410.36</v>
      </c>
      <c r="AU8" s="204">
        <f t="shared" si="4"/>
        <v>97</v>
      </c>
      <c r="AV8" s="204">
        <f t="shared" si="5"/>
        <v>97</v>
      </c>
      <c r="AW8" s="204">
        <f t="shared" si="6"/>
        <v>1600.12</v>
      </c>
      <c r="AX8" s="223">
        <f t="shared" si="7"/>
        <v>1406.12</v>
      </c>
      <c r="AY8" s="223"/>
      <c r="AZ8" s="223">
        <f t="shared" si="8"/>
        <v>194</v>
      </c>
      <c r="BA8" s="223"/>
      <c r="BB8" s="224">
        <v>80</v>
      </c>
      <c r="BC8" s="223">
        <f t="shared" si="9"/>
        <v>1680.12</v>
      </c>
      <c r="BD8" s="230"/>
      <c r="BE8" s="246"/>
      <c r="BF8" s="246"/>
      <c r="BG8" s="246"/>
      <c r="BH8" s="246"/>
    </row>
    <row r="9" s="148" customFormat="1" ht="19.5" customHeight="1" spans="1:60">
      <c r="A9" s="161">
        <v>6</v>
      </c>
      <c r="B9" s="162" t="s">
        <v>39</v>
      </c>
      <c r="C9" s="163" t="s">
        <v>118</v>
      </c>
      <c r="D9" s="162" t="s">
        <v>41</v>
      </c>
      <c r="E9" s="162" t="s">
        <v>51</v>
      </c>
      <c r="F9" s="164" t="s">
        <v>119</v>
      </c>
      <c r="G9" s="379" t="s">
        <v>120</v>
      </c>
      <c r="H9" s="162">
        <v>202208</v>
      </c>
      <c r="I9" s="162">
        <v>202208</v>
      </c>
      <c r="J9" s="162" t="s">
        <v>114</v>
      </c>
      <c r="K9" s="162" t="s">
        <v>114</v>
      </c>
      <c r="L9" s="161">
        <v>3832</v>
      </c>
      <c r="M9" s="161">
        <v>0.16</v>
      </c>
      <c r="N9" s="161">
        <f t="shared" si="10"/>
        <v>613.12</v>
      </c>
      <c r="O9" s="161">
        <v>0.08</v>
      </c>
      <c r="P9" s="161">
        <f t="shared" si="11"/>
        <v>306.56</v>
      </c>
      <c r="Q9" s="161">
        <v>3832</v>
      </c>
      <c r="R9" s="161">
        <v>0.069</v>
      </c>
      <c r="S9" s="161">
        <f t="shared" si="12"/>
        <v>264.41</v>
      </c>
      <c r="T9" s="161">
        <v>0.02</v>
      </c>
      <c r="U9" s="161">
        <f t="shared" si="13"/>
        <v>76.64</v>
      </c>
      <c r="V9" s="161">
        <v>3832</v>
      </c>
      <c r="W9" s="161">
        <v>0.005</v>
      </c>
      <c r="X9" s="161">
        <f t="shared" si="0"/>
        <v>19.16</v>
      </c>
      <c r="Y9" s="161">
        <v>0.005</v>
      </c>
      <c r="Z9" s="161">
        <f t="shared" si="14"/>
        <v>19.16</v>
      </c>
      <c r="AA9" s="161"/>
      <c r="AB9" s="161"/>
      <c r="AC9" s="161"/>
      <c r="AD9" s="161">
        <v>3832</v>
      </c>
      <c r="AE9" s="161">
        <v>0.004</v>
      </c>
      <c r="AF9" s="161">
        <f t="shared" si="1"/>
        <v>15.33</v>
      </c>
      <c r="AG9" s="161">
        <v>3440</v>
      </c>
      <c r="AH9" s="161">
        <v>0.05</v>
      </c>
      <c r="AI9" s="161">
        <f>ROUND(AG9*AH9,2)</f>
        <v>172</v>
      </c>
      <c r="AJ9" s="161">
        <v>0.05</v>
      </c>
      <c r="AK9" s="161">
        <f>ROUND(AG9*AJ9,2)</f>
        <v>172</v>
      </c>
      <c r="AL9" s="205"/>
      <c r="AM9" s="161"/>
      <c r="AN9" s="161"/>
      <c r="AO9" s="161"/>
      <c r="AP9" s="162"/>
      <c r="AQ9" s="211">
        <v>9</v>
      </c>
      <c r="AR9" s="211">
        <v>6</v>
      </c>
      <c r="AS9" s="204">
        <f t="shared" si="2"/>
        <v>921.02</v>
      </c>
      <c r="AT9" s="204">
        <f t="shared" si="3"/>
        <v>408.36</v>
      </c>
      <c r="AU9" s="204">
        <f t="shared" si="4"/>
        <v>172</v>
      </c>
      <c r="AV9" s="204">
        <f t="shared" si="5"/>
        <v>172</v>
      </c>
      <c r="AW9" s="204">
        <f t="shared" si="6"/>
        <v>1673.38</v>
      </c>
      <c r="AX9" s="223">
        <f t="shared" si="7"/>
        <v>1329.38</v>
      </c>
      <c r="AY9" s="223"/>
      <c r="AZ9" s="223">
        <f t="shared" si="8"/>
        <v>344</v>
      </c>
      <c r="BA9" s="223"/>
      <c r="BB9" s="224">
        <v>80</v>
      </c>
      <c r="BC9" s="223">
        <f t="shared" si="9"/>
        <v>1753.38</v>
      </c>
      <c r="BD9" s="229"/>
      <c r="BE9" s="246"/>
      <c r="BF9" s="246"/>
      <c r="BG9" s="246"/>
      <c r="BH9" s="246"/>
    </row>
    <row r="10" s="148" customFormat="1" ht="20" customHeight="1" spans="1:60">
      <c r="A10" s="161">
        <v>7</v>
      </c>
      <c r="B10" s="162" t="s">
        <v>39</v>
      </c>
      <c r="C10" s="163" t="s">
        <v>118</v>
      </c>
      <c r="D10" s="162" t="s">
        <v>41</v>
      </c>
      <c r="E10" s="162" t="s">
        <v>51</v>
      </c>
      <c r="F10" s="164" t="s">
        <v>121</v>
      </c>
      <c r="G10" s="379" t="s">
        <v>122</v>
      </c>
      <c r="H10" s="162">
        <v>202301</v>
      </c>
      <c r="I10" s="162">
        <v>202301</v>
      </c>
      <c r="J10" s="162" t="s">
        <v>114</v>
      </c>
      <c r="K10" s="162" t="s">
        <v>114</v>
      </c>
      <c r="L10" s="161">
        <v>3832</v>
      </c>
      <c r="M10" s="161">
        <v>0.16</v>
      </c>
      <c r="N10" s="161">
        <f t="shared" si="10"/>
        <v>613.12</v>
      </c>
      <c r="O10" s="161">
        <v>0.08</v>
      </c>
      <c r="P10" s="161">
        <f t="shared" si="11"/>
        <v>306.56</v>
      </c>
      <c r="Q10" s="161">
        <v>3832</v>
      </c>
      <c r="R10" s="161">
        <v>0.069</v>
      </c>
      <c r="S10" s="161">
        <f t="shared" si="12"/>
        <v>264.41</v>
      </c>
      <c r="T10" s="161">
        <v>0.02</v>
      </c>
      <c r="U10" s="161">
        <f t="shared" si="13"/>
        <v>76.64</v>
      </c>
      <c r="V10" s="161">
        <v>3832</v>
      </c>
      <c r="W10" s="161">
        <v>0.005</v>
      </c>
      <c r="X10" s="161">
        <f t="shared" si="0"/>
        <v>19.16</v>
      </c>
      <c r="Y10" s="161">
        <v>0.005</v>
      </c>
      <c r="Z10" s="161">
        <f t="shared" si="14"/>
        <v>19.16</v>
      </c>
      <c r="AA10" s="161"/>
      <c r="AB10" s="161"/>
      <c r="AC10" s="161"/>
      <c r="AD10" s="161">
        <v>3832</v>
      </c>
      <c r="AE10" s="161">
        <v>0.004</v>
      </c>
      <c r="AF10" s="161">
        <f t="shared" si="1"/>
        <v>15.33</v>
      </c>
      <c r="AG10" s="161">
        <v>3440</v>
      </c>
      <c r="AH10" s="161">
        <v>0.05</v>
      </c>
      <c r="AI10" s="161">
        <f>ROUND(AG10*AH10,2)</f>
        <v>172</v>
      </c>
      <c r="AJ10" s="161">
        <v>0.05</v>
      </c>
      <c r="AK10" s="161">
        <f>ROUND(AG10*AJ10,2)</f>
        <v>172</v>
      </c>
      <c r="AL10" s="205"/>
      <c r="AM10" s="161"/>
      <c r="AN10" s="161"/>
      <c r="AO10" s="161"/>
      <c r="AP10" s="162"/>
      <c r="AQ10" s="211">
        <v>9</v>
      </c>
      <c r="AR10" s="211">
        <v>6</v>
      </c>
      <c r="AS10" s="204">
        <f t="shared" si="2"/>
        <v>921.02</v>
      </c>
      <c r="AT10" s="204">
        <f t="shared" si="3"/>
        <v>408.36</v>
      </c>
      <c r="AU10" s="204">
        <f t="shared" si="4"/>
        <v>172</v>
      </c>
      <c r="AV10" s="204">
        <f t="shared" si="5"/>
        <v>172</v>
      </c>
      <c r="AW10" s="204">
        <f t="shared" si="6"/>
        <v>1673.38</v>
      </c>
      <c r="AX10" s="223">
        <f t="shared" si="7"/>
        <v>1329.38</v>
      </c>
      <c r="AY10" s="223"/>
      <c r="AZ10" s="223">
        <f t="shared" si="8"/>
        <v>344</v>
      </c>
      <c r="BA10" s="223"/>
      <c r="BB10" s="224">
        <v>80</v>
      </c>
      <c r="BC10" s="223">
        <f t="shared" si="9"/>
        <v>1753.38</v>
      </c>
      <c r="BD10" s="229"/>
      <c r="BE10" s="246"/>
      <c r="BF10" s="246"/>
      <c r="BG10" s="246"/>
      <c r="BH10" s="246"/>
    </row>
    <row r="11" s="148" customFormat="1" ht="20" customHeight="1" spans="1:60">
      <c r="A11" s="161">
        <v>8</v>
      </c>
      <c r="B11" s="162" t="s">
        <v>39</v>
      </c>
      <c r="C11" s="163" t="s">
        <v>118</v>
      </c>
      <c r="D11" s="162" t="s">
        <v>41</v>
      </c>
      <c r="E11" s="162" t="s">
        <v>51</v>
      </c>
      <c r="F11" s="164" t="s">
        <v>123</v>
      </c>
      <c r="G11" s="379" t="s">
        <v>124</v>
      </c>
      <c r="H11" s="162">
        <v>202301</v>
      </c>
      <c r="I11" s="162">
        <v>202301</v>
      </c>
      <c r="J11" s="162" t="s">
        <v>114</v>
      </c>
      <c r="K11" s="162" t="s">
        <v>114</v>
      </c>
      <c r="L11" s="161">
        <v>3832</v>
      </c>
      <c r="M11" s="161">
        <v>0.16</v>
      </c>
      <c r="N11" s="161">
        <f t="shared" si="10"/>
        <v>613.12</v>
      </c>
      <c r="O11" s="161">
        <v>0.08</v>
      </c>
      <c r="P11" s="161">
        <f t="shared" si="11"/>
        <v>306.56</v>
      </c>
      <c r="Q11" s="161">
        <v>3832</v>
      </c>
      <c r="R11" s="161">
        <v>0.069</v>
      </c>
      <c r="S11" s="161">
        <f t="shared" si="12"/>
        <v>264.41</v>
      </c>
      <c r="T11" s="161">
        <v>0.02</v>
      </c>
      <c r="U11" s="161">
        <f t="shared" si="13"/>
        <v>76.64</v>
      </c>
      <c r="V11" s="161">
        <v>3832</v>
      </c>
      <c r="W11" s="161">
        <v>0.005</v>
      </c>
      <c r="X11" s="161">
        <f t="shared" si="0"/>
        <v>19.16</v>
      </c>
      <c r="Y11" s="161">
        <v>0.005</v>
      </c>
      <c r="Z11" s="161">
        <f t="shared" si="14"/>
        <v>19.16</v>
      </c>
      <c r="AA11" s="161"/>
      <c r="AB11" s="161"/>
      <c r="AC11" s="161"/>
      <c r="AD11" s="161">
        <v>3832</v>
      </c>
      <c r="AE11" s="161">
        <v>0.004</v>
      </c>
      <c r="AF11" s="161">
        <f t="shared" si="1"/>
        <v>15.33</v>
      </c>
      <c r="AG11" s="161">
        <v>3440</v>
      </c>
      <c r="AH11" s="161">
        <v>0.05</v>
      </c>
      <c r="AI11" s="161">
        <f>ROUND(AG11*AH11,2)</f>
        <v>172</v>
      </c>
      <c r="AJ11" s="161">
        <v>0.05</v>
      </c>
      <c r="AK11" s="161">
        <f>ROUND(AG11*AJ11,2)</f>
        <v>172</v>
      </c>
      <c r="AL11" s="205"/>
      <c r="AM11" s="161"/>
      <c r="AN11" s="161"/>
      <c r="AO11" s="161"/>
      <c r="AP11" s="162"/>
      <c r="AQ11" s="211">
        <v>9</v>
      </c>
      <c r="AR11" s="211">
        <v>6</v>
      </c>
      <c r="AS11" s="204">
        <f t="shared" si="2"/>
        <v>921.02</v>
      </c>
      <c r="AT11" s="204">
        <f t="shared" si="3"/>
        <v>408.36</v>
      </c>
      <c r="AU11" s="204">
        <f t="shared" si="4"/>
        <v>172</v>
      </c>
      <c r="AV11" s="204">
        <f t="shared" si="5"/>
        <v>172</v>
      </c>
      <c r="AW11" s="204">
        <f t="shared" si="6"/>
        <v>1673.38</v>
      </c>
      <c r="AX11" s="223">
        <f t="shared" si="7"/>
        <v>1329.38</v>
      </c>
      <c r="AY11" s="223"/>
      <c r="AZ11" s="223">
        <f t="shared" si="8"/>
        <v>344</v>
      </c>
      <c r="BA11" s="223"/>
      <c r="BB11" s="224">
        <v>80</v>
      </c>
      <c r="BC11" s="223">
        <f t="shared" si="9"/>
        <v>1753.38</v>
      </c>
      <c r="BD11" s="229"/>
      <c r="BE11" s="246"/>
      <c r="BF11" s="246"/>
      <c r="BG11" s="246"/>
      <c r="BH11" s="246"/>
    </row>
    <row r="12" s="148" customFormat="1" ht="19.5" customHeight="1" spans="1:60">
      <c r="A12" s="161">
        <v>9</v>
      </c>
      <c r="B12" s="162" t="s">
        <v>39</v>
      </c>
      <c r="C12" s="163" t="s">
        <v>125</v>
      </c>
      <c r="D12" s="162" t="s">
        <v>41</v>
      </c>
      <c r="E12" s="162" t="s">
        <v>51</v>
      </c>
      <c r="F12" s="164" t="s">
        <v>126</v>
      </c>
      <c r="G12" s="379" t="s">
        <v>127</v>
      </c>
      <c r="H12" s="162">
        <v>202212</v>
      </c>
      <c r="I12" s="162">
        <v>202212</v>
      </c>
      <c r="J12" s="162" t="s">
        <v>114</v>
      </c>
      <c r="K12" s="162" t="s">
        <v>114</v>
      </c>
      <c r="L12" s="161">
        <v>3832</v>
      </c>
      <c r="M12" s="161">
        <v>0.16</v>
      </c>
      <c r="N12" s="161">
        <f t="shared" si="10"/>
        <v>613.12</v>
      </c>
      <c r="O12" s="161">
        <v>0.08</v>
      </c>
      <c r="P12" s="161">
        <f t="shared" si="11"/>
        <v>306.56</v>
      </c>
      <c r="Q12" s="161">
        <v>3832</v>
      </c>
      <c r="R12" s="161">
        <v>0.07</v>
      </c>
      <c r="S12" s="161">
        <f t="shared" si="12"/>
        <v>268.24</v>
      </c>
      <c r="T12" s="161">
        <v>0.02</v>
      </c>
      <c r="U12" s="161">
        <f t="shared" si="13"/>
        <v>76.64</v>
      </c>
      <c r="V12" s="161">
        <v>3832</v>
      </c>
      <c r="W12" s="161">
        <v>0.005</v>
      </c>
      <c r="X12" s="161">
        <f t="shared" si="0"/>
        <v>19.16</v>
      </c>
      <c r="Y12" s="161">
        <v>0.005</v>
      </c>
      <c r="Z12" s="161">
        <f t="shared" si="14"/>
        <v>19.16</v>
      </c>
      <c r="AA12" s="161"/>
      <c r="AB12" s="161"/>
      <c r="AC12" s="161"/>
      <c r="AD12" s="161">
        <v>3832</v>
      </c>
      <c r="AE12" s="161">
        <v>0.0048</v>
      </c>
      <c r="AF12" s="161">
        <f t="shared" si="1"/>
        <v>18.39</v>
      </c>
      <c r="AG12" s="161">
        <v>1930</v>
      </c>
      <c r="AH12" s="161">
        <v>0.05</v>
      </c>
      <c r="AI12" s="161">
        <f>ROUND(AG12*AH12,0)</f>
        <v>97</v>
      </c>
      <c r="AJ12" s="161">
        <v>0.05</v>
      </c>
      <c r="AK12" s="161">
        <f>ROUND(AG12*AJ12,0)</f>
        <v>97</v>
      </c>
      <c r="AL12" s="205"/>
      <c r="AM12" s="161"/>
      <c r="AN12" s="161"/>
      <c r="AO12" s="161"/>
      <c r="AP12" s="162"/>
      <c r="AQ12" s="211"/>
      <c r="AR12" s="211">
        <v>35.85</v>
      </c>
      <c r="AS12" s="204">
        <f t="shared" si="2"/>
        <v>918.91</v>
      </c>
      <c r="AT12" s="204">
        <f t="shared" si="3"/>
        <v>438.21</v>
      </c>
      <c r="AU12" s="204">
        <f t="shared" si="4"/>
        <v>97</v>
      </c>
      <c r="AV12" s="204">
        <f t="shared" si="5"/>
        <v>97</v>
      </c>
      <c r="AW12" s="204">
        <f t="shared" si="6"/>
        <v>1551.12</v>
      </c>
      <c r="AX12" s="223">
        <f t="shared" si="7"/>
        <v>1357.12</v>
      </c>
      <c r="AY12" s="223"/>
      <c r="AZ12" s="223">
        <f t="shared" si="8"/>
        <v>194</v>
      </c>
      <c r="BA12" s="223"/>
      <c r="BB12" s="224">
        <v>80</v>
      </c>
      <c r="BC12" s="223">
        <f t="shared" si="9"/>
        <v>1631.12</v>
      </c>
      <c r="BD12" s="230"/>
      <c r="BE12" s="246"/>
      <c r="BF12" s="246"/>
      <c r="BG12" s="246"/>
      <c r="BH12" s="246"/>
    </row>
    <row r="13" s="148" customFormat="1" ht="19.5" customHeight="1" spans="1:60">
      <c r="A13" s="161">
        <v>10</v>
      </c>
      <c r="B13" s="162" t="s">
        <v>39</v>
      </c>
      <c r="C13" s="163" t="s">
        <v>125</v>
      </c>
      <c r="D13" s="162" t="s">
        <v>41</v>
      </c>
      <c r="E13" s="162" t="s">
        <v>51</v>
      </c>
      <c r="F13" s="164" t="s">
        <v>128</v>
      </c>
      <c r="G13" s="379" t="s">
        <v>129</v>
      </c>
      <c r="H13" s="162">
        <v>202301</v>
      </c>
      <c r="I13" s="162">
        <v>202301</v>
      </c>
      <c r="J13" s="162" t="s">
        <v>114</v>
      </c>
      <c r="K13" s="162" t="s">
        <v>114</v>
      </c>
      <c r="L13" s="161">
        <v>3832</v>
      </c>
      <c r="M13" s="161">
        <v>0.16</v>
      </c>
      <c r="N13" s="161">
        <f t="shared" si="10"/>
        <v>613.12</v>
      </c>
      <c r="O13" s="161">
        <v>0.08</v>
      </c>
      <c r="P13" s="161">
        <f t="shared" si="11"/>
        <v>306.56</v>
      </c>
      <c r="Q13" s="161">
        <v>3832</v>
      </c>
      <c r="R13" s="161">
        <v>0.07</v>
      </c>
      <c r="S13" s="161">
        <f t="shared" si="12"/>
        <v>268.24</v>
      </c>
      <c r="T13" s="161">
        <v>0.02</v>
      </c>
      <c r="U13" s="161">
        <f t="shared" si="13"/>
        <v>76.64</v>
      </c>
      <c r="V13" s="161">
        <v>3832</v>
      </c>
      <c r="W13" s="161">
        <v>0.005</v>
      </c>
      <c r="X13" s="161">
        <f t="shared" si="0"/>
        <v>19.16</v>
      </c>
      <c r="Y13" s="161">
        <v>0.005</v>
      </c>
      <c r="Z13" s="161">
        <f t="shared" si="14"/>
        <v>19.16</v>
      </c>
      <c r="AA13" s="161"/>
      <c r="AB13" s="161"/>
      <c r="AC13" s="161"/>
      <c r="AD13" s="161">
        <v>3832</v>
      </c>
      <c r="AE13" s="161">
        <v>0.0048</v>
      </c>
      <c r="AF13" s="161">
        <f t="shared" si="1"/>
        <v>18.39</v>
      </c>
      <c r="AG13" s="161">
        <v>1930</v>
      </c>
      <c r="AH13" s="161">
        <v>0.05</v>
      </c>
      <c r="AI13" s="161">
        <f>ROUND(AG13*AH13,0)</f>
        <v>97</v>
      </c>
      <c r="AJ13" s="161">
        <v>0.05</v>
      </c>
      <c r="AK13" s="161">
        <f>ROUND(AG13*AJ13,0)</f>
        <v>97</v>
      </c>
      <c r="AL13" s="205"/>
      <c r="AM13" s="161"/>
      <c r="AN13" s="161"/>
      <c r="AO13" s="161"/>
      <c r="AP13" s="162"/>
      <c r="AQ13" s="211"/>
      <c r="AR13" s="211">
        <v>35.85</v>
      </c>
      <c r="AS13" s="204">
        <f t="shared" si="2"/>
        <v>918.91</v>
      </c>
      <c r="AT13" s="204">
        <f t="shared" si="3"/>
        <v>438.21</v>
      </c>
      <c r="AU13" s="204">
        <f t="shared" si="4"/>
        <v>97</v>
      </c>
      <c r="AV13" s="204">
        <f t="shared" si="5"/>
        <v>97</v>
      </c>
      <c r="AW13" s="204">
        <f t="shared" si="6"/>
        <v>1551.12</v>
      </c>
      <c r="AX13" s="223">
        <f t="shared" si="7"/>
        <v>1357.12</v>
      </c>
      <c r="AY13" s="223"/>
      <c r="AZ13" s="223">
        <f t="shared" si="8"/>
        <v>194</v>
      </c>
      <c r="BA13" s="223"/>
      <c r="BB13" s="224">
        <v>80</v>
      </c>
      <c r="BC13" s="223">
        <f t="shared" si="9"/>
        <v>1631.12</v>
      </c>
      <c r="BD13" s="230"/>
      <c r="BE13" s="246"/>
      <c r="BF13" s="246"/>
      <c r="BG13" s="246"/>
      <c r="BH13" s="246"/>
    </row>
    <row r="14" s="148" customFormat="1" ht="20" customHeight="1" spans="1:60">
      <c r="A14" s="161">
        <v>11</v>
      </c>
      <c r="B14" s="162" t="s">
        <v>39</v>
      </c>
      <c r="C14" s="163" t="s">
        <v>130</v>
      </c>
      <c r="D14" s="162" t="s">
        <v>41</v>
      </c>
      <c r="E14" s="162" t="s">
        <v>51</v>
      </c>
      <c r="F14" s="164" t="s">
        <v>131</v>
      </c>
      <c r="G14" s="379" t="s">
        <v>132</v>
      </c>
      <c r="H14" s="162">
        <v>202208</v>
      </c>
      <c r="I14" s="162">
        <v>202208</v>
      </c>
      <c r="J14" s="162" t="s">
        <v>114</v>
      </c>
      <c r="K14" s="162" t="s">
        <v>114</v>
      </c>
      <c r="L14" s="161">
        <v>3945</v>
      </c>
      <c r="M14" s="161">
        <v>0.16</v>
      </c>
      <c r="N14" s="161">
        <f t="shared" si="10"/>
        <v>631.2</v>
      </c>
      <c r="O14" s="161">
        <v>0.08</v>
      </c>
      <c r="P14" s="161">
        <f t="shared" si="11"/>
        <v>315.6</v>
      </c>
      <c r="Q14" s="161">
        <v>3586</v>
      </c>
      <c r="R14" s="161">
        <v>0.085</v>
      </c>
      <c r="S14" s="161">
        <f t="shared" si="12"/>
        <v>304.81</v>
      </c>
      <c r="T14" s="161">
        <v>0.02</v>
      </c>
      <c r="U14" s="161">
        <f t="shared" si="13"/>
        <v>71.72</v>
      </c>
      <c r="V14" s="161">
        <v>3945</v>
      </c>
      <c r="W14" s="161">
        <v>0.007</v>
      </c>
      <c r="X14" s="161">
        <f t="shared" si="0"/>
        <v>27.62</v>
      </c>
      <c r="Y14" s="161">
        <v>0.003</v>
      </c>
      <c r="Z14" s="161">
        <f t="shared" si="14"/>
        <v>11.84</v>
      </c>
      <c r="AA14" s="161"/>
      <c r="AB14" s="161"/>
      <c r="AC14" s="161"/>
      <c r="AD14" s="161">
        <v>3945</v>
      </c>
      <c r="AE14" s="161">
        <v>0.0096</v>
      </c>
      <c r="AF14" s="161">
        <f t="shared" si="1"/>
        <v>37.87</v>
      </c>
      <c r="AG14" s="161">
        <v>1000</v>
      </c>
      <c r="AH14" s="161">
        <v>0.1</v>
      </c>
      <c r="AI14" s="161">
        <f>ROUND(AG14*AH14,2)</f>
        <v>100</v>
      </c>
      <c r="AJ14" s="161">
        <v>0.1</v>
      </c>
      <c r="AK14" s="161">
        <f>ROUND(AG14*AJ14,2)</f>
        <v>100</v>
      </c>
      <c r="AL14" s="205"/>
      <c r="AM14" s="161"/>
      <c r="AN14" s="161"/>
      <c r="AO14" s="161"/>
      <c r="AP14" s="162"/>
      <c r="AQ14" s="211">
        <v>15</v>
      </c>
      <c r="AR14" s="211">
        <v>15</v>
      </c>
      <c r="AS14" s="204">
        <f t="shared" si="2"/>
        <v>1016.5</v>
      </c>
      <c r="AT14" s="204">
        <f t="shared" si="3"/>
        <v>414.16</v>
      </c>
      <c r="AU14" s="204">
        <f t="shared" si="4"/>
        <v>100</v>
      </c>
      <c r="AV14" s="204">
        <f t="shared" si="5"/>
        <v>100</v>
      </c>
      <c r="AW14" s="204">
        <f t="shared" si="6"/>
        <v>1630.66</v>
      </c>
      <c r="AX14" s="223">
        <f t="shared" si="7"/>
        <v>1430.66</v>
      </c>
      <c r="AY14" s="223"/>
      <c r="AZ14" s="223">
        <f t="shared" si="8"/>
        <v>200</v>
      </c>
      <c r="BA14" s="223"/>
      <c r="BB14" s="224">
        <v>80</v>
      </c>
      <c r="BC14" s="223">
        <f t="shared" si="9"/>
        <v>1710.66</v>
      </c>
      <c r="BD14" s="230"/>
      <c r="BE14" s="246"/>
      <c r="BF14" s="246"/>
      <c r="BG14" s="246"/>
      <c r="BH14" s="246"/>
    </row>
    <row r="15" s="148" customFormat="1" ht="20" customHeight="1" spans="1:60">
      <c r="A15" s="161">
        <v>12</v>
      </c>
      <c r="B15" s="162" t="s">
        <v>39</v>
      </c>
      <c r="C15" s="163" t="s">
        <v>133</v>
      </c>
      <c r="D15" s="162" t="s">
        <v>41</v>
      </c>
      <c r="E15" s="162" t="s">
        <v>51</v>
      </c>
      <c r="F15" s="164" t="s">
        <v>134</v>
      </c>
      <c r="G15" s="165" t="s">
        <v>135</v>
      </c>
      <c r="H15" s="162">
        <v>202101</v>
      </c>
      <c r="I15" s="162">
        <v>202207</v>
      </c>
      <c r="J15" s="162" t="s">
        <v>114</v>
      </c>
      <c r="K15" s="162" t="s">
        <v>114</v>
      </c>
      <c r="L15" s="195">
        <v>3957</v>
      </c>
      <c r="M15" s="196">
        <v>0.16</v>
      </c>
      <c r="N15" s="161">
        <f t="shared" si="10"/>
        <v>633.12</v>
      </c>
      <c r="O15" s="196">
        <v>0.08</v>
      </c>
      <c r="P15" s="161">
        <f t="shared" si="11"/>
        <v>316.56</v>
      </c>
      <c r="Q15" s="195">
        <v>3957</v>
      </c>
      <c r="R15" s="196">
        <v>0.085</v>
      </c>
      <c r="S15" s="161">
        <f t="shared" si="12"/>
        <v>336.35</v>
      </c>
      <c r="T15" s="196">
        <v>0.02</v>
      </c>
      <c r="U15" s="161">
        <f t="shared" si="13"/>
        <v>79.14</v>
      </c>
      <c r="V15" s="195">
        <v>3957</v>
      </c>
      <c r="W15" s="196">
        <v>0.005</v>
      </c>
      <c r="X15" s="161">
        <f t="shared" si="0"/>
        <v>19.79</v>
      </c>
      <c r="Y15" s="196">
        <v>0.005</v>
      </c>
      <c r="Z15" s="161">
        <f t="shared" si="14"/>
        <v>19.79</v>
      </c>
      <c r="AA15" s="195"/>
      <c r="AB15" s="196"/>
      <c r="AC15" s="195"/>
      <c r="AD15" s="195">
        <v>3957</v>
      </c>
      <c r="AE15" s="204">
        <v>0.006</v>
      </c>
      <c r="AF15" s="161">
        <f t="shared" si="1"/>
        <v>23.74</v>
      </c>
      <c r="AG15" s="195">
        <v>2100</v>
      </c>
      <c r="AH15" s="196">
        <v>0.05</v>
      </c>
      <c r="AI15" s="161">
        <f>ROUND(AG15*AH15,2)</f>
        <v>105</v>
      </c>
      <c r="AJ15" s="196">
        <v>0.05</v>
      </c>
      <c r="AK15" s="161">
        <f>ROUND(AG15*AJ15,2)</f>
        <v>105</v>
      </c>
      <c r="AL15" s="205"/>
      <c r="AM15" s="161"/>
      <c r="AN15" s="161"/>
      <c r="AO15" s="161"/>
      <c r="AP15" s="162"/>
      <c r="AQ15" s="214">
        <f>ROUND(L15*0.015,2)</f>
        <v>59.36</v>
      </c>
      <c r="AR15" s="214">
        <v>5</v>
      </c>
      <c r="AS15" s="204">
        <f t="shared" si="2"/>
        <v>1072.36</v>
      </c>
      <c r="AT15" s="204">
        <f t="shared" si="3"/>
        <v>420.49</v>
      </c>
      <c r="AU15" s="204">
        <f t="shared" si="4"/>
        <v>105</v>
      </c>
      <c r="AV15" s="204">
        <f t="shared" si="5"/>
        <v>105</v>
      </c>
      <c r="AW15" s="204">
        <f t="shared" si="6"/>
        <v>1702.85</v>
      </c>
      <c r="AX15" s="223">
        <f t="shared" si="7"/>
        <v>1492.85</v>
      </c>
      <c r="AY15" s="223"/>
      <c r="AZ15" s="223">
        <f t="shared" si="8"/>
        <v>210</v>
      </c>
      <c r="BA15" s="223"/>
      <c r="BB15" s="224">
        <v>80</v>
      </c>
      <c r="BC15" s="223">
        <f t="shared" si="9"/>
        <v>1782.85</v>
      </c>
      <c r="BD15" s="230"/>
      <c r="BE15" s="248" t="s">
        <v>136</v>
      </c>
      <c r="BF15" s="246"/>
      <c r="BG15" s="246"/>
      <c r="BH15" s="246"/>
    </row>
    <row r="16" s="150" customFormat="1" ht="20" customHeight="1" spans="1:60">
      <c r="A16" s="161">
        <v>13</v>
      </c>
      <c r="B16" s="171" t="s">
        <v>39</v>
      </c>
      <c r="C16" s="172" t="s">
        <v>137</v>
      </c>
      <c r="D16" s="171" t="s">
        <v>41</v>
      </c>
      <c r="E16" s="171" t="s">
        <v>51</v>
      </c>
      <c r="F16" s="173" t="s">
        <v>138</v>
      </c>
      <c r="G16" s="174" t="s">
        <v>139</v>
      </c>
      <c r="H16" s="171" t="s">
        <v>140</v>
      </c>
      <c r="I16" s="171" t="s">
        <v>140</v>
      </c>
      <c r="J16" s="162" t="s">
        <v>114</v>
      </c>
      <c r="K16" s="162" t="s">
        <v>114</v>
      </c>
      <c r="L16" s="197">
        <v>4400</v>
      </c>
      <c r="M16" s="197">
        <v>0.16</v>
      </c>
      <c r="N16" s="197">
        <f t="shared" si="10"/>
        <v>704</v>
      </c>
      <c r="O16" s="197">
        <v>0.08</v>
      </c>
      <c r="P16" s="197">
        <f t="shared" si="11"/>
        <v>352</v>
      </c>
      <c r="Q16" s="197">
        <v>4400</v>
      </c>
      <c r="R16" s="197">
        <v>0.1</v>
      </c>
      <c r="S16" s="197">
        <f t="shared" si="12"/>
        <v>440</v>
      </c>
      <c r="T16" s="197">
        <v>0.02</v>
      </c>
      <c r="U16" s="197">
        <f t="shared" si="13"/>
        <v>88</v>
      </c>
      <c r="V16" s="197">
        <v>4400</v>
      </c>
      <c r="W16" s="201">
        <v>0.005</v>
      </c>
      <c r="X16" s="197">
        <f t="shared" si="0"/>
        <v>22</v>
      </c>
      <c r="Y16" s="201">
        <v>0.005</v>
      </c>
      <c r="Z16" s="197">
        <f t="shared" si="14"/>
        <v>22</v>
      </c>
      <c r="AA16" s="197">
        <v>4400</v>
      </c>
      <c r="AB16" s="197">
        <v>0.005</v>
      </c>
      <c r="AC16" s="197">
        <f>ROUND(AA16*AB16,2)</f>
        <v>22</v>
      </c>
      <c r="AD16" s="197">
        <v>4400</v>
      </c>
      <c r="AE16" s="197">
        <v>0.0055</v>
      </c>
      <c r="AF16" s="197">
        <f t="shared" si="1"/>
        <v>24.2</v>
      </c>
      <c r="AG16" s="197">
        <v>2180</v>
      </c>
      <c r="AH16" s="197">
        <v>0.05</v>
      </c>
      <c r="AI16" s="197">
        <f>ROUND(AG16*AH16,2)</f>
        <v>109</v>
      </c>
      <c r="AJ16" s="197">
        <v>0.05</v>
      </c>
      <c r="AK16" s="197">
        <f>ROUND(AG16*AJ16,2)</f>
        <v>109</v>
      </c>
      <c r="AL16" s="207"/>
      <c r="AM16" s="197"/>
      <c r="AN16" s="197"/>
      <c r="AO16" s="197"/>
      <c r="AP16" s="171"/>
      <c r="AQ16" s="215"/>
      <c r="AR16" s="215">
        <v>22</v>
      </c>
      <c r="AS16" s="216">
        <f t="shared" si="2"/>
        <v>1212.2</v>
      </c>
      <c r="AT16" s="204">
        <f t="shared" si="3"/>
        <v>484</v>
      </c>
      <c r="AU16" s="216">
        <f t="shared" si="4"/>
        <v>109</v>
      </c>
      <c r="AV16" s="216">
        <f t="shared" si="5"/>
        <v>109</v>
      </c>
      <c r="AW16" s="216">
        <f t="shared" si="6"/>
        <v>1914.2</v>
      </c>
      <c r="AX16" s="231">
        <f t="shared" si="7"/>
        <v>1696.2</v>
      </c>
      <c r="AY16" s="231"/>
      <c r="AZ16" s="231">
        <f t="shared" si="8"/>
        <v>218</v>
      </c>
      <c r="BA16" s="231"/>
      <c r="BB16" s="232">
        <v>80</v>
      </c>
      <c r="BC16" s="231">
        <f t="shared" si="9"/>
        <v>1994.2</v>
      </c>
      <c r="BD16" s="233"/>
      <c r="BE16" s="249"/>
      <c r="BF16" s="249"/>
      <c r="BG16" s="249"/>
      <c r="BH16" s="249"/>
    </row>
    <row r="17" s="148" customFormat="1" ht="20" customHeight="1" spans="1:60">
      <c r="A17" s="161">
        <v>14</v>
      </c>
      <c r="B17" s="162" t="s">
        <v>39</v>
      </c>
      <c r="C17" s="163" t="s">
        <v>141</v>
      </c>
      <c r="D17" s="162" t="s">
        <v>41</v>
      </c>
      <c r="E17" s="162" t="s">
        <v>51</v>
      </c>
      <c r="F17" s="164" t="s">
        <v>142</v>
      </c>
      <c r="G17" s="379" t="s">
        <v>143</v>
      </c>
      <c r="H17" s="162" t="s">
        <v>117</v>
      </c>
      <c r="I17" s="162" t="s">
        <v>117</v>
      </c>
      <c r="J17" s="162" t="s">
        <v>114</v>
      </c>
      <c r="K17" s="162" t="s">
        <v>114</v>
      </c>
      <c r="L17" s="161">
        <v>3945</v>
      </c>
      <c r="M17" s="161">
        <v>0.16</v>
      </c>
      <c r="N17" s="161">
        <f t="shared" si="10"/>
        <v>631.2</v>
      </c>
      <c r="O17" s="161">
        <v>0.08</v>
      </c>
      <c r="P17" s="161">
        <f t="shared" si="11"/>
        <v>315.6</v>
      </c>
      <c r="Q17" s="161">
        <v>3586</v>
      </c>
      <c r="R17" s="161">
        <v>0.087</v>
      </c>
      <c r="S17" s="161">
        <f t="shared" si="12"/>
        <v>311.98</v>
      </c>
      <c r="T17" s="161">
        <v>0.02</v>
      </c>
      <c r="U17" s="161">
        <f t="shared" si="13"/>
        <v>71.72</v>
      </c>
      <c r="V17" s="161">
        <v>3945</v>
      </c>
      <c r="W17" s="196">
        <v>0.007</v>
      </c>
      <c r="X17" s="161">
        <f t="shared" si="0"/>
        <v>27.62</v>
      </c>
      <c r="Y17" s="196">
        <v>0.003</v>
      </c>
      <c r="Z17" s="161">
        <f t="shared" si="14"/>
        <v>11.84</v>
      </c>
      <c r="AA17" s="161"/>
      <c r="AB17" s="161"/>
      <c r="AC17" s="161"/>
      <c r="AD17" s="161">
        <v>3945</v>
      </c>
      <c r="AE17" s="161">
        <v>0.005</v>
      </c>
      <c r="AF17" s="161">
        <f t="shared" si="1"/>
        <v>19.73</v>
      </c>
      <c r="AG17" s="161">
        <v>3500</v>
      </c>
      <c r="AH17" s="161">
        <v>0.05</v>
      </c>
      <c r="AI17" s="161">
        <f>ROUND(AG17*AH17,2)</f>
        <v>175</v>
      </c>
      <c r="AJ17" s="161">
        <v>0.05</v>
      </c>
      <c r="AK17" s="161">
        <f>ROUND(AG17*AJ17,2)</f>
        <v>175</v>
      </c>
      <c r="AL17" s="205"/>
      <c r="AM17" s="161"/>
      <c r="AN17" s="161"/>
      <c r="AO17" s="161"/>
      <c r="AP17" s="162"/>
      <c r="AQ17" s="161"/>
      <c r="AR17" s="161">
        <v>15</v>
      </c>
      <c r="AS17" s="204">
        <f t="shared" si="2"/>
        <v>990.53</v>
      </c>
      <c r="AT17" s="204">
        <f t="shared" si="3"/>
        <v>414.16</v>
      </c>
      <c r="AU17" s="204">
        <f t="shared" si="4"/>
        <v>175</v>
      </c>
      <c r="AV17" s="204">
        <f t="shared" si="5"/>
        <v>175</v>
      </c>
      <c r="AW17" s="204">
        <f t="shared" si="6"/>
        <v>1754.69</v>
      </c>
      <c r="AX17" s="223">
        <f t="shared" si="7"/>
        <v>1404.69</v>
      </c>
      <c r="AY17" s="223"/>
      <c r="AZ17" s="223">
        <f t="shared" si="8"/>
        <v>350</v>
      </c>
      <c r="BA17" s="223"/>
      <c r="BB17" s="224">
        <v>80</v>
      </c>
      <c r="BC17" s="223">
        <f t="shared" si="9"/>
        <v>1834.69</v>
      </c>
      <c r="BD17" s="230"/>
      <c r="BE17" s="246"/>
      <c r="BF17" s="246"/>
      <c r="BG17" s="246"/>
      <c r="BH17" s="246"/>
    </row>
    <row r="18" s="148" customFormat="1" ht="20" customHeight="1" spans="1:60">
      <c r="A18" s="161">
        <v>15</v>
      </c>
      <c r="B18" s="162" t="s">
        <v>39</v>
      </c>
      <c r="C18" s="163" t="s">
        <v>144</v>
      </c>
      <c r="D18" s="162" t="s">
        <v>41</v>
      </c>
      <c r="E18" s="162" t="s">
        <v>51</v>
      </c>
      <c r="F18" s="164" t="s">
        <v>145</v>
      </c>
      <c r="G18" s="379" t="s">
        <v>146</v>
      </c>
      <c r="H18" s="162" t="s">
        <v>105</v>
      </c>
      <c r="I18" s="162" t="s">
        <v>105</v>
      </c>
      <c r="J18" s="162" t="s">
        <v>114</v>
      </c>
      <c r="K18" s="162" t="s">
        <v>114</v>
      </c>
      <c r="L18" s="161">
        <v>3832</v>
      </c>
      <c r="M18" s="161">
        <v>0.16</v>
      </c>
      <c r="N18" s="161">
        <f t="shared" si="10"/>
        <v>613.12</v>
      </c>
      <c r="O18" s="161">
        <v>0.08</v>
      </c>
      <c r="P18" s="161">
        <f t="shared" si="11"/>
        <v>306.56</v>
      </c>
      <c r="Q18" s="161">
        <v>3832</v>
      </c>
      <c r="R18" s="161">
        <v>0.064</v>
      </c>
      <c r="S18" s="161">
        <f t="shared" si="12"/>
        <v>245.25</v>
      </c>
      <c r="T18" s="161">
        <v>0.02</v>
      </c>
      <c r="U18" s="161">
        <f t="shared" si="13"/>
        <v>76.64</v>
      </c>
      <c r="V18" s="161">
        <v>3832</v>
      </c>
      <c r="W18" s="196">
        <v>0.005</v>
      </c>
      <c r="X18" s="161">
        <f t="shared" si="0"/>
        <v>19.16</v>
      </c>
      <c r="Y18" s="196">
        <v>0.005</v>
      </c>
      <c r="Z18" s="161">
        <f t="shared" si="14"/>
        <v>19.16</v>
      </c>
      <c r="AA18" s="161"/>
      <c r="AB18" s="161"/>
      <c r="AC18" s="161"/>
      <c r="AD18" s="161">
        <v>3832</v>
      </c>
      <c r="AE18" s="161">
        <v>0.002</v>
      </c>
      <c r="AF18" s="161">
        <f t="shared" si="1"/>
        <v>7.66</v>
      </c>
      <c r="AG18" s="161">
        <v>2060</v>
      </c>
      <c r="AH18" s="161">
        <v>0.05</v>
      </c>
      <c r="AI18" s="161">
        <f>ROUND(AG18*AH18,2)</f>
        <v>103</v>
      </c>
      <c r="AJ18" s="161">
        <v>0.05</v>
      </c>
      <c r="AK18" s="161">
        <f>ROUND(AG18*AJ18,2)</f>
        <v>103</v>
      </c>
      <c r="AL18" s="205"/>
      <c r="AM18" s="161"/>
      <c r="AN18" s="161"/>
      <c r="AO18" s="161"/>
      <c r="AP18" s="162"/>
      <c r="AQ18" s="161"/>
      <c r="AR18" s="161"/>
      <c r="AS18" s="204">
        <f t="shared" si="2"/>
        <v>885.19</v>
      </c>
      <c r="AT18" s="204">
        <f t="shared" si="3"/>
        <v>402.36</v>
      </c>
      <c r="AU18" s="204">
        <f t="shared" si="4"/>
        <v>103</v>
      </c>
      <c r="AV18" s="204">
        <f t="shared" si="5"/>
        <v>103</v>
      </c>
      <c r="AW18" s="204">
        <f t="shared" si="6"/>
        <v>1493.55</v>
      </c>
      <c r="AX18" s="223">
        <f t="shared" si="7"/>
        <v>1287.55</v>
      </c>
      <c r="AY18" s="223"/>
      <c r="AZ18" s="223">
        <f t="shared" si="8"/>
        <v>206</v>
      </c>
      <c r="BA18" s="223"/>
      <c r="BB18" s="224">
        <v>80</v>
      </c>
      <c r="BC18" s="223">
        <f t="shared" si="9"/>
        <v>1573.55</v>
      </c>
      <c r="BD18" s="230"/>
      <c r="BE18" s="246"/>
      <c r="BF18" s="246"/>
      <c r="BG18" s="246"/>
      <c r="BH18" s="246"/>
    </row>
    <row r="19" s="151" customFormat="1" ht="18" customHeight="1" spans="1:60">
      <c r="A19" s="175"/>
      <c r="B19" s="176"/>
      <c r="C19" s="177"/>
      <c r="D19" s="178"/>
      <c r="E19" s="179"/>
      <c r="F19" s="180"/>
      <c r="G19" s="181"/>
      <c r="H19" s="182"/>
      <c r="I19" s="178"/>
      <c r="J19" s="182"/>
      <c r="K19" s="182"/>
      <c r="L19" s="198"/>
      <c r="M19" s="198"/>
      <c r="N19" s="199"/>
      <c r="O19" s="198"/>
      <c r="P19" s="198"/>
      <c r="Q19" s="198"/>
      <c r="R19" s="198"/>
      <c r="S19" s="198"/>
      <c r="T19" s="198"/>
      <c r="U19" s="198"/>
      <c r="V19" s="202"/>
      <c r="W19" s="202"/>
      <c r="X19" s="203"/>
      <c r="Y19" s="202"/>
      <c r="Z19" s="198"/>
      <c r="AA19" s="198"/>
      <c r="AB19" s="198"/>
      <c r="AC19" s="198"/>
      <c r="AD19" s="198"/>
      <c r="AE19" s="198"/>
      <c r="AF19" s="199"/>
      <c r="AG19" s="198"/>
      <c r="AH19" s="198"/>
      <c r="AI19" s="198"/>
      <c r="AJ19" s="198"/>
      <c r="AK19" s="198"/>
      <c r="AL19" s="208"/>
      <c r="AM19" s="198"/>
      <c r="AN19" s="198"/>
      <c r="AO19" s="198"/>
      <c r="AP19" s="217"/>
      <c r="AQ19" s="218"/>
      <c r="AR19" s="198"/>
      <c r="AS19" s="219"/>
      <c r="AT19" s="219"/>
      <c r="AU19" s="219"/>
      <c r="AV19" s="219"/>
      <c r="AW19" s="219"/>
      <c r="AX19" s="234"/>
      <c r="AY19" s="235"/>
      <c r="AZ19" s="234"/>
      <c r="BA19" s="235"/>
      <c r="BB19" s="236"/>
      <c r="BC19" s="237"/>
      <c r="BD19" s="238"/>
      <c r="BE19" s="154"/>
      <c r="BF19" s="154"/>
      <c r="BG19" s="154"/>
      <c r="BH19" s="154"/>
    </row>
    <row r="20" ht="14.25" spans="1:56">
      <c r="A20" s="183" t="s">
        <v>66</v>
      </c>
      <c r="B20" s="184"/>
      <c r="C20" s="185"/>
      <c r="D20" s="185"/>
      <c r="E20" s="186"/>
      <c r="F20" s="185"/>
      <c r="G20" s="185"/>
      <c r="H20" s="185"/>
      <c r="I20" s="185"/>
      <c r="J20" s="185"/>
      <c r="K20" s="185"/>
      <c r="L20" s="186">
        <f t="shared" ref="L20:BC20" si="15">SUM(L3:L19)</f>
        <v>61714.2</v>
      </c>
      <c r="M20" s="186">
        <f t="shared" si="15"/>
        <v>2.39</v>
      </c>
      <c r="N20" s="186">
        <f t="shared" si="15"/>
        <v>9828.39</v>
      </c>
      <c r="O20" s="186">
        <f t="shared" si="15"/>
        <v>1.2</v>
      </c>
      <c r="P20" s="186">
        <f t="shared" si="15"/>
        <v>4937.14</v>
      </c>
      <c r="Q20" s="186">
        <f t="shared" si="15"/>
        <v>62209.9</v>
      </c>
      <c r="R20" s="186">
        <f t="shared" si="15"/>
        <v>1.1845</v>
      </c>
      <c r="S20" s="186">
        <f t="shared" si="15"/>
        <v>4972.48</v>
      </c>
      <c r="T20" s="186">
        <f t="shared" si="15"/>
        <v>0.3</v>
      </c>
      <c r="U20" s="186">
        <f t="shared" si="15"/>
        <v>1244.2</v>
      </c>
      <c r="V20" s="186">
        <f t="shared" si="15"/>
        <v>61726.2</v>
      </c>
      <c r="W20" s="186">
        <f t="shared" si="15"/>
        <v>0.0872</v>
      </c>
      <c r="X20" s="186">
        <f t="shared" si="15"/>
        <v>334.59</v>
      </c>
      <c r="Y20" s="186">
        <f t="shared" si="15"/>
        <v>0.066</v>
      </c>
      <c r="Z20" s="186">
        <f t="shared" si="15"/>
        <v>267.06</v>
      </c>
      <c r="AA20" s="186">
        <f t="shared" si="15"/>
        <v>8230.9</v>
      </c>
      <c r="AB20" s="186">
        <f t="shared" si="15"/>
        <v>0.012</v>
      </c>
      <c r="AC20" s="186">
        <f t="shared" si="15"/>
        <v>48.82</v>
      </c>
      <c r="AD20" s="186">
        <f t="shared" si="15"/>
        <v>61853.9</v>
      </c>
      <c r="AE20" s="186">
        <f t="shared" si="15"/>
        <v>0.06546</v>
      </c>
      <c r="AF20" s="186">
        <f t="shared" si="15"/>
        <v>255.88</v>
      </c>
      <c r="AG20" s="186">
        <f t="shared" si="15"/>
        <v>37318</v>
      </c>
      <c r="AH20" s="186">
        <f t="shared" si="15"/>
        <v>0.82</v>
      </c>
      <c r="AI20" s="186">
        <f t="shared" si="15"/>
        <v>1969.3</v>
      </c>
      <c r="AJ20" s="186">
        <f t="shared" si="15"/>
        <v>0.82</v>
      </c>
      <c r="AK20" s="186">
        <f t="shared" si="15"/>
        <v>1969.3</v>
      </c>
      <c r="AL20" s="186">
        <f t="shared" si="15"/>
        <v>0</v>
      </c>
      <c r="AM20" s="186">
        <f t="shared" si="15"/>
        <v>0</v>
      </c>
      <c r="AN20" s="186">
        <f t="shared" si="15"/>
        <v>97.8</v>
      </c>
      <c r="AO20" s="186">
        <f t="shared" si="15"/>
        <v>0</v>
      </c>
      <c r="AP20" s="186">
        <f t="shared" si="15"/>
        <v>0</v>
      </c>
      <c r="AQ20" s="186">
        <f t="shared" si="15"/>
        <v>160.62</v>
      </c>
      <c r="AR20" s="186">
        <f t="shared" si="15"/>
        <v>162.7</v>
      </c>
      <c r="AS20" s="186">
        <f t="shared" si="15"/>
        <v>15698.58</v>
      </c>
      <c r="AT20" s="186">
        <f t="shared" si="15"/>
        <v>6611.1</v>
      </c>
      <c r="AU20" s="186">
        <f t="shared" si="15"/>
        <v>1969.3</v>
      </c>
      <c r="AV20" s="186">
        <f t="shared" si="15"/>
        <v>1969.3</v>
      </c>
      <c r="AW20" s="186">
        <f t="shared" si="15"/>
        <v>26248.28</v>
      </c>
      <c r="AX20" s="186">
        <f t="shared" si="15"/>
        <v>22309.68</v>
      </c>
      <c r="AY20" s="186">
        <f t="shared" si="15"/>
        <v>0</v>
      </c>
      <c r="AZ20" s="186">
        <f t="shared" si="15"/>
        <v>3938.6</v>
      </c>
      <c r="BA20" s="186">
        <f t="shared" si="15"/>
        <v>0</v>
      </c>
      <c r="BB20" s="186">
        <f t="shared" si="15"/>
        <v>1200</v>
      </c>
      <c r="BC20" s="186">
        <f t="shared" si="15"/>
        <v>27448.28</v>
      </c>
      <c r="BD20" s="239"/>
    </row>
    <row r="21" ht="15" spans="1:56">
      <c r="A21" s="187" t="s">
        <v>23</v>
      </c>
      <c r="B21" s="188"/>
      <c r="C21" s="189"/>
      <c r="D21" s="189"/>
      <c r="E21" s="190"/>
      <c r="F21" s="190"/>
      <c r="G21" s="190"/>
      <c r="H21" s="190"/>
      <c r="I21" s="190"/>
      <c r="J21" s="190"/>
      <c r="K21" s="190"/>
      <c r="L21" s="200">
        <f t="shared" ref="L21:AX21" si="16">SUM(L20:L20)</f>
        <v>61714.2</v>
      </c>
      <c r="M21" s="200">
        <f t="shared" si="16"/>
        <v>2.39</v>
      </c>
      <c r="N21" s="200">
        <f t="shared" si="16"/>
        <v>9828.39</v>
      </c>
      <c r="O21" s="200">
        <f t="shared" si="16"/>
        <v>1.2</v>
      </c>
      <c r="P21" s="200">
        <f t="shared" si="16"/>
        <v>4937.14</v>
      </c>
      <c r="Q21" s="200">
        <f t="shared" si="16"/>
        <v>62209.9</v>
      </c>
      <c r="R21" s="200">
        <f t="shared" si="16"/>
        <v>1.1845</v>
      </c>
      <c r="S21" s="200">
        <f t="shared" si="16"/>
        <v>4972.48</v>
      </c>
      <c r="T21" s="200">
        <f t="shared" si="16"/>
        <v>0.3</v>
      </c>
      <c r="U21" s="200">
        <f t="shared" si="16"/>
        <v>1244.2</v>
      </c>
      <c r="V21" s="200">
        <f t="shared" si="16"/>
        <v>61726.2</v>
      </c>
      <c r="W21" s="200">
        <f t="shared" si="16"/>
        <v>0.0872</v>
      </c>
      <c r="X21" s="200">
        <f t="shared" si="16"/>
        <v>334.59</v>
      </c>
      <c r="Y21" s="200">
        <f t="shared" si="16"/>
        <v>0.066</v>
      </c>
      <c r="Z21" s="200">
        <f t="shared" si="16"/>
        <v>267.06</v>
      </c>
      <c r="AA21" s="200">
        <f t="shared" si="16"/>
        <v>8230.9</v>
      </c>
      <c r="AB21" s="200">
        <f t="shared" si="16"/>
        <v>0.012</v>
      </c>
      <c r="AC21" s="200">
        <f t="shared" si="16"/>
        <v>48.82</v>
      </c>
      <c r="AD21" s="200">
        <f t="shared" si="16"/>
        <v>61853.9</v>
      </c>
      <c r="AE21" s="200">
        <f t="shared" si="16"/>
        <v>0.06546</v>
      </c>
      <c r="AF21" s="200">
        <f t="shared" si="16"/>
        <v>255.88</v>
      </c>
      <c r="AG21" s="200">
        <f t="shared" si="16"/>
        <v>37318</v>
      </c>
      <c r="AH21" s="200">
        <f t="shared" si="16"/>
        <v>0.82</v>
      </c>
      <c r="AI21" s="200">
        <f t="shared" si="16"/>
        <v>1969.3</v>
      </c>
      <c r="AJ21" s="200">
        <f t="shared" si="16"/>
        <v>0.82</v>
      </c>
      <c r="AK21" s="200">
        <f t="shared" si="16"/>
        <v>1969.3</v>
      </c>
      <c r="AL21" s="200">
        <f t="shared" si="16"/>
        <v>0</v>
      </c>
      <c r="AM21" s="200">
        <f t="shared" si="16"/>
        <v>0</v>
      </c>
      <c r="AN21" s="200">
        <f t="shared" si="16"/>
        <v>97.8</v>
      </c>
      <c r="AO21" s="200">
        <f t="shared" si="16"/>
        <v>0</v>
      </c>
      <c r="AP21" s="200">
        <f t="shared" si="16"/>
        <v>0</v>
      </c>
      <c r="AQ21" s="200">
        <f t="shared" si="16"/>
        <v>160.62</v>
      </c>
      <c r="AR21" s="200">
        <f t="shared" si="16"/>
        <v>162.7</v>
      </c>
      <c r="AS21" s="220">
        <f t="shared" si="16"/>
        <v>15698.58</v>
      </c>
      <c r="AT21" s="220">
        <f t="shared" si="16"/>
        <v>6611.1</v>
      </c>
      <c r="AU21" s="220">
        <f t="shared" si="16"/>
        <v>1969.3</v>
      </c>
      <c r="AV21" s="220">
        <f t="shared" si="16"/>
        <v>1969.3</v>
      </c>
      <c r="AW21" s="220">
        <f t="shared" si="16"/>
        <v>26248.28</v>
      </c>
      <c r="AX21" s="240">
        <f t="shared" si="16"/>
        <v>22309.68</v>
      </c>
      <c r="AY21" s="240"/>
      <c r="AZ21" s="240">
        <f t="shared" ref="AZ21:BC21" si="17">SUM(AZ20:AZ20)</f>
        <v>3938.6</v>
      </c>
      <c r="BA21" s="240"/>
      <c r="BB21" s="200">
        <f t="shared" si="17"/>
        <v>1200</v>
      </c>
      <c r="BC21" s="200">
        <f t="shared" si="17"/>
        <v>27448.28</v>
      </c>
      <c r="BD21" s="241"/>
    </row>
    <row r="22" s="152" customFormat="1" spans="1:56">
      <c r="A22" s="191"/>
      <c r="B22" s="191"/>
      <c r="C22" s="191"/>
      <c r="D22" s="191"/>
      <c r="E22" s="191"/>
      <c r="F22" s="192"/>
      <c r="G22" s="165"/>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221"/>
      <c r="AT22" s="221"/>
      <c r="AU22" s="221"/>
      <c r="AV22" s="221"/>
      <c r="AW22" s="221"/>
      <c r="AX22" s="191"/>
      <c r="AY22" s="191"/>
      <c r="AZ22" s="191"/>
      <c r="BA22" s="191"/>
      <c r="BB22" s="191"/>
      <c r="BC22" s="191">
        <f>'（居民）工资表-11月'!E18</f>
        <v>71361.57</v>
      </c>
      <c r="BD22" s="242"/>
    </row>
    <row r="23" s="153" customFormat="1" spans="1:56">
      <c r="A23" s="154"/>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91"/>
      <c r="AA23" s="191"/>
      <c r="AB23" s="191"/>
      <c r="AC23" s="191"/>
      <c r="AD23" s="191"/>
      <c r="AE23" s="191"/>
      <c r="AF23" s="191"/>
      <c r="AG23" s="191"/>
      <c r="AH23" s="191"/>
      <c r="AI23" s="191"/>
      <c r="AJ23" s="154"/>
      <c r="AK23" s="154"/>
      <c r="AL23" s="154"/>
      <c r="AM23" s="154"/>
      <c r="AN23" s="154"/>
      <c r="AO23" s="154"/>
      <c r="AP23" s="154"/>
      <c r="AQ23" s="154"/>
      <c r="AR23" s="154"/>
      <c r="AS23" s="155"/>
      <c r="AT23" s="155"/>
      <c r="AU23" s="155"/>
      <c r="AV23" s="155"/>
      <c r="AW23" s="155"/>
      <c r="AX23" s="154"/>
      <c r="AY23" s="154"/>
      <c r="AZ23" s="154"/>
      <c r="BA23" s="154"/>
      <c r="BB23" s="154"/>
      <c r="BC23" s="154"/>
      <c r="BD23" s="156"/>
    </row>
    <row r="25" spans="50:55">
      <c r="AX25" s="243"/>
      <c r="AY25" s="243"/>
      <c r="BC25" s="244"/>
    </row>
  </sheetData>
  <mergeCells count="60">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6:AY16"/>
    <mergeCell ref="AZ16:BA16"/>
    <mergeCell ref="AX17:AY17"/>
    <mergeCell ref="AZ17:BA17"/>
    <mergeCell ref="AX18:AY18"/>
    <mergeCell ref="AZ18:BA18"/>
    <mergeCell ref="AX21:AY21"/>
    <mergeCell ref="AZ21:BA21"/>
    <mergeCell ref="AX25:AY25"/>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50"/>
    <pageSetUpPr fitToPage="1"/>
  </sheetPr>
  <dimension ref="A1:AV36"/>
  <sheetViews>
    <sheetView workbookViewId="0">
      <pane xSplit="6" ySplit="3" topLeftCell="G4" activePane="bottomRight" state="frozen"/>
      <selection/>
      <selection pane="topRight"/>
      <selection pane="bottomLeft"/>
      <selection pane="bottomRight" activeCell="B4" sqref="B4:P1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4.091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194</v>
      </c>
      <c r="C4" s="37" t="s">
        <v>61</v>
      </c>
      <c r="D4" s="37" t="s">
        <v>195</v>
      </c>
      <c r="E4" s="37" t="s">
        <v>62</v>
      </c>
      <c r="F4" s="38" t="s">
        <v>196</v>
      </c>
      <c r="G4" s="39">
        <v>13944441728</v>
      </c>
      <c r="H4" s="40"/>
      <c r="I4" s="40"/>
      <c r="J4" s="70"/>
      <c r="K4" s="40"/>
      <c r="L4" s="71">
        <f>VLOOKUP(C4,[1]Sheet1!$B$2:$E$16,4,0)</f>
        <v>8000</v>
      </c>
      <c r="M4" s="72">
        <f>VLOOKUP(C4,[1]Sheet1!$B$2:$F$16,5,0)</f>
        <v>296.26</v>
      </c>
      <c r="N4" s="72">
        <f>VLOOKUP(C4,[1]Sheet1!$B$2:$H$16,7,0)</f>
        <v>76.62</v>
      </c>
      <c r="O4" s="72">
        <f>VLOOKUP(C4,[1]Sheet1!$B$2:$G$16,6,0)</f>
        <v>11.11</v>
      </c>
      <c r="P4" s="72">
        <f>VLOOKUP(C4,[1]Sheet1!$B$2:$J$16,9,0)</f>
        <v>177</v>
      </c>
      <c r="Q4" s="91">
        <f t="shared" ref="Q4:Q7" si="0">ROUND(SUM(M4:P4),2)</f>
        <v>560.99</v>
      </c>
      <c r="R4" s="73">
        <v>0</v>
      </c>
      <c r="S4" s="92">
        <f>L4+IFERROR(VLOOKUP($E:$E,'（居民）工资表-4月'!$E:$S,15,0),0)</f>
        <v>38000</v>
      </c>
      <c r="T4" s="93">
        <f>5000+IFERROR(VLOOKUP($E:$E,'（居民）工资表-4月'!$E:$T,16,0),0)</f>
        <v>25000</v>
      </c>
      <c r="U4" s="93">
        <f>Q4+IFERROR(VLOOKUP($E:$E,'（居民）工资表-4月'!$E:$U,17,0),0)</f>
        <v>2920.2</v>
      </c>
      <c r="V4" s="73"/>
      <c r="W4" s="73"/>
      <c r="X4" s="73"/>
      <c r="Y4" s="73"/>
      <c r="Z4" s="73"/>
      <c r="AA4" s="73"/>
      <c r="AB4" s="92">
        <f t="shared" ref="AB4:AB7" si="1">ROUND(SUM(V4:AA4),2)</f>
        <v>0</v>
      </c>
      <c r="AC4" s="92">
        <f>R4+IFERROR(VLOOKUP($E:$E,'（居民）工资表-4月'!$E:$AC,25,0),0)</f>
        <v>0</v>
      </c>
      <c r="AD4" s="97">
        <f t="shared" ref="AD4:AD7" si="2">ROUND(S4-T4-U4-AB4-AC4,2)</f>
        <v>10079.8</v>
      </c>
      <c r="AE4" s="98">
        <f>ROUND(MAX((AD4)*{0.03;0.1;0.2;0.25;0.3;0.35;0.45}-{0;2520;16920;31920;52920;85920;181920},0),2)</f>
        <v>302.39</v>
      </c>
      <c r="AF4" s="99">
        <f>IFERROR(VLOOKUP(E:E,'（居民）工资表-4月'!E:AF,28,0)+VLOOKUP(E:E,'（居民）工资表-4月'!E:AG,29,0),0)</f>
        <v>229.22</v>
      </c>
      <c r="AG4" s="99">
        <f t="shared" ref="AG4:AG6" si="3">IF((AE4-AF4)&lt;0,0,AE4-AF4)</f>
        <v>73.17</v>
      </c>
      <c r="AH4" s="109">
        <f t="shared" ref="AH4:AH6" si="4">ROUND(IF((L4-Q4-AG4)&lt;0,0,(L4-Q4-AG4)),2)</f>
        <v>7365.84</v>
      </c>
      <c r="AI4" s="110"/>
      <c r="AJ4" s="109">
        <f t="shared" ref="AJ4:AJ7" si="5">AH4+AI4</f>
        <v>7365.84</v>
      </c>
      <c r="AK4" s="111"/>
      <c r="AL4" s="109">
        <f t="shared" ref="AL4:AL7" si="6">AJ4+AG4+AK4</f>
        <v>7439.01</v>
      </c>
      <c r="AM4" s="111"/>
      <c r="AN4" s="111"/>
      <c r="AO4" s="111"/>
      <c r="AP4" s="111"/>
      <c r="AQ4" s="111"/>
      <c r="AR4" s="118"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IF(SUMPRODUCT(N(E$1:E$7=E4))&gt;1,"重复","不")</f>
        <v>不</v>
      </c>
      <c r="AT4" s="118" t="str">
        <f>IF(SUMPRODUCT(N(AO$1:AO$7=AO4))&gt;1,"重复","不")</f>
        <v>重复</v>
      </c>
      <c r="AU4" s="12" t="s">
        <v>197</v>
      </c>
      <c r="AV4" s="12" t="s">
        <v>51</v>
      </c>
    </row>
    <row r="5" s="12" customFormat="1" ht="18" customHeight="1" spans="1:48">
      <c r="A5" s="36">
        <v>2</v>
      </c>
      <c r="B5" s="37" t="s">
        <v>194</v>
      </c>
      <c r="C5" s="37" t="s">
        <v>101</v>
      </c>
      <c r="D5" s="37" t="s">
        <v>195</v>
      </c>
      <c r="E5" s="381" t="s">
        <v>102</v>
      </c>
      <c r="F5" s="38" t="s">
        <v>198</v>
      </c>
      <c r="G5" s="39">
        <v>15360550807</v>
      </c>
      <c r="H5" s="40"/>
      <c r="I5" s="40"/>
      <c r="J5" s="70"/>
      <c r="K5" s="40"/>
      <c r="L5" s="71">
        <f>VLOOKUP(C5,[1]Sheet1!$B$2:$E$16,4,0)</f>
        <v>5700</v>
      </c>
      <c r="M5" s="72">
        <f>VLOOKUP(C5,[1]Sheet1!$B$2:$F$16,5,0)</f>
        <v>367.04</v>
      </c>
      <c r="N5" s="72">
        <f>VLOOKUP(C5,[1]Sheet1!$B$2:$H$16,7,0)</f>
        <v>113.48</v>
      </c>
      <c r="O5" s="72">
        <f>VLOOKUP(C5,[1]Sheet1!$B$2:$G$16,6,0)</f>
        <v>4.6</v>
      </c>
      <c r="P5" s="72">
        <f>VLOOKUP(C5,[1]Sheet1!$B$2:$J$16,9,0)</f>
        <v>115</v>
      </c>
      <c r="Q5" s="91">
        <f t="shared" si="0"/>
        <v>600.12</v>
      </c>
      <c r="R5" s="73">
        <v>0</v>
      </c>
      <c r="S5" s="92">
        <f>L5+IFERROR(VLOOKUP($E:$E,'（居民）工资表-4月'!$E:$S,15,0),0)</f>
        <v>28500</v>
      </c>
      <c r="T5" s="93">
        <f>5000+IFERROR(VLOOKUP($E:$E,'（居民）工资表-4月'!$E:$T,16,0),0)</f>
        <v>25000</v>
      </c>
      <c r="U5" s="93">
        <f>Q5+IFERROR(VLOOKUP($E:$E,'（居民）工资表-4月'!$E:$U,17,0),0)</f>
        <v>3000.6</v>
      </c>
      <c r="V5" s="73"/>
      <c r="W5" s="73"/>
      <c r="X5" s="73"/>
      <c r="Y5" s="73"/>
      <c r="Z5" s="73"/>
      <c r="AA5" s="73"/>
      <c r="AB5" s="92">
        <f t="shared" si="1"/>
        <v>0</v>
      </c>
      <c r="AC5" s="92">
        <f>R5+IFERROR(VLOOKUP($E:$E,'（居民）工资表-4月'!$E:$AC,25,0),0)</f>
        <v>0</v>
      </c>
      <c r="AD5" s="97">
        <f t="shared" si="2"/>
        <v>499.4</v>
      </c>
      <c r="AE5" s="98">
        <f>ROUND(MAX((AD5)*{0.03;0.1;0.2;0.25;0.3;0.35;0.45}-{0;2520;16920;31920;52920;85920;181920},0),2)</f>
        <v>14.98</v>
      </c>
      <c r="AF5" s="99">
        <f>IFERROR(VLOOKUP(E:E,'（居民）工资表-4月'!E:AF,28,0)+VLOOKUP(E:E,'（居民）工资表-4月'!E:AG,29,0),0)</f>
        <v>11.99</v>
      </c>
      <c r="AG5" s="99">
        <f t="shared" si="3"/>
        <v>2.99</v>
      </c>
      <c r="AH5" s="109">
        <f t="shared" si="4"/>
        <v>5096.89</v>
      </c>
      <c r="AI5" s="110"/>
      <c r="AJ5" s="109">
        <f t="shared" si="5"/>
        <v>5096.89</v>
      </c>
      <c r="AK5" s="111"/>
      <c r="AL5" s="109">
        <f t="shared" si="6"/>
        <v>5099.88</v>
      </c>
      <c r="AM5" s="111"/>
      <c r="AN5" s="111"/>
      <c r="AO5" s="111"/>
      <c r="AP5" s="111"/>
      <c r="AQ5" s="111"/>
      <c r="AR5" s="118" t="str">
        <f t="shared" si="7"/>
        <v>正确</v>
      </c>
      <c r="AS5" s="118" t="str">
        <f>IF(SUMPRODUCT(N(E$1:E$7=E5))&gt;1,"重复","不")</f>
        <v>不</v>
      </c>
      <c r="AT5" s="118" t="str">
        <f>IF(SUMPRODUCT(N(AO$1:AO$7=AO5))&gt;1,"重复","不")</f>
        <v>重复</v>
      </c>
      <c r="AU5" s="12" t="s">
        <v>50</v>
      </c>
      <c r="AV5" s="12" t="s">
        <v>51</v>
      </c>
    </row>
    <row r="6" s="12" customFormat="1" ht="18" customHeight="1" spans="1:48">
      <c r="A6" s="36">
        <v>3</v>
      </c>
      <c r="B6" s="37" t="s">
        <v>194</v>
      </c>
      <c r="C6" s="37" t="s">
        <v>108</v>
      </c>
      <c r="D6" s="37" t="s">
        <v>195</v>
      </c>
      <c r="E6" s="381" t="s">
        <v>109</v>
      </c>
      <c r="F6" s="38" t="s">
        <v>196</v>
      </c>
      <c r="G6" s="39" t="s">
        <v>199</v>
      </c>
      <c r="H6" s="40"/>
      <c r="I6" s="40"/>
      <c r="J6" s="70"/>
      <c r="K6" s="40"/>
      <c r="L6" s="71">
        <f>VLOOKUP(C6,[1]Sheet1!$B$2:$E$16,4,0)</f>
        <v>30060</v>
      </c>
      <c r="M6" s="72">
        <f>VLOOKUP(C6,[1]Sheet1!$B$2:$F$16,5,0)</f>
        <v>521.6</v>
      </c>
      <c r="N6" s="72">
        <f>VLOOKUP(C6,[1]Sheet1!$B$2:$H$16,7,0)</f>
        <v>130.4</v>
      </c>
      <c r="O6" s="72">
        <f>VLOOKUP(C6,[1]Sheet1!$B$2:$G$16,6,0)</f>
        <v>32.6</v>
      </c>
      <c r="P6" s="72">
        <f>VLOOKUP(C6,[1]Sheet1!$B$2:$J$16,9,0)</f>
        <v>181.3</v>
      </c>
      <c r="Q6" s="91">
        <f t="shared" si="0"/>
        <v>865.9</v>
      </c>
      <c r="R6" s="73">
        <v>0</v>
      </c>
      <c r="S6" s="92">
        <f>L6+IFERROR(VLOOKUP($E:$E,'（居民）工资表-4月'!$E:$S,15,0),0)</f>
        <v>150300</v>
      </c>
      <c r="T6" s="93">
        <f>5000+IFERROR(VLOOKUP($E:$E,'（居民）工资表-4月'!$E:$T,16,0),0)</f>
        <v>25000</v>
      </c>
      <c r="U6" s="93">
        <f>Q6+IFERROR(VLOOKUP($E:$E,'（居民）工资表-4月'!$E:$U,17,0),0)</f>
        <v>4329.5</v>
      </c>
      <c r="V6" s="73"/>
      <c r="W6" s="73"/>
      <c r="X6" s="73"/>
      <c r="Y6" s="73"/>
      <c r="Z6" s="73"/>
      <c r="AA6" s="73"/>
      <c r="AB6" s="92">
        <f t="shared" si="1"/>
        <v>0</v>
      </c>
      <c r="AC6" s="92">
        <f>R6+IFERROR(VLOOKUP($E:$E,'（居民）工资表-4月'!$E:$AC,25,0),0)</f>
        <v>0</v>
      </c>
      <c r="AD6" s="97">
        <f t="shared" si="2"/>
        <v>120970.5</v>
      </c>
      <c r="AE6" s="98">
        <f>ROUND(MAX((AD6)*{0.03;0.1;0.2;0.25;0.3;0.35;0.45}-{0;2520;16920;31920;52920;85920;181920},0),2)</f>
        <v>9577.05</v>
      </c>
      <c r="AF6" s="99">
        <f>IFERROR(VLOOKUP(E:E,'（居民）工资表-4月'!E:AF,28,0)+VLOOKUP(E:E,'（居民）工资表-4月'!E:AG,29,0),0)</f>
        <v>7157.64</v>
      </c>
      <c r="AG6" s="99">
        <f t="shared" si="3"/>
        <v>2419.41</v>
      </c>
      <c r="AH6" s="109">
        <f t="shared" si="4"/>
        <v>26774.69</v>
      </c>
      <c r="AI6" s="110"/>
      <c r="AJ6" s="109">
        <f t="shared" si="5"/>
        <v>26774.69</v>
      </c>
      <c r="AK6" s="111"/>
      <c r="AL6" s="109">
        <f t="shared" si="6"/>
        <v>29194.1</v>
      </c>
      <c r="AM6" s="111"/>
      <c r="AN6" s="111"/>
      <c r="AO6" s="111"/>
      <c r="AP6" s="111"/>
      <c r="AQ6" s="111"/>
      <c r="AR6" s="118" t="str">
        <f t="shared" si="7"/>
        <v>正确</v>
      </c>
      <c r="AS6" s="118" t="str">
        <f>IF(SUMPRODUCT(N(E$1:E$7=E6))&gt;1,"重复","不")</f>
        <v>不</v>
      </c>
      <c r="AT6" s="118" t="str">
        <f>IF(SUMPRODUCT(N(AO$1:AO$7=AO6))&gt;1,"重复","不")</f>
        <v>重复</v>
      </c>
      <c r="AU6" s="12" t="s">
        <v>107</v>
      </c>
      <c r="AV6" s="12" t="s">
        <v>200</v>
      </c>
    </row>
    <row r="7" s="12" customFormat="1" ht="18" customHeight="1" spans="1:48">
      <c r="A7" s="36">
        <v>4</v>
      </c>
      <c r="B7" s="37" t="s">
        <v>194</v>
      </c>
      <c r="C7" s="37" t="s">
        <v>112</v>
      </c>
      <c r="D7" s="37" t="s">
        <v>195</v>
      </c>
      <c r="E7" s="381" t="s">
        <v>113</v>
      </c>
      <c r="F7" s="38" t="s">
        <v>196</v>
      </c>
      <c r="G7" s="39" t="s">
        <v>201</v>
      </c>
      <c r="H7" s="40"/>
      <c r="I7" s="40"/>
      <c r="J7" s="70"/>
      <c r="K7" s="40"/>
      <c r="L7" s="71">
        <f>VLOOKUP(C7,[1]Sheet1!$B$2:$E$16,4,0)</f>
        <v>7000</v>
      </c>
      <c r="M7" s="72">
        <f>VLOOKUP(C7,[1]Sheet1!$B$2:$F$16,5,0)</f>
        <v>306.56</v>
      </c>
      <c r="N7" s="72">
        <f>VLOOKUP(C7,[1]Sheet1!$B$2:$H$16,7,0)</f>
        <v>84.64</v>
      </c>
      <c r="O7" s="72">
        <f>VLOOKUP(C7,[1]Sheet1!$B$2:$G$16,6,0)</f>
        <v>19.16</v>
      </c>
      <c r="P7" s="72">
        <f>VLOOKUP(C7,[1]Sheet1!$B$2:$J$16,9,0)</f>
        <v>162</v>
      </c>
      <c r="Q7" s="91">
        <f t="shared" si="0"/>
        <v>572.36</v>
      </c>
      <c r="R7" s="73">
        <v>0</v>
      </c>
      <c r="S7" s="92">
        <f>L7+IFERROR(VLOOKUP($E:$E,'（居民）工资表-4月'!$E:$S,15,0),0)</f>
        <v>33000</v>
      </c>
      <c r="T7" s="93">
        <f>5000+IFERROR(VLOOKUP($E:$E,'（居民）工资表-4月'!$E:$T,16,0),0)</f>
        <v>25000</v>
      </c>
      <c r="U7" s="93">
        <f>Q7+IFERROR(VLOOKUP($E:$E,'（居民）工资表-4月'!$E:$U,17,0),0)</f>
        <v>2767.06</v>
      </c>
      <c r="V7" s="73"/>
      <c r="W7" s="73"/>
      <c r="X7" s="73"/>
      <c r="Y7" s="73"/>
      <c r="Z7" s="73"/>
      <c r="AA7" s="73"/>
      <c r="AB7" s="92">
        <f t="shared" si="1"/>
        <v>0</v>
      </c>
      <c r="AC7" s="92">
        <f>R7+IFERROR(VLOOKUP($E:$E,'（居民）工资表-4月'!$E:$AC,25,0),0)</f>
        <v>0</v>
      </c>
      <c r="AD7" s="97">
        <f t="shared" si="2"/>
        <v>5232.94</v>
      </c>
      <c r="AE7" s="98">
        <f>ROUND(MAX((AD7)*{0.03;0.1;0.2;0.25;0.3;0.35;0.45}-{0;2520;16920;31920;52920;85920;181920},0),2)</f>
        <v>156.99</v>
      </c>
      <c r="AF7" s="99">
        <f>IFERROR(VLOOKUP(E:E,'（居民）工资表-4月'!E:AF,28,0)+VLOOKUP(E:E,'（居民）工资表-4月'!E:AG,29,0),0)</f>
        <v>114.16</v>
      </c>
      <c r="AG7" s="99">
        <f t="shared" ref="AG7:AG19" si="8">IF((AE7-AF7)&lt;0,0,AE7-AF7)</f>
        <v>42.83</v>
      </c>
      <c r="AH7" s="109">
        <f t="shared" ref="AH7:AH19" si="9">ROUND(IF((L7-Q7-AG7)&lt;0,0,(L7-Q7-AG7)),2)</f>
        <v>6384.81</v>
      </c>
      <c r="AI7" s="110"/>
      <c r="AJ7" s="109">
        <f t="shared" si="5"/>
        <v>6384.81</v>
      </c>
      <c r="AK7" s="111"/>
      <c r="AL7" s="109">
        <f t="shared" si="6"/>
        <v>6427.64</v>
      </c>
      <c r="AM7" s="111"/>
      <c r="AN7" s="111"/>
      <c r="AO7" s="111"/>
      <c r="AP7" s="111"/>
      <c r="AQ7" s="111"/>
      <c r="AR7" s="118" t="str">
        <f t="shared" si="7"/>
        <v>正确</v>
      </c>
      <c r="AS7" s="118" t="str">
        <f>IF(SUMPRODUCT(N(E$1:E$7=E7))&gt;1,"重复","不")</f>
        <v>不</v>
      </c>
      <c r="AT7" s="118" t="str">
        <f>IF(SUMPRODUCT(N(AO$1:AO$7=AO7))&gt;1,"重复","不")</f>
        <v>重复</v>
      </c>
      <c r="AU7" s="12" t="s">
        <v>144</v>
      </c>
      <c r="AV7" s="12" t="s">
        <v>51</v>
      </c>
    </row>
    <row r="8" s="12" customFormat="1" ht="18" customHeight="1" spans="1:48">
      <c r="A8" s="36">
        <v>5</v>
      </c>
      <c r="B8" s="37" t="s">
        <v>194</v>
      </c>
      <c r="C8" s="37" t="s">
        <v>119</v>
      </c>
      <c r="D8" s="37" t="s">
        <v>195</v>
      </c>
      <c r="E8" s="381" t="s">
        <v>120</v>
      </c>
      <c r="F8" s="145" t="s">
        <v>196</v>
      </c>
      <c r="G8" s="39">
        <v>19356875630</v>
      </c>
      <c r="H8" s="40"/>
      <c r="I8" s="40"/>
      <c r="J8" s="70"/>
      <c r="K8" s="40"/>
      <c r="L8" s="71">
        <f>VLOOKUP(C8,[1]Sheet1!$B$2:$E$16,4,0)</f>
        <v>8000</v>
      </c>
      <c r="M8" s="72">
        <f>VLOOKUP(C8,[1]Sheet1!$B$2:$F$16,5,0)</f>
        <v>306.56</v>
      </c>
      <c r="N8" s="72">
        <f>VLOOKUP(C8,[1]Sheet1!$B$2:$H$16,7,0)</f>
        <v>82.64</v>
      </c>
      <c r="O8" s="72">
        <f>VLOOKUP(C8,[1]Sheet1!$B$2:$G$16,6,0)</f>
        <v>19.16</v>
      </c>
      <c r="P8" s="72">
        <f>VLOOKUP(C8,[1]Sheet1!$B$2:$J$16,9,0)</f>
        <v>172</v>
      </c>
      <c r="Q8" s="91">
        <f t="shared" ref="Q8:Q19" si="10">ROUND(SUM(M8:P8),2)</f>
        <v>580.36</v>
      </c>
      <c r="R8" s="73">
        <v>0</v>
      </c>
      <c r="S8" s="92">
        <f>L8+IFERROR(VLOOKUP($E:$E,'（居民）工资表-4月'!$E:$S,15,0),0)</f>
        <v>37000</v>
      </c>
      <c r="T8" s="93">
        <f>5000+IFERROR(VLOOKUP($E:$E,'（居民）工资表-4月'!$E:$T,16,0),0)</f>
        <v>25000</v>
      </c>
      <c r="U8" s="93">
        <f>Q8+IFERROR(VLOOKUP($E:$E,'（居民）工资表-4月'!$E:$U,17,0),0)</f>
        <v>3242.06</v>
      </c>
      <c r="V8" s="73"/>
      <c r="W8" s="73"/>
      <c r="X8" s="73"/>
      <c r="Y8" s="73"/>
      <c r="Z8" s="73"/>
      <c r="AA8" s="73"/>
      <c r="AB8" s="92">
        <f t="shared" ref="AB8:AB19" si="11">ROUND(SUM(V8:AA8),2)</f>
        <v>0</v>
      </c>
      <c r="AC8" s="92">
        <f>R8+IFERROR(VLOOKUP($E:$E,'（居民）工资表-4月'!$E:$AC,25,0),0)</f>
        <v>0</v>
      </c>
      <c r="AD8" s="97">
        <f t="shared" ref="AD8:AD19" si="12">ROUND(S8-T8-U8-AB8-AC8,2)</f>
        <v>8757.94</v>
      </c>
      <c r="AE8" s="98">
        <f>ROUND(MAX((AD8)*{0.03;0.1;0.2;0.25;0.3;0.35;0.45}-{0;2520;16920;31920;52920;85920;181920},0),2)</f>
        <v>262.74</v>
      </c>
      <c r="AF8" s="99">
        <f>IFERROR(VLOOKUP(E:E,'（居民）工资表-4月'!E:AF,28,0)+VLOOKUP(E:E,'（居民）工资表-4月'!E:AG,29,0),0)</f>
        <v>190.15</v>
      </c>
      <c r="AG8" s="99">
        <f t="shared" si="8"/>
        <v>72.59</v>
      </c>
      <c r="AH8" s="109">
        <f t="shared" si="9"/>
        <v>7347.05</v>
      </c>
      <c r="AI8" s="110"/>
      <c r="AJ8" s="109">
        <f t="shared" ref="AJ8:AJ19" si="13">AH8+AI8</f>
        <v>7347.05</v>
      </c>
      <c r="AK8" s="111"/>
      <c r="AL8" s="109">
        <f t="shared" ref="AL8:AL19" si="14">AJ8+AG8+AK8</f>
        <v>7419.64</v>
      </c>
      <c r="AM8" s="111"/>
      <c r="AN8" s="111"/>
      <c r="AO8" s="111"/>
      <c r="AP8" s="111"/>
      <c r="AQ8" s="111"/>
      <c r="AR8" s="118"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8" t="str">
        <f t="shared" ref="AS8:AS16" si="16">IF(SUMPRODUCT(N(E$1:E$7=E8))&gt;1,"重复","不")</f>
        <v>不</v>
      </c>
      <c r="AT8" s="118" t="str">
        <f t="shared" ref="AT8:AT16" si="17">IF(SUMPRODUCT(N(AO$1:AO$7=AO8))&gt;1,"重复","不")</f>
        <v>重复</v>
      </c>
      <c r="AU8" s="12" t="s">
        <v>144</v>
      </c>
      <c r="AV8" s="12" t="s">
        <v>51</v>
      </c>
    </row>
    <row r="9" s="12" customFormat="1" ht="18" customHeight="1" spans="1:48">
      <c r="A9" s="36">
        <v>6</v>
      </c>
      <c r="B9" s="37" t="s">
        <v>194</v>
      </c>
      <c r="C9" s="37" t="s">
        <v>131</v>
      </c>
      <c r="D9" s="37" t="s">
        <v>195</v>
      </c>
      <c r="E9" s="381" t="s">
        <v>132</v>
      </c>
      <c r="F9" s="145" t="s">
        <v>196</v>
      </c>
      <c r="G9" s="39">
        <v>13973652684</v>
      </c>
      <c r="H9" s="40"/>
      <c r="I9" s="40"/>
      <c r="J9" s="70"/>
      <c r="K9" s="40"/>
      <c r="L9" s="71">
        <f>VLOOKUP(C9,[1]Sheet1!$B$2:$E$16,4,0)</f>
        <v>6500</v>
      </c>
      <c r="M9" s="72">
        <f>VLOOKUP(C9,[1]Sheet1!$B$2:$F$16,5,0)</f>
        <v>315.6</v>
      </c>
      <c r="N9" s="72">
        <f>VLOOKUP(C9,[1]Sheet1!$B$2:$H$16,7,0)</f>
        <v>86.72</v>
      </c>
      <c r="O9" s="72">
        <f>VLOOKUP(C9,[1]Sheet1!$B$2:$G$16,6,0)</f>
        <v>11.84</v>
      </c>
      <c r="P9" s="72">
        <f>VLOOKUP(C9,[1]Sheet1!$B$2:$J$16,9,0)</f>
        <v>100</v>
      </c>
      <c r="Q9" s="91">
        <f t="shared" si="10"/>
        <v>514.16</v>
      </c>
      <c r="R9" s="73">
        <v>0</v>
      </c>
      <c r="S9" s="92">
        <f>L9+IFERROR(VLOOKUP($E:$E,'（居民）工资表-4月'!$E:$S,15,0),0)</f>
        <v>32500</v>
      </c>
      <c r="T9" s="93">
        <f>5000+IFERROR(VLOOKUP($E:$E,'（居民）工资表-4月'!$E:$T,16,0),0)</f>
        <v>25000</v>
      </c>
      <c r="U9" s="93">
        <f>Q9+IFERROR(VLOOKUP($E:$E,'（居民）工资表-4月'!$E:$U,17,0),0)</f>
        <v>2612.3</v>
      </c>
      <c r="V9" s="73"/>
      <c r="W9" s="73"/>
      <c r="X9" s="73"/>
      <c r="Y9" s="73"/>
      <c r="Z9" s="73"/>
      <c r="AA9" s="73"/>
      <c r="AB9" s="92">
        <f t="shared" si="11"/>
        <v>0</v>
      </c>
      <c r="AC9" s="92">
        <f>R9+IFERROR(VLOOKUP($E:$E,'（居民）工资表-4月'!$E:$AC,25,0),0)</f>
        <v>0</v>
      </c>
      <c r="AD9" s="97">
        <f t="shared" si="12"/>
        <v>4887.7</v>
      </c>
      <c r="AE9" s="98">
        <f>ROUND(MAX((AD9)*{0.03;0.1;0.2;0.25;0.3;0.35;0.45}-{0;2520;16920;31920;52920;85920;181920},0),2)</f>
        <v>146.63</v>
      </c>
      <c r="AF9" s="99">
        <f>IFERROR(VLOOKUP(E:E,'（居民）工资表-4月'!E:AF,28,0)+VLOOKUP(E:E,'（居民）工资表-4月'!E:AG,29,0),0)</f>
        <v>117.06</v>
      </c>
      <c r="AG9" s="99">
        <f t="shared" si="8"/>
        <v>29.57</v>
      </c>
      <c r="AH9" s="109">
        <f t="shared" si="9"/>
        <v>5956.27</v>
      </c>
      <c r="AI9" s="110"/>
      <c r="AJ9" s="109">
        <f t="shared" si="13"/>
        <v>5956.27</v>
      </c>
      <c r="AK9" s="111"/>
      <c r="AL9" s="109">
        <f t="shared" si="14"/>
        <v>5985.84</v>
      </c>
      <c r="AM9" s="111"/>
      <c r="AN9" s="111"/>
      <c r="AO9" s="111"/>
      <c r="AP9" s="111"/>
      <c r="AQ9" s="111"/>
      <c r="AR9" s="118" t="str">
        <f t="shared" si="15"/>
        <v>正确</v>
      </c>
      <c r="AS9" s="118" t="str">
        <f t="shared" si="16"/>
        <v>不</v>
      </c>
      <c r="AT9" s="118" t="str">
        <f t="shared" si="17"/>
        <v>重复</v>
      </c>
      <c r="AU9" s="12" t="s">
        <v>202</v>
      </c>
      <c r="AV9" s="12" t="s">
        <v>51</v>
      </c>
    </row>
    <row r="10" s="12" customFormat="1" ht="18" customHeight="1" spans="1:48">
      <c r="A10" s="36">
        <v>7</v>
      </c>
      <c r="B10" s="37" t="s">
        <v>194</v>
      </c>
      <c r="C10" s="37" t="s">
        <v>134</v>
      </c>
      <c r="D10" s="37" t="s">
        <v>195</v>
      </c>
      <c r="E10" s="381" t="s">
        <v>135</v>
      </c>
      <c r="F10" s="38" t="s">
        <v>196</v>
      </c>
      <c r="G10" s="39" t="s">
        <v>203</v>
      </c>
      <c r="H10" s="40"/>
      <c r="I10" s="40"/>
      <c r="J10" s="70"/>
      <c r="K10" s="40"/>
      <c r="L10" s="71">
        <f>VLOOKUP(C10,[1]Sheet1!$B$2:$E$16,4,0)</f>
        <v>5500</v>
      </c>
      <c r="M10" s="72">
        <f>VLOOKUP(C10,[1]Sheet1!$B$2:$F$16,5,0)</f>
        <v>316.56</v>
      </c>
      <c r="N10" s="72">
        <f>VLOOKUP(C10,[1]Sheet1!$B$2:$H$16,7,0)</f>
        <v>84.14</v>
      </c>
      <c r="O10" s="72">
        <f>VLOOKUP(C10,[1]Sheet1!$B$2:$G$16,6,0)</f>
        <v>19.79</v>
      </c>
      <c r="P10" s="72">
        <f>VLOOKUP(C10,[1]Sheet1!$B$2:$J$16,9,0)</f>
        <v>105</v>
      </c>
      <c r="Q10" s="91">
        <f t="shared" si="10"/>
        <v>525.49</v>
      </c>
      <c r="R10" s="73">
        <v>0</v>
      </c>
      <c r="S10" s="92">
        <f>L10+IFERROR(VLOOKUP($E:$E,'（居民）工资表-4月'!$E:$S,15,0),0)</f>
        <v>27500</v>
      </c>
      <c r="T10" s="93">
        <f>5000+IFERROR(VLOOKUP($E:$E,'（居民）工资表-4月'!$E:$T,16,0),0)</f>
        <v>25000</v>
      </c>
      <c r="U10" s="93">
        <f>Q10+IFERROR(VLOOKUP($E:$E,'（居民）工资表-4月'!$E:$U,17,0),0)</f>
        <v>2627.45</v>
      </c>
      <c r="V10" s="73"/>
      <c r="W10" s="73"/>
      <c r="X10" s="73"/>
      <c r="Y10" s="73"/>
      <c r="Z10" s="73"/>
      <c r="AA10" s="73"/>
      <c r="AB10" s="92">
        <f t="shared" si="11"/>
        <v>0</v>
      </c>
      <c r="AC10" s="92">
        <f>R10+IFERROR(VLOOKUP($E:$E,'（居民）工资表-4月'!$E:$AC,25,0),0)</f>
        <v>0</v>
      </c>
      <c r="AD10" s="97">
        <f t="shared" si="12"/>
        <v>-127.45</v>
      </c>
      <c r="AE10" s="98">
        <f>ROUND(MAX((AD10)*{0.03;0.1;0.2;0.25;0.3;0.35;0.45}-{0;2520;16920;31920;52920;85920;181920},0),2)</f>
        <v>0</v>
      </c>
      <c r="AF10" s="99">
        <f>IFERROR(VLOOKUP(E:E,'（居民）工资表-4月'!E:AF,28,0)+VLOOKUP(E:E,'（居民）工资表-4月'!E:AG,29,0),0)</f>
        <v>0</v>
      </c>
      <c r="AG10" s="99">
        <f t="shared" si="8"/>
        <v>0</v>
      </c>
      <c r="AH10" s="109">
        <f t="shared" si="9"/>
        <v>4974.51</v>
      </c>
      <c r="AI10" s="110"/>
      <c r="AJ10" s="109">
        <f t="shared" si="13"/>
        <v>4974.51</v>
      </c>
      <c r="AK10" s="111"/>
      <c r="AL10" s="109">
        <f t="shared" si="14"/>
        <v>4974.51</v>
      </c>
      <c r="AM10" s="111"/>
      <c r="AN10" s="111"/>
      <c r="AO10" s="111"/>
      <c r="AP10" s="111"/>
      <c r="AQ10" s="111"/>
      <c r="AR10" s="118" t="str">
        <f t="shared" si="15"/>
        <v>正确</v>
      </c>
      <c r="AS10" s="118" t="str">
        <f t="shared" si="16"/>
        <v>不</v>
      </c>
      <c r="AT10" s="118" t="str">
        <f t="shared" si="17"/>
        <v>重复</v>
      </c>
      <c r="AU10" s="12" t="s">
        <v>133</v>
      </c>
      <c r="AV10" s="12" t="s">
        <v>204</v>
      </c>
    </row>
    <row r="11" s="12" customFormat="1" ht="18" customHeight="1" spans="1:48">
      <c r="A11" s="36">
        <v>8</v>
      </c>
      <c r="B11" s="37" t="s">
        <v>194</v>
      </c>
      <c r="C11" s="37" t="s">
        <v>138</v>
      </c>
      <c r="D11" s="37" t="s">
        <v>195</v>
      </c>
      <c r="E11" s="381" t="s">
        <v>139</v>
      </c>
      <c r="F11" s="38" t="s">
        <v>198</v>
      </c>
      <c r="G11" s="39" t="s">
        <v>205</v>
      </c>
      <c r="H11" s="40"/>
      <c r="I11" s="40"/>
      <c r="J11" s="70"/>
      <c r="K11" s="40"/>
      <c r="L11" s="71">
        <f>VLOOKUP(C11,[1]Sheet1!$B$2:$E$16,4,0)</f>
        <v>4598.8</v>
      </c>
      <c r="M11" s="72">
        <f>VLOOKUP(C11,[1]Sheet1!$B$2:$F$16,5,0)</f>
        <v>352</v>
      </c>
      <c r="N11" s="72">
        <f>VLOOKUP(C11,[1]Sheet1!$B$2:$H$16,7,0)</f>
        <v>109</v>
      </c>
      <c r="O11" s="72">
        <f>VLOOKUP(C11,[1]Sheet1!$B$2:$G$16,6,0)</f>
        <v>22</v>
      </c>
      <c r="P11" s="72">
        <f>VLOOKUP(C11,[1]Sheet1!$B$2:$J$16,9,0)</f>
        <v>109</v>
      </c>
      <c r="Q11" s="91">
        <f t="shared" si="10"/>
        <v>592</v>
      </c>
      <c r="R11" s="73">
        <v>0</v>
      </c>
      <c r="S11" s="92">
        <f>L11+IFERROR(VLOOKUP($E:$E,'（居民）工资表-4月'!$E:$S,15,0),0)</f>
        <v>22994</v>
      </c>
      <c r="T11" s="93">
        <f>5000+IFERROR(VLOOKUP($E:$E,'（居民）工资表-4月'!$E:$T,16,0),0)</f>
        <v>25000</v>
      </c>
      <c r="U11" s="93">
        <f>Q11+IFERROR(VLOOKUP($E:$E,'（居民）工资表-4月'!$E:$U,17,0),0)</f>
        <v>2964</v>
      </c>
      <c r="V11" s="73"/>
      <c r="W11" s="73"/>
      <c r="X11" s="73"/>
      <c r="Y11" s="73"/>
      <c r="Z11" s="73"/>
      <c r="AA11" s="73"/>
      <c r="AB11" s="92">
        <f t="shared" si="11"/>
        <v>0</v>
      </c>
      <c r="AC11" s="92">
        <f>R11+IFERROR(VLOOKUP($E:$E,'（居民）工资表-4月'!$E:$AC,25,0),0)</f>
        <v>0</v>
      </c>
      <c r="AD11" s="97">
        <f t="shared" si="12"/>
        <v>-4970</v>
      </c>
      <c r="AE11" s="98">
        <f>ROUND(MAX((AD11)*{0.03;0.1;0.2;0.25;0.3;0.35;0.45}-{0;2520;16920;31920;52920;85920;181920},0),2)</f>
        <v>0</v>
      </c>
      <c r="AF11" s="99">
        <f>IFERROR(VLOOKUP(E:E,'（居民）工资表-4月'!E:AF,28,0)+VLOOKUP(E:E,'（居民）工资表-4月'!E:AG,29,0),0)</f>
        <v>0</v>
      </c>
      <c r="AG11" s="99">
        <f t="shared" si="8"/>
        <v>0</v>
      </c>
      <c r="AH11" s="109">
        <f t="shared" si="9"/>
        <v>4006.8</v>
      </c>
      <c r="AI11" s="110"/>
      <c r="AJ11" s="109">
        <f t="shared" si="13"/>
        <v>4006.8</v>
      </c>
      <c r="AK11" s="111"/>
      <c r="AL11" s="109">
        <f t="shared" si="14"/>
        <v>4006.8</v>
      </c>
      <c r="AM11" s="111"/>
      <c r="AN11" s="111"/>
      <c r="AO11" s="111"/>
      <c r="AP11" s="111"/>
      <c r="AQ11" s="111"/>
      <c r="AR11" s="118" t="str">
        <f t="shared" si="15"/>
        <v>正确</v>
      </c>
      <c r="AS11" s="118" t="str">
        <f t="shared" si="16"/>
        <v>不</v>
      </c>
      <c r="AT11" s="118" t="str">
        <f t="shared" si="17"/>
        <v>重复</v>
      </c>
      <c r="AU11" s="12" t="s">
        <v>137</v>
      </c>
      <c r="AV11" s="12" t="s">
        <v>206</v>
      </c>
    </row>
    <row r="12" s="12" customFormat="1" ht="18" customHeight="1" spans="1:48">
      <c r="A12" s="36">
        <v>9</v>
      </c>
      <c r="B12" s="37" t="s">
        <v>194</v>
      </c>
      <c r="C12" s="37" t="s">
        <v>128</v>
      </c>
      <c r="D12" s="37" t="s">
        <v>195</v>
      </c>
      <c r="E12" s="381" t="s">
        <v>129</v>
      </c>
      <c r="F12" s="38" t="s">
        <v>196</v>
      </c>
      <c r="G12" s="39">
        <v>18356553626</v>
      </c>
      <c r="H12" s="40"/>
      <c r="I12" s="40"/>
      <c r="J12" s="70"/>
      <c r="K12" s="40"/>
      <c r="L12" s="71">
        <f>VLOOKUP(C12,[1]Sheet1!$B$2:$E$16,4,0)</f>
        <v>7000</v>
      </c>
      <c r="M12" s="72">
        <f>VLOOKUP(C12,[1]Sheet1!$B$2:$F$16,5,0)</f>
        <v>306.56</v>
      </c>
      <c r="N12" s="72">
        <f>VLOOKUP(C12,[1]Sheet1!$B$2:$H$16,7,0)</f>
        <v>112.49</v>
      </c>
      <c r="O12" s="72">
        <f>VLOOKUP(C12,[1]Sheet1!$B$2:$G$16,6,0)</f>
        <v>19.16</v>
      </c>
      <c r="P12" s="72">
        <f>VLOOKUP(C12,[1]Sheet1!$B$2:$J$16,9,0)</f>
        <v>97</v>
      </c>
      <c r="Q12" s="91">
        <f t="shared" si="10"/>
        <v>535.21</v>
      </c>
      <c r="R12" s="73">
        <v>0</v>
      </c>
      <c r="S12" s="92">
        <f>L12+IFERROR(VLOOKUP($E:$E,'（居民）工资表-4月'!$E:$S,15,0),0)</f>
        <v>31118.18</v>
      </c>
      <c r="T12" s="93">
        <f>5000+IFERROR(VLOOKUP($E:$E,'（居民）工资表-4月'!$E:$T,16,0),0)</f>
        <v>25000</v>
      </c>
      <c r="U12" s="93">
        <f>Q12+IFERROR(VLOOKUP($E:$E,'（居民）工资表-4月'!$E:$U,17,0),0)</f>
        <v>2661.09</v>
      </c>
      <c r="V12" s="73"/>
      <c r="W12" s="73"/>
      <c r="X12" s="73"/>
      <c r="Y12" s="73"/>
      <c r="Z12" s="73"/>
      <c r="AA12" s="73"/>
      <c r="AB12" s="92">
        <f t="shared" si="11"/>
        <v>0</v>
      </c>
      <c r="AC12" s="92">
        <f>R12+IFERROR(VLOOKUP($E:$E,'（居民）工资表-4月'!$E:$AC,25,0),0)</f>
        <v>0</v>
      </c>
      <c r="AD12" s="97">
        <f t="shared" si="12"/>
        <v>3457.09</v>
      </c>
      <c r="AE12" s="98">
        <f>ROUND(MAX((AD12)*{0.03;0.1;0.2;0.25;0.3;0.35;0.45}-{0;2520;16920;31920;52920;85920;181920},0),2)</f>
        <v>103.71</v>
      </c>
      <c r="AF12" s="99">
        <f>IFERROR(VLOOKUP(E:E,'（居民）工资表-4月'!E:AF,28,0)+VLOOKUP(E:E,'（居民）工资表-4月'!E:AG,29,0),0)</f>
        <v>59.77</v>
      </c>
      <c r="AG12" s="99">
        <f t="shared" si="8"/>
        <v>43.94</v>
      </c>
      <c r="AH12" s="109">
        <f t="shared" si="9"/>
        <v>6420.85</v>
      </c>
      <c r="AI12" s="110"/>
      <c r="AJ12" s="109">
        <f t="shared" si="13"/>
        <v>6420.85</v>
      </c>
      <c r="AK12" s="111"/>
      <c r="AL12" s="109">
        <f t="shared" si="14"/>
        <v>6464.79</v>
      </c>
      <c r="AM12" s="111"/>
      <c r="AN12" s="111"/>
      <c r="AO12" s="111"/>
      <c r="AP12" s="111"/>
      <c r="AQ12" s="111"/>
      <c r="AR12" s="118" t="str">
        <f t="shared" si="15"/>
        <v>正确</v>
      </c>
      <c r="AS12" s="118" t="str">
        <f t="shared" si="16"/>
        <v>不</v>
      </c>
      <c r="AT12" s="118" t="str">
        <f t="shared" si="17"/>
        <v>重复</v>
      </c>
      <c r="AU12" s="12" t="s">
        <v>144</v>
      </c>
      <c r="AV12" s="12" t="s">
        <v>51</v>
      </c>
    </row>
    <row r="13" s="12" customFormat="1" ht="18" customHeight="1" spans="1:48">
      <c r="A13" s="36">
        <v>10</v>
      </c>
      <c r="B13" s="37" t="s">
        <v>194</v>
      </c>
      <c r="C13" s="37" t="s">
        <v>123</v>
      </c>
      <c r="D13" s="37" t="s">
        <v>195</v>
      </c>
      <c r="E13" s="381" t="s">
        <v>124</v>
      </c>
      <c r="F13" s="38" t="s">
        <v>196</v>
      </c>
      <c r="G13" s="39">
        <v>18326897140</v>
      </c>
      <c r="H13" s="40"/>
      <c r="I13" s="40"/>
      <c r="J13" s="70"/>
      <c r="K13" s="40"/>
      <c r="L13" s="71">
        <f>VLOOKUP(C13,[1]Sheet1!$B$2:$E$16,4,0)</f>
        <v>5500</v>
      </c>
      <c r="M13" s="72">
        <f>VLOOKUP(C13,[1]Sheet1!$B$2:$F$16,5,0)</f>
        <v>306.56</v>
      </c>
      <c r="N13" s="72">
        <f>VLOOKUP(C13,[1]Sheet1!$B$2:$H$16,7,0)</f>
        <v>82.64</v>
      </c>
      <c r="O13" s="72">
        <f>VLOOKUP(C13,[1]Sheet1!$B$2:$G$16,6,0)</f>
        <v>19.16</v>
      </c>
      <c r="P13" s="72">
        <f>VLOOKUP(C13,[1]Sheet1!$B$2:$J$16,9,0)</f>
        <v>172</v>
      </c>
      <c r="Q13" s="91">
        <f t="shared" si="10"/>
        <v>580.36</v>
      </c>
      <c r="R13" s="73">
        <v>0</v>
      </c>
      <c r="S13" s="92">
        <f>L13+IFERROR(VLOOKUP($E:$E,'（居民）工资表-4月'!$E:$S,15,0),0)</f>
        <v>24450</v>
      </c>
      <c r="T13" s="93">
        <f>5000+IFERROR(VLOOKUP($E:$E,'（居民）工资表-4月'!$E:$T,16,0),0)</f>
        <v>25000</v>
      </c>
      <c r="U13" s="93">
        <f>Q13+IFERROR(VLOOKUP($E:$E,'（居民）工资表-4月'!$E:$U,17,0),0)</f>
        <v>3031.01</v>
      </c>
      <c r="V13" s="73"/>
      <c r="W13" s="73"/>
      <c r="X13" s="73"/>
      <c r="Y13" s="73"/>
      <c r="Z13" s="73"/>
      <c r="AA13" s="73"/>
      <c r="AB13" s="92">
        <f t="shared" si="11"/>
        <v>0</v>
      </c>
      <c r="AC13" s="92">
        <f>R13+IFERROR(VLOOKUP($E:$E,'（居民）工资表-4月'!$E:$AC,25,0),0)</f>
        <v>0</v>
      </c>
      <c r="AD13" s="97">
        <f t="shared" si="12"/>
        <v>-3581.01</v>
      </c>
      <c r="AE13" s="98">
        <f>ROUND(MAX((AD13)*{0.03;0.1;0.2;0.25;0.3;0.35;0.45}-{0;2520;16920;31920;52920;85920;181920},0),2)</f>
        <v>0</v>
      </c>
      <c r="AF13" s="99">
        <f>IFERROR(VLOOKUP(E:E,'（居民）工资表-4月'!E:AF,28,0)+VLOOKUP(E:E,'（居民）工资表-4月'!E:AG,29,0),0)</f>
        <v>0</v>
      </c>
      <c r="AG13" s="99">
        <f t="shared" si="8"/>
        <v>0</v>
      </c>
      <c r="AH13" s="109">
        <f t="shared" si="9"/>
        <v>4919.64</v>
      </c>
      <c r="AI13" s="110"/>
      <c r="AJ13" s="109">
        <f t="shared" si="13"/>
        <v>4919.64</v>
      </c>
      <c r="AK13" s="111"/>
      <c r="AL13" s="109">
        <f t="shared" si="14"/>
        <v>4919.64</v>
      </c>
      <c r="AM13" s="111"/>
      <c r="AN13" s="111"/>
      <c r="AO13" s="111"/>
      <c r="AP13" s="111"/>
      <c r="AQ13" s="111"/>
      <c r="AR13" s="118" t="str">
        <f t="shared" si="15"/>
        <v>正确</v>
      </c>
      <c r="AS13" s="118" t="str">
        <f t="shared" si="16"/>
        <v>不</v>
      </c>
      <c r="AT13" s="118" t="str">
        <f t="shared" si="17"/>
        <v>重复</v>
      </c>
      <c r="AU13" s="12" t="s">
        <v>144</v>
      </c>
      <c r="AV13" s="12" t="s">
        <v>51</v>
      </c>
    </row>
    <row r="14" s="12" customFormat="1" ht="18" customHeight="1" spans="1:48">
      <c r="A14" s="36">
        <v>11</v>
      </c>
      <c r="B14" s="37" t="s">
        <v>194</v>
      </c>
      <c r="C14" s="37" t="s">
        <v>121</v>
      </c>
      <c r="D14" s="37" t="s">
        <v>195</v>
      </c>
      <c r="E14" s="381" t="s">
        <v>122</v>
      </c>
      <c r="F14" s="38" t="s">
        <v>196</v>
      </c>
      <c r="G14" s="39">
        <v>17201857014</v>
      </c>
      <c r="H14" s="40"/>
      <c r="I14" s="40"/>
      <c r="J14" s="70"/>
      <c r="K14" s="40"/>
      <c r="L14" s="71">
        <f>VLOOKUP(C14,[1]Sheet1!$B$2:$E$16,4,0)</f>
        <v>5500</v>
      </c>
      <c r="M14" s="72">
        <f>VLOOKUP(C14,[1]Sheet1!$B$2:$F$16,5,0)</f>
        <v>306.56</v>
      </c>
      <c r="N14" s="72">
        <f>VLOOKUP(C14,[1]Sheet1!$B$2:$H$16,7,0)</f>
        <v>82.64</v>
      </c>
      <c r="O14" s="72">
        <f>VLOOKUP(C14,[1]Sheet1!$B$2:$G$16,6,0)</f>
        <v>19.16</v>
      </c>
      <c r="P14" s="72">
        <f>VLOOKUP(C14,[1]Sheet1!$B$2:$J$16,9,0)</f>
        <v>172</v>
      </c>
      <c r="Q14" s="91">
        <f t="shared" si="10"/>
        <v>580.36</v>
      </c>
      <c r="R14" s="73">
        <v>0</v>
      </c>
      <c r="S14" s="92">
        <f>L14+IFERROR(VLOOKUP($E:$E,'（居民）工资表-4月'!$E:$S,15,0),0)</f>
        <v>24550</v>
      </c>
      <c r="T14" s="93">
        <f>5000+IFERROR(VLOOKUP($E:$E,'（居民）工资表-4月'!$E:$T,16,0),0)</f>
        <v>25000</v>
      </c>
      <c r="U14" s="93">
        <f>Q14+IFERROR(VLOOKUP($E:$E,'（居民）工资表-4月'!$E:$U,17,0),0)</f>
        <v>3031.01</v>
      </c>
      <c r="V14" s="73"/>
      <c r="W14" s="73"/>
      <c r="X14" s="73"/>
      <c r="Y14" s="73"/>
      <c r="Z14" s="73"/>
      <c r="AA14" s="73"/>
      <c r="AB14" s="92">
        <f t="shared" si="11"/>
        <v>0</v>
      </c>
      <c r="AC14" s="92">
        <f>R14+IFERROR(VLOOKUP($E:$E,'（居民）工资表-4月'!$E:$AC,25,0),0)</f>
        <v>0</v>
      </c>
      <c r="AD14" s="97">
        <f t="shared" si="12"/>
        <v>-3481.01</v>
      </c>
      <c r="AE14" s="98">
        <f>ROUND(MAX((AD14)*{0.03;0.1;0.2;0.25;0.3;0.35;0.45}-{0;2520;16920;31920;52920;85920;181920},0),2)</f>
        <v>0</v>
      </c>
      <c r="AF14" s="99">
        <f>IFERROR(VLOOKUP(E:E,'（居民）工资表-4月'!E:AF,28,0)+VLOOKUP(E:E,'（居民）工资表-4月'!E:AG,29,0),0)</f>
        <v>0</v>
      </c>
      <c r="AG14" s="99">
        <f t="shared" si="8"/>
        <v>0</v>
      </c>
      <c r="AH14" s="109">
        <f t="shared" si="9"/>
        <v>4919.64</v>
      </c>
      <c r="AI14" s="110"/>
      <c r="AJ14" s="109">
        <f t="shared" si="13"/>
        <v>4919.64</v>
      </c>
      <c r="AK14" s="111"/>
      <c r="AL14" s="109">
        <f t="shared" si="14"/>
        <v>4919.64</v>
      </c>
      <c r="AM14" s="111"/>
      <c r="AN14" s="111"/>
      <c r="AO14" s="111"/>
      <c r="AP14" s="111"/>
      <c r="AQ14" s="111"/>
      <c r="AR14" s="118" t="str">
        <f t="shared" si="15"/>
        <v>正确</v>
      </c>
      <c r="AS14" s="118" t="str">
        <f t="shared" si="16"/>
        <v>不</v>
      </c>
      <c r="AT14" s="118" t="str">
        <f t="shared" si="17"/>
        <v>重复</v>
      </c>
      <c r="AU14" s="12" t="s">
        <v>144</v>
      </c>
      <c r="AV14" s="12" t="s">
        <v>51</v>
      </c>
    </row>
    <row r="15" s="12" customFormat="1" ht="18" customHeight="1" spans="1:48">
      <c r="A15" s="36">
        <v>12</v>
      </c>
      <c r="B15" s="37" t="s">
        <v>194</v>
      </c>
      <c r="C15" s="37" t="s">
        <v>126</v>
      </c>
      <c r="D15" s="37" t="s">
        <v>195</v>
      </c>
      <c r="E15" s="381" t="s">
        <v>127</v>
      </c>
      <c r="F15" s="38" t="s">
        <v>198</v>
      </c>
      <c r="G15" s="39" t="s">
        <v>207</v>
      </c>
      <c r="H15" s="40"/>
      <c r="I15" s="40"/>
      <c r="J15" s="70"/>
      <c r="K15" s="40"/>
      <c r="L15" s="71">
        <f>VLOOKUP(C15,[1]Sheet1!$B$2:$E$16,4,0)</f>
        <v>7000</v>
      </c>
      <c r="M15" s="72">
        <f>VLOOKUP(C15,[1]Sheet1!$B$2:$F$16,5,0)</f>
        <v>306.56</v>
      </c>
      <c r="N15" s="72">
        <f>VLOOKUP(C15,[1]Sheet1!$B$2:$H$16,7,0)</f>
        <v>112.49</v>
      </c>
      <c r="O15" s="72">
        <f>VLOOKUP(C15,[1]Sheet1!$B$2:$G$16,6,0)</f>
        <v>19.16</v>
      </c>
      <c r="P15" s="72">
        <f>VLOOKUP(C15,[1]Sheet1!$B$2:$J$16,9,0)</f>
        <v>97</v>
      </c>
      <c r="Q15" s="91">
        <f t="shared" si="10"/>
        <v>535.21</v>
      </c>
      <c r="R15" s="73">
        <v>0</v>
      </c>
      <c r="S15" s="92">
        <f>L15+IFERROR(VLOOKUP($E:$E,'（居民）工资表-4月'!$E:$S,15,0),0)</f>
        <v>31309.09</v>
      </c>
      <c r="T15" s="93">
        <f>5000+IFERROR(VLOOKUP($E:$E,'（居民）工资表-4月'!$E:$T,16,0),0)</f>
        <v>25000</v>
      </c>
      <c r="U15" s="93">
        <f>Q15+IFERROR(VLOOKUP($E:$E,'（居民）工资表-4月'!$E:$U,17,0),0)</f>
        <v>2669.13</v>
      </c>
      <c r="V15" s="73"/>
      <c r="W15" s="73"/>
      <c r="X15" s="73"/>
      <c r="Y15" s="73"/>
      <c r="Z15" s="73"/>
      <c r="AA15" s="73"/>
      <c r="AB15" s="92">
        <f t="shared" si="11"/>
        <v>0</v>
      </c>
      <c r="AC15" s="92">
        <f>R15+IFERROR(VLOOKUP($E:$E,'（居民）工资表-4月'!$E:$AC,25,0),0)</f>
        <v>0</v>
      </c>
      <c r="AD15" s="97">
        <f t="shared" si="12"/>
        <v>3639.96</v>
      </c>
      <c r="AE15" s="98">
        <f>ROUND(MAX((AD15)*{0.03;0.1;0.2;0.25;0.3;0.35;0.45}-{0;2520;16920;31920;52920;85920;181920},0),2)</f>
        <v>109.2</v>
      </c>
      <c r="AF15" s="99">
        <f>IFERROR(VLOOKUP(E:E,'（居民）工资表-4月'!E:AF,28,0)+VLOOKUP(E:E,'（居民）工资表-4月'!E:AG,29,0),0)</f>
        <v>65.26</v>
      </c>
      <c r="AG15" s="99">
        <f t="shared" si="8"/>
        <v>43.94</v>
      </c>
      <c r="AH15" s="109">
        <f t="shared" si="9"/>
        <v>6420.85</v>
      </c>
      <c r="AI15" s="110"/>
      <c r="AJ15" s="109">
        <f t="shared" si="13"/>
        <v>6420.85</v>
      </c>
      <c r="AK15" s="111"/>
      <c r="AL15" s="109">
        <f t="shared" si="14"/>
        <v>6464.79</v>
      </c>
      <c r="AM15" s="111"/>
      <c r="AN15" s="111"/>
      <c r="AO15" s="111"/>
      <c r="AP15" s="111"/>
      <c r="AQ15" s="111"/>
      <c r="AR15" s="118" t="str">
        <f t="shared" si="15"/>
        <v>正确</v>
      </c>
      <c r="AS15" s="118" t="str">
        <f t="shared" si="16"/>
        <v>不</v>
      </c>
      <c r="AT15" s="118" t="str">
        <f t="shared" si="17"/>
        <v>重复</v>
      </c>
      <c r="AU15" s="12" t="s">
        <v>144</v>
      </c>
      <c r="AV15" s="12" t="s">
        <v>51</v>
      </c>
    </row>
    <row r="16" s="12" customFormat="1" ht="18" customHeight="1" spans="1:48">
      <c r="A16" s="36">
        <v>13</v>
      </c>
      <c r="B16" s="37" t="s">
        <v>194</v>
      </c>
      <c r="C16" s="37" t="s">
        <v>115</v>
      </c>
      <c r="D16" s="37" t="s">
        <v>195</v>
      </c>
      <c r="E16" s="381" t="s">
        <v>116</v>
      </c>
      <c r="F16" s="38" t="s">
        <v>198</v>
      </c>
      <c r="G16" s="39">
        <v>15855788591</v>
      </c>
      <c r="H16" s="40"/>
      <c r="I16" s="40"/>
      <c r="J16" s="70"/>
      <c r="K16" s="40"/>
      <c r="L16" s="71">
        <f>VLOOKUP(C16,[1]Sheet1!$B$2:$E$16,4,0)</f>
        <v>6060</v>
      </c>
      <c r="M16" s="72">
        <f>VLOOKUP(C16,[1]Sheet1!$B$2:$F$16,5,0)</f>
        <v>306.56</v>
      </c>
      <c r="N16" s="72">
        <f>VLOOKUP(C16,[1]Sheet1!$B$2:$H$16,7,0)</f>
        <v>84.64</v>
      </c>
      <c r="O16" s="72">
        <f>VLOOKUP(C16,[1]Sheet1!$B$2:$G$16,6,0)</f>
        <v>19.16</v>
      </c>
      <c r="P16" s="72">
        <f>VLOOKUP(C16,[1]Sheet1!$B$2:$J$16,9,0)</f>
        <v>162</v>
      </c>
      <c r="Q16" s="91">
        <f t="shared" si="10"/>
        <v>572.36</v>
      </c>
      <c r="R16" s="73">
        <v>0</v>
      </c>
      <c r="S16" s="92">
        <f>L16+IFERROR(VLOOKUP($E:$E,'（居民）工资表-4月'!$E:$S,15,0),0)</f>
        <v>25272</v>
      </c>
      <c r="T16" s="93">
        <f>5000+IFERROR(VLOOKUP($E:$E,'（居民）工资表-4月'!$E:$T,16,0),0)</f>
        <v>25000</v>
      </c>
      <c r="U16" s="93">
        <f>Q16+IFERROR(VLOOKUP($E:$E,'（居民）工资表-4月'!$E:$U,17,0),0)</f>
        <v>2999.16</v>
      </c>
      <c r="V16" s="73"/>
      <c r="W16" s="73"/>
      <c r="X16" s="73"/>
      <c r="Y16" s="73"/>
      <c r="Z16" s="73"/>
      <c r="AA16" s="73"/>
      <c r="AB16" s="92">
        <f t="shared" si="11"/>
        <v>0</v>
      </c>
      <c r="AC16" s="92">
        <f>R16+IFERROR(VLOOKUP($E:$E,'（居民）工资表-4月'!$E:$AC,25,0),0)</f>
        <v>0</v>
      </c>
      <c r="AD16" s="97">
        <f t="shared" si="12"/>
        <v>-2727.16</v>
      </c>
      <c r="AE16" s="98">
        <f>ROUND(MAX((AD16)*{0.03;0.1;0.2;0.25;0.3;0.35;0.45}-{0;2520;16920;31920;52920;85920;181920},0),2)</f>
        <v>0</v>
      </c>
      <c r="AF16" s="99">
        <f>IFERROR(VLOOKUP(E:E,'（居民）工资表-4月'!E:AF,28,0)+VLOOKUP(E:E,'（居民）工资表-4月'!E:AG,29,0),0)</f>
        <v>0</v>
      </c>
      <c r="AG16" s="99">
        <f t="shared" si="8"/>
        <v>0</v>
      </c>
      <c r="AH16" s="109">
        <f t="shared" si="9"/>
        <v>5487.64</v>
      </c>
      <c r="AI16" s="110"/>
      <c r="AJ16" s="109">
        <f t="shared" si="13"/>
        <v>5487.64</v>
      </c>
      <c r="AK16" s="111"/>
      <c r="AL16" s="109">
        <f t="shared" si="14"/>
        <v>5487.64</v>
      </c>
      <c r="AM16" s="111"/>
      <c r="AN16" s="111"/>
      <c r="AO16" s="111"/>
      <c r="AP16" s="111"/>
      <c r="AQ16" s="111"/>
      <c r="AR16" s="118" t="str">
        <f t="shared" si="15"/>
        <v>正确</v>
      </c>
      <c r="AS16" s="118" t="str">
        <f t="shared" si="16"/>
        <v>不</v>
      </c>
      <c r="AT16" s="118" t="str">
        <f t="shared" si="17"/>
        <v>重复</v>
      </c>
      <c r="AU16" s="12" t="s">
        <v>144</v>
      </c>
      <c r="AV16" s="12" t="s">
        <v>51</v>
      </c>
    </row>
    <row r="17" s="12" customFormat="1" ht="18" customHeight="1" spans="1:48">
      <c r="A17" s="36">
        <v>14</v>
      </c>
      <c r="B17" s="37" t="s">
        <v>194</v>
      </c>
      <c r="C17" s="37" t="s">
        <v>142</v>
      </c>
      <c r="D17" s="37" t="s">
        <v>195</v>
      </c>
      <c r="E17" s="381" t="s">
        <v>143</v>
      </c>
      <c r="F17" s="38" t="s">
        <v>198</v>
      </c>
      <c r="G17" s="39">
        <v>13873717760</v>
      </c>
      <c r="H17" s="40"/>
      <c r="I17" s="40"/>
      <c r="J17" s="70"/>
      <c r="K17" s="40"/>
      <c r="L17" s="71">
        <f>VLOOKUP(C17,[1]Sheet1!$B$2:$E$16,4,0)</f>
        <v>6560</v>
      </c>
      <c r="M17" s="72">
        <f>VLOOKUP(C17,[1]Sheet1!$B$2:$F$16,5,0)</f>
        <v>315.6</v>
      </c>
      <c r="N17" s="72">
        <f>VLOOKUP(C17,[1]Sheet1!$B$2:$H$16,7,0)</f>
        <v>86.72</v>
      </c>
      <c r="O17" s="72">
        <f>VLOOKUP(C17,[1]Sheet1!$B$2:$G$16,6,0)</f>
        <v>11.84</v>
      </c>
      <c r="P17" s="72">
        <f>VLOOKUP(C17,[1]Sheet1!$B$2:$J$16,9,0)</f>
        <v>175</v>
      </c>
      <c r="Q17" s="91">
        <f t="shared" si="10"/>
        <v>589.16</v>
      </c>
      <c r="R17" s="73">
        <v>0</v>
      </c>
      <c r="S17" s="92">
        <f>L17+IFERROR(VLOOKUP($E:$E,'（居民）工资表-4月'!$E:$S,15,0),0)</f>
        <v>23965</v>
      </c>
      <c r="T17" s="93">
        <f>5000+IFERROR(VLOOKUP($E:$E,'（居民）工资表-4月'!$E:$T,16,0),0)</f>
        <v>25000</v>
      </c>
      <c r="U17" s="93">
        <f>Q17+IFERROR(VLOOKUP($E:$E,'（居民）工资表-4月'!$E:$U,17,0),0)</f>
        <v>3626.67</v>
      </c>
      <c r="V17" s="73"/>
      <c r="W17" s="73"/>
      <c r="X17" s="73"/>
      <c r="Y17" s="73"/>
      <c r="Z17" s="73"/>
      <c r="AA17" s="73"/>
      <c r="AB17" s="92">
        <f t="shared" si="11"/>
        <v>0</v>
      </c>
      <c r="AC17" s="92">
        <f>R17+IFERROR(VLOOKUP($E:$E,'（居民）工资表-4月'!$E:$AC,25,0),0)</f>
        <v>0</v>
      </c>
      <c r="AD17" s="97">
        <f t="shared" si="12"/>
        <v>-4661.67</v>
      </c>
      <c r="AE17" s="98">
        <f>ROUND(MAX((AD17)*{0.03;0.1;0.2;0.25;0.3;0.35;0.45}-{0;2520;16920;31920;52920;85920;181920},0),2)</f>
        <v>0</v>
      </c>
      <c r="AF17" s="99">
        <f>IFERROR(VLOOKUP(E:E,'（居民）工资表-4月'!E:AF,28,0)+VLOOKUP(E:E,'（居民）工资表-4月'!E:AG,29,0),0)</f>
        <v>0</v>
      </c>
      <c r="AG17" s="99">
        <f t="shared" si="8"/>
        <v>0</v>
      </c>
      <c r="AH17" s="109">
        <f t="shared" si="9"/>
        <v>5970.84</v>
      </c>
      <c r="AI17" s="110"/>
      <c r="AJ17" s="109">
        <f t="shared" si="13"/>
        <v>5970.84</v>
      </c>
      <c r="AK17" s="111"/>
      <c r="AL17" s="109">
        <f t="shared" si="14"/>
        <v>5970.84</v>
      </c>
      <c r="AM17" s="111"/>
      <c r="AN17" s="111"/>
      <c r="AO17" s="111"/>
      <c r="AP17" s="111"/>
      <c r="AQ17" s="111"/>
      <c r="AR17" s="118" t="str">
        <f t="shared" si="15"/>
        <v>正确</v>
      </c>
      <c r="AS17" s="118" t="str">
        <f>IF(SUMPRODUCT(N(E$1:E$7=E17))&gt;1,"重复","不")</f>
        <v>不</v>
      </c>
      <c r="AT17" s="118" t="str">
        <f>IF(SUMPRODUCT(N(AO$1:AO$7=AO17))&gt;1,"重复","不")</f>
        <v>重复</v>
      </c>
      <c r="AU17" s="12" t="s">
        <v>202</v>
      </c>
      <c r="AV17" s="12" t="s">
        <v>51</v>
      </c>
    </row>
    <row r="18" s="12" customFormat="1" ht="18" customHeight="1" spans="1:48">
      <c r="A18" s="36">
        <v>15</v>
      </c>
      <c r="B18" s="37" t="s">
        <v>194</v>
      </c>
      <c r="C18" s="37" t="s">
        <v>145</v>
      </c>
      <c r="D18" s="37" t="s">
        <v>195</v>
      </c>
      <c r="E18" s="382" t="s">
        <v>146</v>
      </c>
      <c r="F18" s="38" t="s">
        <v>198</v>
      </c>
      <c r="G18" s="39"/>
      <c r="H18" s="40"/>
      <c r="I18" s="40"/>
      <c r="J18" s="70"/>
      <c r="K18" s="40"/>
      <c r="L18" s="71">
        <f>VLOOKUP(C18,[1]Sheet1!$B$2:$E$16,4,0)</f>
        <v>2836.37</v>
      </c>
      <c r="M18" s="72">
        <f>VLOOKUP(C18,[1]Sheet1!$B$2:$F$16,5,0)</f>
        <v>613.12</v>
      </c>
      <c r="N18" s="72">
        <f>VLOOKUP(C18,[1]Sheet1!$B$2:$H$16,7,0)</f>
        <v>153.28</v>
      </c>
      <c r="O18" s="72">
        <f>VLOOKUP(C18,[1]Sheet1!$B$2:$G$16,6,0)</f>
        <v>38.32</v>
      </c>
      <c r="P18" s="72">
        <f>VLOOKUP(C18,[1]Sheet1!$B$2:$J$16,9,0)</f>
        <v>206</v>
      </c>
      <c r="Q18" s="91">
        <f t="shared" si="10"/>
        <v>1010.72</v>
      </c>
      <c r="R18" s="73">
        <v>0</v>
      </c>
      <c r="S18" s="92">
        <f>L18+IFERROR(VLOOKUP($E:$E,'（居民）工资表-4月'!$E:$S,15,0),0)</f>
        <v>2836.37</v>
      </c>
      <c r="T18" s="93">
        <f>5000+IFERROR(VLOOKUP($E:$E,'（居民）工资表-4月'!$E:$T,16,0),0)</f>
        <v>5000</v>
      </c>
      <c r="U18" s="93">
        <f>Q18+IFERROR(VLOOKUP($E:$E,'（居民）工资表-4月'!$E:$U,17,0),0)</f>
        <v>1010.72</v>
      </c>
      <c r="V18" s="73"/>
      <c r="W18" s="73"/>
      <c r="X18" s="73"/>
      <c r="Y18" s="73"/>
      <c r="Z18" s="73"/>
      <c r="AA18" s="73"/>
      <c r="AB18" s="92">
        <f t="shared" si="11"/>
        <v>0</v>
      </c>
      <c r="AC18" s="92">
        <f>R18+IFERROR(VLOOKUP($E:$E,'（居民）工资表-4月'!$E:$AC,25,0),0)</f>
        <v>0</v>
      </c>
      <c r="AD18" s="97">
        <f t="shared" si="12"/>
        <v>-3174.35</v>
      </c>
      <c r="AE18" s="98">
        <f>ROUND(MAX((AD18)*{0.03;0.1;0.2;0.25;0.3;0.35;0.45}-{0;2520;16920;31920;52920;85920;181920},0),2)</f>
        <v>0</v>
      </c>
      <c r="AF18" s="99">
        <f>IFERROR(VLOOKUP(E:E,'（居民）工资表-4月'!E:AF,28,0)+VLOOKUP(E:E,'（居民）工资表-4月'!E:AG,29,0),0)</f>
        <v>0</v>
      </c>
      <c r="AG18" s="99">
        <f t="shared" si="8"/>
        <v>0</v>
      </c>
      <c r="AH18" s="109">
        <f t="shared" si="9"/>
        <v>1825.65</v>
      </c>
      <c r="AI18" s="110"/>
      <c r="AJ18" s="109">
        <f t="shared" si="13"/>
        <v>1825.65</v>
      </c>
      <c r="AK18" s="111"/>
      <c r="AL18" s="109">
        <f t="shared" si="14"/>
        <v>1825.65</v>
      </c>
      <c r="AM18" s="111"/>
      <c r="AN18" s="111"/>
      <c r="AO18" s="111"/>
      <c r="AP18" s="111"/>
      <c r="AQ18" s="111"/>
      <c r="AR18" s="118" t="str">
        <f t="shared" si="15"/>
        <v>正确</v>
      </c>
      <c r="AS18" s="118" t="str">
        <f>IF(SUMPRODUCT(N(E$1:E$7=E18))&gt;1,"重复","不")</f>
        <v>不</v>
      </c>
      <c r="AT18" s="118" t="str">
        <f>IF(SUMPRODUCT(N(AO$1:AO$7=AO18))&gt;1,"重复","不")</f>
        <v>重复</v>
      </c>
      <c r="AU18" s="12" t="s">
        <v>144</v>
      </c>
      <c r="AV18" s="12" t="s">
        <v>51</v>
      </c>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c r="AM19" s="111"/>
      <c r="AN19" s="111"/>
      <c r="AO19" s="111"/>
      <c r="AP19" s="111"/>
      <c r="AQ19" s="111"/>
      <c r="AR19" s="118"/>
      <c r="AS19" s="118"/>
      <c r="AT19" s="118"/>
    </row>
    <row r="20" s="13" customFormat="1" ht="18" customHeight="1" spans="1:46">
      <c r="A20" s="42"/>
      <c r="B20" s="43" t="s">
        <v>208</v>
      </c>
      <c r="C20" s="43"/>
      <c r="D20" s="44"/>
      <c r="E20" s="45"/>
      <c r="F20" s="46"/>
      <c r="G20" s="47"/>
      <c r="H20" s="46"/>
      <c r="I20" s="74"/>
      <c r="J20" s="75"/>
      <c r="K20" s="74"/>
      <c r="L20" s="76">
        <f t="shared" ref="L20:Q20" si="18">SUM(L4:L18)</f>
        <v>115815.17</v>
      </c>
      <c r="M20" s="76">
        <f t="shared" si="18"/>
        <v>5243.7</v>
      </c>
      <c r="N20" s="76">
        <f t="shared" si="18"/>
        <v>1482.54</v>
      </c>
      <c r="O20" s="76">
        <f t="shared" si="18"/>
        <v>286.22</v>
      </c>
      <c r="P20" s="76">
        <f t="shared" si="18"/>
        <v>2202.3</v>
      </c>
      <c r="Q20" s="76">
        <f t="shared" si="18"/>
        <v>9214.76</v>
      </c>
      <c r="R20" s="76">
        <f t="shared" ref="R20:AL20" si="19">SUM(R4:R18)</f>
        <v>0</v>
      </c>
      <c r="S20" s="76">
        <f t="shared" si="19"/>
        <v>533294.64</v>
      </c>
      <c r="T20" s="76">
        <f t="shared" si="19"/>
        <v>355000</v>
      </c>
      <c r="U20" s="76">
        <f t="shared" si="19"/>
        <v>43491.96</v>
      </c>
      <c r="V20" s="76">
        <f t="shared" si="19"/>
        <v>0</v>
      </c>
      <c r="W20" s="76">
        <f t="shared" si="19"/>
        <v>0</v>
      </c>
      <c r="X20" s="76">
        <f t="shared" si="19"/>
        <v>0</v>
      </c>
      <c r="Y20" s="76">
        <f t="shared" si="19"/>
        <v>0</v>
      </c>
      <c r="Z20" s="76">
        <f t="shared" si="19"/>
        <v>0</v>
      </c>
      <c r="AA20" s="76">
        <f t="shared" si="19"/>
        <v>0</v>
      </c>
      <c r="AB20" s="76">
        <f t="shared" si="19"/>
        <v>0</v>
      </c>
      <c r="AC20" s="76">
        <f t="shared" si="19"/>
        <v>0</v>
      </c>
      <c r="AD20" s="76">
        <f t="shared" si="19"/>
        <v>134802.68</v>
      </c>
      <c r="AE20" s="76">
        <f t="shared" si="19"/>
        <v>10673.69</v>
      </c>
      <c r="AF20" s="76">
        <f t="shared" si="19"/>
        <v>7945.25</v>
      </c>
      <c r="AG20" s="76">
        <f t="shared" si="19"/>
        <v>2728.44</v>
      </c>
      <c r="AH20" s="76">
        <f t="shared" si="19"/>
        <v>103871.97</v>
      </c>
      <c r="AI20" s="76">
        <f t="shared" si="19"/>
        <v>0</v>
      </c>
      <c r="AJ20" s="76">
        <f t="shared" si="19"/>
        <v>103871.97</v>
      </c>
      <c r="AK20" s="76">
        <f t="shared" si="19"/>
        <v>0</v>
      </c>
      <c r="AL20" s="76">
        <f t="shared" si="19"/>
        <v>106600.41</v>
      </c>
      <c r="AM20" s="112"/>
      <c r="AN20" s="112"/>
      <c r="AO20" s="112"/>
      <c r="AP20" s="112"/>
      <c r="AQ20" s="112"/>
      <c r="AR20" s="46"/>
      <c r="AS20" s="46"/>
      <c r="AT20" s="120"/>
    </row>
    <row r="23" spans="30:30">
      <c r="AD23" s="103"/>
    </row>
    <row r="24" ht="18.75" customHeight="1" spans="2:33">
      <c r="B24" s="48" t="s">
        <v>175</v>
      </c>
      <c r="C24" s="48" t="s">
        <v>209</v>
      </c>
      <c r="D24" s="48" t="s">
        <v>22</v>
      </c>
      <c r="E24" s="48" t="s">
        <v>23</v>
      </c>
      <c r="AD24" s="10"/>
      <c r="AG24" s="19"/>
    </row>
    <row r="25" ht="18.75" customHeight="1" spans="2:5">
      <c r="B25" s="49">
        <f>AJ20</f>
        <v>103871.97</v>
      </c>
      <c r="C25" s="49">
        <f>AG20</f>
        <v>2728.44</v>
      </c>
      <c r="D25" s="49">
        <f>AK20</f>
        <v>0</v>
      </c>
      <c r="E25" s="49">
        <f>B25+C25</f>
        <v>106600.41</v>
      </c>
    </row>
    <row r="26" spans="2:5">
      <c r="B26" s="50"/>
      <c r="C26" s="50"/>
      <c r="D26" s="50"/>
      <c r="E26" s="50"/>
    </row>
    <row r="27" s="14" customFormat="1" spans="1:35">
      <c r="A27" s="52" t="s">
        <v>210</v>
      </c>
      <c r="B27" s="53" t="s">
        <v>211</v>
      </c>
      <c r="C27" s="51"/>
      <c r="D27" s="51"/>
      <c r="E27" s="51"/>
      <c r="G27" s="54"/>
      <c r="J27" s="77"/>
      <c r="M27" s="78"/>
      <c r="AI27" s="114"/>
    </row>
    <row r="28" s="14" customFormat="1" spans="1:35">
      <c r="A28" s="55"/>
      <c r="B28" s="56" t="s">
        <v>212</v>
      </c>
      <c r="C28" s="51"/>
      <c r="D28" s="51"/>
      <c r="E28" s="51"/>
      <c r="G28" s="54"/>
      <c r="J28" s="77"/>
      <c r="M28" s="78"/>
      <c r="AI28" s="114"/>
    </row>
    <row r="29" s="14" customFormat="1" spans="1:35">
      <c r="A29" s="53"/>
      <c r="B29" s="56" t="s">
        <v>213</v>
      </c>
      <c r="C29" s="57"/>
      <c r="D29" s="57"/>
      <c r="E29" s="57"/>
      <c r="F29" s="57"/>
      <c r="G29" s="57"/>
      <c r="H29" s="57"/>
      <c r="I29" s="57"/>
      <c r="J29" s="79"/>
      <c r="K29" s="57"/>
      <c r="L29" s="57"/>
      <c r="M29" s="80"/>
      <c r="N29" s="57"/>
      <c r="O29" s="57"/>
      <c r="P29" s="57"/>
      <c r="AI29" s="114"/>
    </row>
    <row r="30" s="14" customFormat="1" customHeight="1" spans="1:35">
      <c r="A30" s="56"/>
      <c r="B30" s="56" t="s">
        <v>214</v>
      </c>
      <c r="C30" s="58"/>
      <c r="D30" s="58"/>
      <c r="E30" s="58"/>
      <c r="F30" s="58"/>
      <c r="G30" s="58"/>
      <c r="H30" s="58"/>
      <c r="I30" s="81"/>
      <c r="J30" s="82"/>
      <c r="K30" s="81"/>
      <c r="L30" s="81"/>
      <c r="M30" s="83"/>
      <c r="N30" s="81"/>
      <c r="O30" s="81"/>
      <c r="P30" s="81"/>
      <c r="AI30" s="114"/>
    </row>
    <row r="31" s="14" customFormat="1" customHeight="1" spans="1:35">
      <c r="A31" s="56"/>
      <c r="B31" s="56" t="s">
        <v>215</v>
      </c>
      <c r="C31" s="58"/>
      <c r="D31" s="58"/>
      <c r="E31" s="58"/>
      <c r="F31" s="58"/>
      <c r="G31" s="58"/>
      <c r="H31" s="58"/>
      <c r="I31" s="58"/>
      <c r="J31" s="84"/>
      <c r="K31" s="58"/>
      <c r="L31" s="81"/>
      <c r="M31" s="83"/>
      <c r="N31" s="81"/>
      <c r="O31" s="81"/>
      <c r="P31" s="81"/>
      <c r="AI31" s="114"/>
    </row>
    <row r="32" s="14" customFormat="1" customHeight="1" spans="1:35">
      <c r="A32" s="56"/>
      <c r="B32" s="56" t="s">
        <v>216</v>
      </c>
      <c r="C32" s="58"/>
      <c r="D32" s="58"/>
      <c r="E32" s="58"/>
      <c r="F32" s="58"/>
      <c r="G32" s="58"/>
      <c r="H32" s="58"/>
      <c r="I32" s="81"/>
      <c r="J32" s="82"/>
      <c r="K32" s="81"/>
      <c r="L32" s="81"/>
      <c r="M32" s="83"/>
      <c r="N32" s="81"/>
      <c r="O32" s="81"/>
      <c r="P32" s="81"/>
      <c r="AI32" s="114"/>
    </row>
    <row r="34" ht="11.25" customHeight="1" spans="2:2">
      <c r="B34" s="59" t="s">
        <v>217</v>
      </c>
    </row>
    <row r="35" spans="2:2">
      <c r="B35" s="60" t="s">
        <v>218</v>
      </c>
    </row>
    <row r="36" spans="2:2">
      <c r="B36" s="60" t="s">
        <v>219</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E18">
    <cfRule type="duplicateValues" dxfId="3" priority="4"/>
    <cfRule type="duplicateValues" dxfId="3" priority="3"/>
    <cfRule type="duplicateValues" dxfId="3" priority="2" stopIfTrue="1"/>
    <cfRule type="duplicateValues" dxfId="3" priority="1"/>
  </conditionalFormatting>
  <conditionalFormatting sqref="B32">
    <cfRule type="duplicateValues" dxfId="3" priority="6" stopIfTrue="1"/>
  </conditionalFormatting>
  <conditionalFormatting sqref="B27:B31">
    <cfRule type="duplicateValues" dxfId="3" priority="7" stopIfTrue="1"/>
  </conditionalFormatting>
  <conditionalFormatting sqref="B35:B36">
    <cfRule type="duplicateValues" dxfId="3" priority="5" stopIfTrue="1"/>
  </conditionalFormatting>
  <conditionalFormatting sqref="C24:C26">
    <cfRule type="duplicateValues" dxfId="3" priority="8" stopIfTrue="1"/>
    <cfRule type="expression" dxfId="4" priority="9" stopIfTrue="1">
      <formula>AND(COUNTIF($B$20:$B$65456,C24)+COUNTIF($B$1:$B$3,C24)&gt;1,NOT(ISBLANK(C24)))</formula>
    </cfRule>
    <cfRule type="expression" dxfId="4" priority="10" stopIfTrue="1">
      <formula>AND(COUNTIF($B$31:$B$65407,C24)+COUNTIF($B$1:$B$30,C24)&gt;1,NOT(ISBLANK(C24)))</formula>
    </cfRule>
    <cfRule type="expression" dxfId="4" priority="11"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50"/>
    <pageSetUpPr fitToPage="1"/>
  </sheetPr>
  <dimension ref="A1:AT36"/>
  <sheetViews>
    <sheetView workbookViewId="0">
      <pane xSplit="6" ySplit="3" topLeftCell="G8" activePane="bottomRight" state="frozen"/>
      <selection/>
      <selection pane="topRight"/>
      <selection pane="bottomLeft"/>
      <selection pane="bottomRight" activeCell="P4" sqref="P4:P1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194</v>
      </c>
      <c r="C4" s="37" t="s">
        <v>61</v>
      </c>
      <c r="D4" s="37" t="s">
        <v>195</v>
      </c>
      <c r="E4" s="37" t="s">
        <v>62</v>
      </c>
      <c r="F4" s="38" t="s">
        <v>196</v>
      </c>
      <c r="G4" s="41">
        <v>13944441728</v>
      </c>
      <c r="H4" s="40"/>
      <c r="I4" s="40"/>
      <c r="J4" s="70"/>
      <c r="K4" s="40"/>
      <c r="L4" s="73">
        <v>8000</v>
      </c>
      <c r="M4" s="72">
        <v>296.26</v>
      </c>
      <c r="N4" s="72">
        <v>76.62</v>
      </c>
      <c r="O4" s="72">
        <v>11.11</v>
      </c>
      <c r="P4" s="72">
        <v>177</v>
      </c>
      <c r="Q4" s="91">
        <f>ROUND(SUM(M4:P4),2)</f>
        <v>560.99</v>
      </c>
      <c r="R4" s="73">
        <v>0</v>
      </c>
      <c r="S4" s="92">
        <f>L4+IFERROR(VLOOKUP($E:$E,'（居民）工资表-5月'!$E:$S,15,0),0)</f>
        <v>46000</v>
      </c>
      <c r="T4" s="93">
        <f>5000+IFERROR(VLOOKUP($E:$E,'（居民）工资表-5月'!$E:$T,16,0),0)</f>
        <v>30000</v>
      </c>
      <c r="U4" s="93">
        <f>Q4+IFERROR(VLOOKUP($E:$E,'（居民）工资表-5月'!$E:$U,17,0),0)</f>
        <v>3481.19</v>
      </c>
      <c r="V4" s="73"/>
      <c r="W4" s="73"/>
      <c r="X4" s="73"/>
      <c r="Y4" s="73"/>
      <c r="Z4" s="73"/>
      <c r="AA4" s="73"/>
      <c r="AB4" s="92">
        <f>ROUND(SUM(V4:AA4),2)</f>
        <v>0</v>
      </c>
      <c r="AC4" s="92">
        <f>R4+IFERROR(VLOOKUP($E:$E,'（居民）工资表-5月'!$E:$AC,25,0),0)</f>
        <v>0</v>
      </c>
      <c r="AD4" s="97">
        <f>ROUND(S4-T4-U4-AB4-AC4,2)</f>
        <v>12518.81</v>
      </c>
      <c r="AE4" s="98">
        <f>ROUND(MAX((AD4)*{0.03;0.1;0.2;0.25;0.3;0.35;0.45}-{0;2520;16920;31920;52920;85920;181920},0),2)</f>
        <v>375.56</v>
      </c>
      <c r="AF4" s="99">
        <f>IFERROR(VLOOKUP(E:E,'（居民）工资表-5月'!E:AF,28,0)+VLOOKUP(E:E,'（居民）工资表-5月'!E:AG,29,0),0)</f>
        <v>302.39</v>
      </c>
      <c r="AG4" s="99">
        <f>IF((AE4-AF4)&lt;0,0,AE4-AF4)</f>
        <v>73.17</v>
      </c>
      <c r="AH4" s="109">
        <f>ROUND(IF((L4-Q4-AG4)&lt;0,0,(L4-Q4-AG4)),2)</f>
        <v>7365.84</v>
      </c>
      <c r="AI4" s="110"/>
      <c r="AJ4" s="109">
        <f>AH4+AI4</f>
        <v>7365.84</v>
      </c>
      <c r="AK4" s="111"/>
      <c r="AL4" s="109">
        <f>AJ4+AG4+AK4</f>
        <v>7439.01</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IF(SUMPRODUCT(N(E$1:E$19=E4))&gt;1,"重复","不")</f>
        <v>不</v>
      </c>
      <c r="AT4" s="118" t="str">
        <f>IF(SUMPRODUCT(N(AO$1:AO$19=AO4))&gt;1,"重复","不")</f>
        <v>重复</v>
      </c>
    </row>
    <row r="5" s="12" customFormat="1" ht="18" customHeight="1" spans="1:46">
      <c r="A5" s="36">
        <v>2</v>
      </c>
      <c r="B5" s="37" t="s">
        <v>194</v>
      </c>
      <c r="C5" s="37" t="s">
        <v>101</v>
      </c>
      <c r="D5" s="37" t="s">
        <v>195</v>
      </c>
      <c r="E5" s="381" t="s">
        <v>102</v>
      </c>
      <c r="F5" s="38" t="s">
        <v>198</v>
      </c>
      <c r="G5" s="41">
        <v>15360550807</v>
      </c>
      <c r="H5" s="40"/>
      <c r="I5" s="40"/>
      <c r="J5" s="70"/>
      <c r="K5" s="40"/>
      <c r="L5" s="73">
        <v>5700</v>
      </c>
      <c r="M5" s="72">
        <v>367.04</v>
      </c>
      <c r="N5" s="72">
        <v>113.48</v>
      </c>
      <c r="O5" s="72">
        <v>4.6</v>
      </c>
      <c r="P5" s="72">
        <v>115</v>
      </c>
      <c r="Q5" s="91">
        <f>ROUND(SUM(M5:P5),2)</f>
        <v>600.12</v>
      </c>
      <c r="R5" s="73">
        <v>0</v>
      </c>
      <c r="S5" s="92">
        <f>L5+IFERROR(VLOOKUP($E:$E,'（居民）工资表-5月'!$E:$S,15,0),0)</f>
        <v>34200</v>
      </c>
      <c r="T5" s="93">
        <f>5000+IFERROR(VLOOKUP($E:$E,'（居民）工资表-5月'!$E:$T,16,0),0)</f>
        <v>30000</v>
      </c>
      <c r="U5" s="93">
        <f>Q5+IFERROR(VLOOKUP($E:$E,'（居民）工资表-5月'!$E:$U,17,0),0)</f>
        <v>3600.72</v>
      </c>
      <c r="V5" s="73"/>
      <c r="W5" s="73"/>
      <c r="X5" s="73"/>
      <c r="Y5" s="73"/>
      <c r="Z5" s="73"/>
      <c r="AA5" s="73"/>
      <c r="AB5" s="92">
        <f>ROUND(SUM(V5:AA5),2)</f>
        <v>0</v>
      </c>
      <c r="AC5" s="92">
        <f>R5+IFERROR(VLOOKUP($E:$E,'（居民）工资表-5月'!$E:$AC,25,0),0)</f>
        <v>0</v>
      </c>
      <c r="AD5" s="97">
        <f>ROUND(S5-T5-U5-AB5-AC5,2)</f>
        <v>599.28</v>
      </c>
      <c r="AE5" s="98">
        <f>ROUND(MAX((AD5)*{0.03;0.1;0.2;0.25;0.3;0.35;0.45}-{0;2520;16920;31920;52920;85920;181920},0),2)</f>
        <v>17.98</v>
      </c>
      <c r="AF5" s="99">
        <f>IFERROR(VLOOKUP(E:E,'（居民）工资表-5月'!E:AF,28,0)+VLOOKUP(E:E,'（居民）工资表-5月'!E:AG,29,0),0)</f>
        <v>14.98</v>
      </c>
      <c r="AG5" s="99">
        <f>IF((AE5-AF5)&lt;0,0,AE5-AF5)</f>
        <v>3</v>
      </c>
      <c r="AH5" s="109">
        <f>ROUND(IF((L5-Q5-AG5)&lt;0,0,(L5-Q5-AG5)),2)</f>
        <v>5096.88</v>
      </c>
      <c r="AI5" s="110"/>
      <c r="AJ5" s="109">
        <f>AH5+AI5</f>
        <v>5096.88</v>
      </c>
      <c r="AK5" s="111"/>
      <c r="AL5" s="109">
        <f>AJ5+AG5+AK5</f>
        <v>5099.88</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IF(SUMPRODUCT(N(E$1:E$19=E5))&gt;1,"重复","不")</f>
        <v>不</v>
      </c>
      <c r="AT5" s="118" t="str">
        <f>IF(SUMPRODUCT(N(AO$1:AO$19=AO5))&gt;1,"重复","不")</f>
        <v>重复</v>
      </c>
    </row>
    <row r="6" s="12" customFormat="1" ht="18" customHeight="1" spans="1:46">
      <c r="A6" s="36">
        <v>3</v>
      </c>
      <c r="B6" s="37" t="s">
        <v>194</v>
      </c>
      <c r="C6" s="37" t="s">
        <v>108</v>
      </c>
      <c r="D6" s="37" t="s">
        <v>195</v>
      </c>
      <c r="E6" s="381" t="s">
        <v>109</v>
      </c>
      <c r="F6" s="38" t="s">
        <v>196</v>
      </c>
      <c r="G6" s="41" t="s">
        <v>199</v>
      </c>
      <c r="H6" s="40"/>
      <c r="I6" s="40"/>
      <c r="J6" s="70"/>
      <c r="K6" s="40"/>
      <c r="L6" s="73">
        <v>30060</v>
      </c>
      <c r="M6" s="72">
        <v>521.6</v>
      </c>
      <c r="N6" s="72">
        <v>130.4</v>
      </c>
      <c r="O6" s="72">
        <v>32.6</v>
      </c>
      <c r="P6" s="72">
        <v>181.3</v>
      </c>
      <c r="Q6" s="91">
        <f>ROUND(SUM(M6:P6),2)</f>
        <v>865.9</v>
      </c>
      <c r="R6" s="73">
        <v>0</v>
      </c>
      <c r="S6" s="92">
        <f>L6+IFERROR(VLOOKUP($E:$E,'（居民）工资表-5月'!$E:$S,15,0),0)</f>
        <v>180360</v>
      </c>
      <c r="T6" s="93">
        <f>5000+IFERROR(VLOOKUP($E:$E,'（居民）工资表-5月'!$E:$T,16,0),0)</f>
        <v>30000</v>
      </c>
      <c r="U6" s="93">
        <f>Q6+IFERROR(VLOOKUP($E:$E,'（居民）工资表-5月'!$E:$U,17,0),0)</f>
        <v>5195.4</v>
      </c>
      <c r="V6" s="73"/>
      <c r="W6" s="73"/>
      <c r="X6" s="73"/>
      <c r="Y6" s="73"/>
      <c r="Z6" s="73"/>
      <c r="AA6" s="73"/>
      <c r="AB6" s="92">
        <f>ROUND(SUM(V6:AA6),2)</f>
        <v>0</v>
      </c>
      <c r="AC6" s="92">
        <f>R6+IFERROR(VLOOKUP($E:$E,'（居民）工资表-5月'!$E:$AC,25,0),0)</f>
        <v>0</v>
      </c>
      <c r="AD6" s="97">
        <f>ROUND(S6-T6-U6-AB6-AC6,2)</f>
        <v>145164.6</v>
      </c>
      <c r="AE6" s="98">
        <f>ROUND(MAX((AD6)*{0.03;0.1;0.2;0.25;0.3;0.35;0.45}-{0;2520;16920;31920;52920;85920;181920},0),2)</f>
        <v>12112.92</v>
      </c>
      <c r="AF6" s="99">
        <f>IFERROR(VLOOKUP(E:E,'（居民）工资表-5月'!E:AF,28,0)+VLOOKUP(E:E,'（居民）工资表-5月'!E:AG,29,0),0)</f>
        <v>9577.05</v>
      </c>
      <c r="AG6" s="99">
        <f>IF((AE6-AF6)&lt;0,0,AE6-AF6)</f>
        <v>2535.87</v>
      </c>
      <c r="AH6" s="109">
        <f>ROUND(IF((L6-Q6-AG6)&lt;0,0,(L6-Q6-AG6)),2)</f>
        <v>26658.23</v>
      </c>
      <c r="AI6" s="110"/>
      <c r="AJ6" s="109">
        <f>AH6+AI6</f>
        <v>26658.23</v>
      </c>
      <c r="AK6" s="111"/>
      <c r="AL6" s="109">
        <f>AJ6+AG6+AK6</f>
        <v>29194.1</v>
      </c>
      <c r="AM6" s="111"/>
      <c r="AN6" s="111"/>
      <c r="AO6" s="111"/>
      <c r="AP6" s="111"/>
      <c r="AQ6" s="111"/>
      <c r="AR6" s="11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IF(SUMPRODUCT(N(E$1:E$19=E6))&gt;1,"重复","不")</f>
        <v>不</v>
      </c>
      <c r="AT6" s="118" t="str">
        <f>IF(SUMPRODUCT(N(AO$1:AO$19=AO6))&gt;1,"重复","不")</f>
        <v>重复</v>
      </c>
    </row>
    <row r="7" s="12" customFormat="1" ht="18" customHeight="1" spans="1:46">
      <c r="A7" s="36">
        <v>4</v>
      </c>
      <c r="B7" s="37" t="s">
        <v>194</v>
      </c>
      <c r="C7" s="37" t="s">
        <v>112</v>
      </c>
      <c r="D7" s="37" t="s">
        <v>195</v>
      </c>
      <c r="E7" s="381" t="s">
        <v>113</v>
      </c>
      <c r="F7" s="38" t="s">
        <v>196</v>
      </c>
      <c r="G7" s="41" t="s">
        <v>201</v>
      </c>
      <c r="H7" s="40"/>
      <c r="I7" s="40"/>
      <c r="J7" s="70"/>
      <c r="K7" s="40"/>
      <c r="L7" s="73">
        <v>7000</v>
      </c>
      <c r="M7" s="72">
        <v>306.56</v>
      </c>
      <c r="N7" s="72">
        <v>84.64</v>
      </c>
      <c r="O7" s="72">
        <v>19.16</v>
      </c>
      <c r="P7" s="72">
        <v>97</v>
      </c>
      <c r="Q7" s="91">
        <f t="shared" ref="Q7:Q18" si="0">ROUND(SUM(M7:P7),2)</f>
        <v>507.36</v>
      </c>
      <c r="R7" s="73">
        <v>0</v>
      </c>
      <c r="S7" s="92">
        <f>L7+IFERROR(VLOOKUP($E:$E,'（居民）工资表-5月'!$E:$S,15,0),0)</f>
        <v>40000</v>
      </c>
      <c r="T7" s="93">
        <f>5000+IFERROR(VLOOKUP($E:$E,'（居民）工资表-5月'!$E:$T,16,0),0)</f>
        <v>30000</v>
      </c>
      <c r="U7" s="93">
        <f>Q7+IFERROR(VLOOKUP($E:$E,'（居民）工资表-5月'!$E:$U,17,0),0)</f>
        <v>3274.42</v>
      </c>
      <c r="V7" s="73"/>
      <c r="W7" s="73"/>
      <c r="X7" s="73"/>
      <c r="Y7" s="73"/>
      <c r="Z7" s="73"/>
      <c r="AA7" s="73"/>
      <c r="AB7" s="92">
        <f t="shared" ref="AB7:AB18" si="1">ROUND(SUM(V7:AA7),2)</f>
        <v>0</v>
      </c>
      <c r="AC7" s="92">
        <f>R7+IFERROR(VLOOKUP($E:$E,'（居民）工资表-5月'!$E:$AC,25,0),0)</f>
        <v>0</v>
      </c>
      <c r="AD7" s="97">
        <f t="shared" ref="AD7:AD18" si="2">ROUND(S7-T7-U7-AB7-AC7,2)</f>
        <v>6725.58</v>
      </c>
      <c r="AE7" s="98">
        <f>ROUND(MAX((AD7)*{0.03;0.1;0.2;0.25;0.3;0.35;0.45}-{0;2520;16920;31920;52920;85920;181920},0),2)</f>
        <v>201.77</v>
      </c>
      <c r="AF7" s="99">
        <f>IFERROR(VLOOKUP(E:E,'（居民）工资表-5月'!E:AF,28,0)+VLOOKUP(E:E,'（居民）工资表-5月'!E:AG,29,0),0)</f>
        <v>156.99</v>
      </c>
      <c r="AG7" s="99">
        <f t="shared" ref="AG7:AG18" si="3">IF((AE7-AF7)&lt;0,0,AE7-AF7)</f>
        <v>44.78</v>
      </c>
      <c r="AH7" s="109">
        <f t="shared" ref="AH7:AH18" si="4">ROUND(IF((L7-Q7-AG7)&lt;0,0,(L7-Q7-AG7)),2)</f>
        <v>6447.86</v>
      </c>
      <c r="AI7" s="110"/>
      <c r="AJ7" s="109">
        <f t="shared" ref="AJ7:AJ18" si="5">AH7+AI7</f>
        <v>6447.86</v>
      </c>
      <c r="AK7" s="111"/>
      <c r="AL7" s="109">
        <f t="shared" ref="AL7:AL18" si="6">AJ7+AG7+AK7</f>
        <v>6492.64</v>
      </c>
      <c r="AM7" s="111"/>
      <c r="AN7" s="111"/>
      <c r="AO7" s="111"/>
      <c r="AP7" s="111"/>
      <c r="AQ7" s="111"/>
      <c r="AR7" s="118"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8" t="str">
        <f t="shared" ref="AS7:AS17" si="8">IF(SUMPRODUCT(N(E$1:E$19=E7))&gt;1,"重复","不")</f>
        <v>不</v>
      </c>
      <c r="AT7" s="118" t="str">
        <f t="shared" ref="AT7:AT17" si="9">IF(SUMPRODUCT(N(AO$1:AO$19=AO7))&gt;1,"重复","不")</f>
        <v>重复</v>
      </c>
    </row>
    <row r="8" s="12" customFormat="1" ht="18" customHeight="1" spans="1:46">
      <c r="A8" s="36">
        <v>5</v>
      </c>
      <c r="B8" s="37" t="s">
        <v>194</v>
      </c>
      <c r="C8" s="37" t="s">
        <v>119</v>
      </c>
      <c r="D8" s="37" t="s">
        <v>195</v>
      </c>
      <c r="E8" s="381" t="s">
        <v>120</v>
      </c>
      <c r="F8" s="38" t="s">
        <v>196</v>
      </c>
      <c r="G8" s="41">
        <v>19356875630</v>
      </c>
      <c r="H8" s="40"/>
      <c r="I8" s="40"/>
      <c r="J8" s="70"/>
      <c r="K8" s="40"/>
      <c r="L8" s="73">
        <v>9500</v>
      </c>
      <c r="M8" s="72">
        <v>306.56</v>
      </c>
      <c r="N8" s="72">
        <v>82.64</v>
      </c>
      <c r="O8" s="72">
        <v>19.16</v>
      </c>
      <c r="P8" s="72">
        <v>172</v>
      </c>
      <c r="Q8" s="91">
        <f t="shared" si="0"/>
        <v>580.36</v>
      </c>
      <c r="R8" s="73">
        <v>0</v>
      </c>
      <c r="S8" s="92">
        <f>L8+IFERROR(VLOOKUP($E:$E,'（居民）工资表-5月'!$E:$S,15,0),0)</f>
        <v>46500</v>
      </c>
      <c r="T8" s="93">
        <f>5000+IFERROR(VLOOKUP($E:$E,'（居民）工资表-5月'!$E:$T,16,0),0)</f>
        <v>30000</v>
      </c>
      <c r="U8" s="93">
        <f>Q8+IFERROR(VLOOKUP($E:$E,'（居民）工资表-5月'!$E:$U,17,0),0)</f>
        <v>3822.42</v>
      </c>
      <c r="V8" s="73"/>
      <c r="W8" s="73"/>
      <c r="X8" s="73"/>
      <c r="Y8" s="73"/>
      <c r="Z8" s="73"/>
      <c r="AA8" s="73"/>
      <c r="AB8" s="92">
        <f t="shared" si="1"/>
        <v>0</v>
      </c>
      <c r="AC8" s="92">
        <f>R8+IFERROR(VLOOKUP($E:$E,'（居民）工资表-5月'!$E:$AC,25,0),0)</f>
        <v>0</v>
      </c>
      <c r="AD8" s="97">
        <f t="shared" si="2"/>
        <v>12677.58</v>
      </c>
      <c r="AE8" s="98">
        <f>ROUND(MAX((AD8)*{0.03;0.1;0.2;0.25;0.3;0.35;0.45}-{0;2520;16920;31920;52920;85920;181920},0),2)</f>
        <v>380.33</v>
      </c>
      <c r="AF8" s="99">
        <f>IFERROR(VLOOKUP(E:E,'（居民）工资表-5月'!E:AF,28,0)+VLOOKUP(E:E,'（居民）工资表-5月'!E:AG,29,0),0)</f>
        <v>262.74</v>
      </c>
      <c r="AG8" s="99">
        <f t="shared" si="3"/>
        <v>117.59</v>
      </c>
      <c r="AH8" s="109">
        <f t="shared" si="4"/>
        <v>8802.05</v>
      </c>
      <c r="AI8" s="110"/>
      <c r="AJ8" s="109">
        <f t="shared" si="5"/>
        <v>8802.05</v>
      </c>
      <c r="AK8" s="111"/>
      <c r="AL8" s="109">
        <f t="shared" si="6"/>
        <v>8919.64</v>
      </c>
      <c r="AM8" s="111"/>
      <c r="AN8" s="111"/>
      <c r="AO8" s="111"/>
      <c r="AP8" s="111"/>
      <c r="AQ8" s="111"/>
      <c r="AR8" s="118" t="str">
        <f t="shared" si="7"/>
        <v>正确</v>
      </c>
      <c r="AS8" s="118" t="str">
        <f t="shared" si="8"/>
        <v>不</v>
      </c>
      <c r="AT8" s="118" t="str">
        <f t="shared" si="9"/>
        <v>重复</v>
      </c>
    </row>
    <row r="9" s="12" customFormat="1" ht="18" customHeight="1" spans="1:46">
      <c r="A9" s="36">
        <v>6</v>
      </c>
      <c r="B9" s="37" t="s">
        <v>194</v>
      </c>
      <c r="C9" s="37" t="s">
        <v>131</v>
      </c>
      <c r="D9" s="37" t="s">
        <v>195</v>
      </c>
      <c r="E9" s="381" t="s">
        <v>132</v>
      </c>
      <c r="F9" s="38" t="s">
        <v>196</v>
      </c>
      <c r="G9" s="41">
        <v>13973652684</v>
      </c>
      <c r="H9" s="40"/>
      <c r="I9" s="40"/>
      <c r="J9" s="70"/>
      <c r="K9" s="40"/>
      <c r="L9" s="73">
        <v>6500</v>
      </c>
      <c r="M9" s="72">
        <v>315.6</v>
      </c>
      <c r="N9" s="72">
        <v>86.72</v>
      </c>
      <c r="O9" s="72">
        <v>11.84</v>
      </c>
      <c r="P9" s="72">
        <v>100</v>
      </c>
      <c r="Q9" s="91">
        <f t="shared" si="0"/>
        <v>514.16</v>
      </c>
      <c r="R9" s="73">
        <v>0</v>
      </c>
      <c r="S9" s="92">
        <f>L9+IFERROR(VLOOKUP($E:$E,'（居民）工资表-5月'!$E:$S,15,0),0)</f>
        <v>39000</v>
      </c>
      <c r="T9" s="93">
        <f>5000+IFERROR(VLOOKUP($E:$E,'（居民）工资表-5月'!$E:$T,16,0),0)</f>
        <v>30000</v>
      </c>
      <c r="U9" s="93">
        <f>Q9+IFERROR(VLOOKUP($E:$E,'（居民）工资表-5月'!$E:$U,17,0),0)</f>
        <v>3126.46</v>
      </c>
      <c r="V9" s="73"/>
      <c r="W9" s="73"/>
      <c r="X9" s="73"/>
      <c r="Y9" s="73"/>
      <c r="Z9" s="73"/>
      <c r="AA9" s="73"/>
      <c r="AB9" s="92">
        <f t="shared" si="1"/>
        <v>0</v>
      </c>
      <c r="AC9" s="92">
        <f>R9+IFERROR(VLOOKUP($E:$E,'（居民）工资表-5月'!$E:$AC,25,0),0)</f>
        <v>0</v>
      </c>
      <c r="AD9" s="97">
        <f t="shared" si="2"/>
        <v>5873.54</v>
      </c>
      <c r="AE9" s="98">
        <f>ROUND(MAX((AD9)*{0.03;0.1;0.2;0.25;0.3;0.35;0.45}-{0;2520;16920;31920;52920;85920;181920},0),2)</f>
        <v>176.21</v>
      </c>
      <c r="AF9" s="99">
        <f>IFERROR(VLOOKUP(E:E,'（居民）工资表-5月'!E:AF,28,0)+VLOOKUP(E:E,'（居民）工资表-5月'!E:AG,29,0),0)</f>
        <v>146.63</v>
      </c>
      <c r="AG9" s="99">
        <f t="shared" si="3"/>
        <v>29.58</v>
      </c>
      <c r="AH9" s="109">
        <f t="shared" si="4"/>
        <v>5956.26</v>
      </c>
      <c r="AI9" s="110"/>
      <c r="AJ9" s="109">
        <f t="shared" si="5"/>
        <v>5956.26</v>
      </c>
      <c r="AK9" s="111"/>
      <c r="AL9" s="109">
        <f t="shared" si="6"/>
        <v>5985.84</v>
      </c>
      <c r="AM9" s="111"/>
      <c r="AN9" s="111"/>
      <c r="AO9" s="111"/>
      <c r="AP9" s="111"/>
      <c r="AQ9" s="111"/>
      <c r="AR9" s="118" t="str">
        <f t="shared" si="7"/>
        <v>正确</v>
      </c>
      <c r="AS9" s="118" t="str">
        <f t="shared" si="8"/>
        <v>不</v>
      </c>
      <c r="AT9" s="118" t="str">
        <f t="shared" si="9"/>
        <v>重复</v>
      </c>
    </row>
    <row r="10" s="12" customFormat="1" ht="18" customHeight="1" spans="1:46">
      <c r="A10" s="36">
        <v>7</v>
      </c>
      <c r="B10" s="37" t="s">
        <v>194</v>
      </c>
      <c r="C10" s="37" t="s">
        <v>134</v>
      </c>
      <c r="D10" s="37" t="s">
        <v>195</v>
      </c>
      <c r="E10" s="381" t="s">
        <v>135</v>
      </c>
      <c r="F10" s="38" t="s">
        <v>196</v>
      </c>
      <c r="G10" s="41" t="s">
        <v>203</v>
      </c>
      <c r="H10" s="40"/>
      <c r="I10" s="40"/>
      <c r="J10" s="70"/>
      <c r="K10" s="40"/>
      <c r="L10" s="73">
        <v>5500</v>
      </c>
      <c r="M10" s="72">
        <v>316.56</v>
      </c>
      <c r="N10" s="72">
        <v>84.14</v>
      </c>
      <c r="O10" s="72">
        <v>19.79</v>
      </c>
      <c r="P10" s="72">
        <v>105</v>
      </c>
      <c r="Q10" s="91">
        <f t="shared" si="0"/>
        <v>525.49</v>
      </c>
      <c r="R10" s="73">
        <v>0</v>
      </c>
      <c r="S10" s="92">
        <f>L10+IFERROR(VLOOKUP($E:$E,'（居民）工资表-5月'!$E:$S,15,0),0)</f>
        <v>33000</v>
      </c>
      <c r="T10" s="93">
        <f>5000+IFERROR(VLOOKUP($E:$E,'（居民）工资表-5月'!$E:$T,16,0),0)</f>
        <v>30000</v>
      </c>
      <c r="U10" s="93">
        <f>Q10+IFERROR(VLOOKUP($E:$E,'（居民）工资表-5月'!$E:$U,17,0),0)</f>
        <v>3152.94</v>
      </c>
      <c r="V10" s="73"/>
      <c r="W10" s="73"/>
      <c r="X10" s="73"/>
      <c r="Y10" s="73"/>
      <c r="Z10" s="73"/>
      <c r="AA10" s="73"/>
      <c r="AB10" s="92">
        <f t="shared" si="1"/>
        <v>0</v>
      </c>
      <c r="AC10" s="92">
        <f>R10+IFERROR(VLOOKUP($E:$E,'（居民）工资表-5月'!$E:$AC,25,0),0)</f>
        <v>0</v>
      </c>
      <c r="AD10" s="97">
        <f t="shared" si="2"/>
        <v>-152.94</v>
      </c>
      <c r="AE10" s="98">
        <f>ROUND(MAX((AD10)*{0.03;0.1;0.2;0.25;0.3;0.35;0.45}-{0;2520;16920;31920;52920;85920;181920},0),2)</f>
        <v>0</v>
      </c>
      <c r="AF10" s="99">
        <f>IFERROR(VLOOKUP(E:E,'（居民）工资表-5月'!E:AF,28,0)+VLOOKUP(E:E,'（居民）工资表-5月'!E:AG,29,0),0)</f>
        <v>0</v>
      </c>
      <c r="AG10" s="99">
        <f t="shared" si="3"/>
        <v>0</v>
      </c>
      <c r="AH10" s="109">
        <f t="shared" si="4"/>
        <v>4974.51</v>
      </c>
      <c r="AI10" s="110"/>
      <c r="AJ10" s="109">
        <f t="shared" si="5"/>
        <v>4974.51</v>
      </c>
      <c r="AK10" s="111"/>
      <c r="AL10" s="109">
        <f t="shared" si="6"/>
        <v>4974.51</v>
      </c>
      <c r="AM10" s="111"/>
      <c r="AN10" s="111"/>
      <c r="AO10" s="111"/>
      <c r="AP10" s="111"/>
      <c r="AQ10" s="111"/>
      <c r="AR10" s="118" t="str">
        <f t="shared" si="7"/>
        <v>正确</v>
      </c>
      <c r="AS10" s="118" t="str">
        <f t="shared" si="8"/>
        <v>不</v>
      </c>
      <c r="AT10" s="118" t="str">
        <f t="shared" si="9"/>
        <v>重复</v>
      </c>
    </row>
    <row r="11" s="12" customFormat="1" ht="18" customHeight="1" spans="1:46">
      <c r="A11" s="36">
        <v>8</v>
      </c>
      <c r="B11" s="37" t="s">
        <v>194</v>
      </c>
      <c r="C11" s="37" t="s">
        <v>138</v>
      </c>
      <c r="D11" s="37" t="s">
        <v>195</v>
      </c>
      <c r="E11" s="381" t="s">
        <v>139</v>
      </c>
      <c r="F11" s="38" t="s">
        <v>198</v>
      </c>
      <c r="G11" s="41" t="s">
        <v>205</v>
      </c>
      <c r="H11" s="40"/>
      <c r="I11" s="40"/>
      <c r="J11" s="70"/>
      <c r="K11" s="40"/>
      <c r="L11" s="73">
        <v>4598.8</v>
      </c>
      <c r="M11" s="72">
        <v>352</v>
      </c>
      <c r="N11" s="72">
        <v>110</v>
      </c>
      <c r="O11" s="72">
        <v>22</v>
      </c>
      <c r="P11" s="72">
        <v>109</v>
      </c>
      <c r="Q11" s="91">
        <f t="shared" si="0"/>
        <v>593</v>
      </c>
      <c r="R11" s="73">
        <v>0</v>
      </c>
      <c r="S11" s="92">
        <f>L11+IFERROR(VLOOKUP($E:$E,'（居民）工资表-5月'!$E:$S,15,0),0)</f>
        <v>27592.8</v>
      </c>
      <c r="T11" s="93">
        <f>5000+IFERROR(VLOOKUP($E:$E,'（居民）工资表-5月'!$E:$T,16,0),0)</f>
        <v>30000</v>
      </c>
      <c r="U11" s="93">
        <f>Q11+IFERROR(VLOOKUP($E:$E,'（居民）工资表-5月'!$E:$U,17,0),0)</f>
        <v>3557</v>
      </c>
      <c r="V11" s="73"/>
      <c r="W11" s="73"/>
      <c r="X11" s="73"/>
      <c r="Y11" s="73"/>
      <c r="Z11" s="73"/>
      <c r="AA11" s="73"/>
      <c r="AB11" s="92">
        <f t="shared" si="1"/>
        <v>0</v>
      </c>
      <c r="AC11" s="92">
        <f>R11+IFERROR(VLOOKUP($E:$E,'（居民）工资表-5月'!$E:$AC,25,0),0)</f>
        <v>0</v>
      </c>
      <c r="AD11" s="97">
        <f t="shared" si="2"/>
        <v>-5964.2</v>
      </c>
      <c r="AE11" s="98">
        <f>ROUND(MAX((AD11)*{0.03;0.1;0.2;0.25;0.3;0.35;0.45}-{0;2520;16920;31920;52920;85920;181920},0),2)</f>
        <v>0</v>
      </c>
      <c r="AF11" s="99">
        <f>IFERROR(VLOOKUP(E:E,'（居民）工资表-5月'!E:AF,28,0)+VLOOKUP(E:E,'（居民）工资表-5月'!E:AG,29,0),0)</f>
        <v>0</v>
      </c>
      <c r="AG11" s="99">
        <f t="shared" si="3"/>
        <v>0</v>
      </c>
      <c r="AH11" s="109">
        <f t="shared" si="4"/>
        <v>4005.8</v>
      </c>
      <c r="AI11" s="110"/>
      <c r="AJ11" s="109">
        <f t="shared" si="5"/>
        <v>4005.8</v>
      </c>
      <c r="AK11" s="111"/>
      <c r="AL11" s="109">
        <f t="shared" si="6"/>
        <v>4005.8</v>
      </c>
      <c r="AM11" s="111"/>
      <c r="AN11" s="111"/>
      <c r="AO11" s="111"/>
      <c r="AP11" s="111"/>
      <c r="AQ11" s="111"/>
      <c r="AR11" s="118" t="str">
        <f t="shared" si="7"/>
        <v>正确</v>
      </c>
      <c r="AS11" s="118" t="str">
        <f t="shared" si="8"/>
        <v>不</v>
      </c>
      <c r="AT11" s="118" t="str">
        <f t="shared" si="9"/>
        <v>重复</v>
      </c>
    </row>
    <row r="12" s="12" customFormat="1" ht="18" customHeight="1" spans="1:46">
      <c r="A12" s="36">
        <v>9</v>
      </c>
      <c r="B12" s="37" t="s">
        <v>194</v>
      </c>
      <c r="C12" s="37" t="s">
        <v>128</v>
      </c>
      <c r="D12" s="37" t="s">
        <v>195</v>
      </c>
      <c r="E12" s="381" t="s">
        <v>129</v>
      </c>
      <c r="F12" s="38" t="s">
        <v>196</v>
      </c>
      <c r="G12" s="41">
        <v>18356553626</v>
      </c>
      <c r="H12" s="40"/>
      <c r="I12" s="40"/>
      <c r="J12" s="70"/>
      <c r="K12" s="40"/>
      <c r="L12" s="73">
        <v>7000</v>
      </c>
      <c r="M12" s="72">
        <v>306.56</v>
      </c>
      <c r="N12" s="72">
        <v>112.49</v>
      </c>
      <c r="O12" s="72">
        <v>19.16</v>
      </c>
      <c r="P12" s="72">
        <v>97</v>
      </c>
      <c r="Q12" s="91">
        <f t="shared" si="0"/>
        <v>535.21</v>
      </c>
      <c r="R12" s="73">
        <v>0</v>
      </c>
      <c r="S12" s="92">
        <f>L12+IFERROR(VLOOKUP($E:$E,'（居民）工资表-5月'!$E:$S,15,0),0)</f>
        <v>38118.18</v>
      </c>
      <c r="T12" s="93">
        <f>5000+IFERROR(VLOOKUP($E:$E,'（居民）工资表-5月'!$E:$T,16,0),0)</f>
        <v>30000</v>
      </c>
      <c r="U12" s="93">
        <f>Q12+IFERROR(VLOOKUP($E:$E,'（居民）工资表-5月'!$E:$U,17,0),0)</f>
        <v>3196.3</v>
      </c>
      <c r="V12" s="73"/>
      <c r="W12" s="73"/>
      <c r="X12" s="73"/>
      <c r="Y12" s="73"/>
      <c r="Z12" s="73"/>
      <c r="AA12" s="73"/>
      <c r="AB12" s="92">
        <f t="shared" si="1"/>
        <v>0</v>
      </c>
      <c r="AC12" s="92">
        <f>R12+IFERROR(VLOOKUP($E:$E,'（居民）工资表-5月'!$E:$AC,25,0),0)</f>
        <v>0</v>
      </c>
      <c r="AD12" s="97">
        <f t="shared" si="2"/>
        <v>4921.88</v>
      </c>
      <c r="AE12" s="98">
        <f>ROUND(MAX((AD12)*{0.03;0.1;0.2;0.25;0.3;0.35;0.45}-{0;2520;16920;31920;52920;85920;181920},0),2)</f>
        <v>147.66</v>
      </c>
      <c r="AF12" s="99">
        <f>IFERROR(VLOOKUP(E:E,'（居民）工资表-5月'!E:AF,28,0)+VLOOKUP(E:E,'（居民）工资表-5月'!E:AG,29,0),0)</f>
        <v>103.71</v>
      </c>
      <c r="AG12" s="99">
        <f t="shared" si="3"/>
        <v>43.95</v>
      </c>
      <c r="AH12" s="109">
        <f t="shared" si="4"/>
        <v>6420.84</v>
      </c>
      <c r="AI12" s="110"/>
      <c r="AJ12" s="109">
        <f t="shared" si="5"/>
        <v>6420.84</v>
      </c>
      <c r="AK12" s="111"/>
      <c r="AL12" s="109">
        <f t="shared" si="6"/>
        <v>6464.79</v>
      </c>
      <c r="AM12" s="111"/>
      <c r="AN12" s="111"/>
      <c r="AO12" s="111"/>
      <c r="AP12" s="111"/>
      <c r="AQ12" s="111"/>
      <c r="AR12" s="118" t="str">
        <f t="shared" si="7"/>
        <v>正确</v>
      </c>
      <c r="AS12" s="118" t="str">
        <f t="shared" si="8"/>
        <v>不</v>
      </c>
      <c r="AT12" s="118" t="str">
        <f t="shared" si="9"/>
        <v>重复</v>
      </c>
    </row>
    <row r="13" s="12" customFormat="1" ht="18" customHeight="1" spans="1:46">
      <c r="A13" s="36">
        <v>10</v>
      </c>
      <c r="B13" s="37" t="s">
        <v>194</v>
      </c>
      <c r="C13" s="37" t="s">
        <v>123</v>
      </c>
      <c r="D13" s="37" t="s">
        <v>195</v>
      </c>
      <c r="E13" s="381" t="s">
        <v>124</v>
      </c>
      <c r="F13" s="38" t="s">
        <v>196</v>
      </c>
      <c r="G13" s="41">
        <v>18326897140</v>
      </c>
      <c r="H13" s="40"/>
      <c r="I13" s="40"/>
      <c r="J13" s="70"/>
      <c r="K13" s="40"/>
      <c r="L13" s="73">
        <v>7000</v>
      </c>
      <c r="M13" s="72">
        <v>306.56</v>
      </c>
      <c r="N13" s="72">
        <v>82.64</v>
      </c>
      <c r="O13" s="72">
        <v>19.16</v>
      </c>
      <c r="P13" s="72">
        <v>172</v>
      </c>
      <c r="Q13" s="91">
        <f t="shared" si="0"/>
        <v>580.36</v>
      </c>
      <c r="R13" s="73">
        <v>0</v>
      </c>
      <c r="S13" s="92">
        <f>L13+IFERROR(VLOOKUP($E:$E,'（居民）工资表-5月'!$E:$S,15,0),0)</f>
        <v>31450</v>
      </c>
      <c r="T13" s="93">
        <f>5000+IFERROR(VLOOKUP($E:$E,'（居民）工资表-5月'!$E:$T,16,0),0)</f>
        <v>30000</v>
      </c>
      <c r="U13" s="93">
        <f>Q13+IFERROR(VLOOKUP($E:$E,'（居民）工资表-5月'!$E:$U,17,0),0)</f>
        <v>3611.37</v>
      </c>
      <c r="V13" s="73"/>
      <c r="W13" s="73"/>
      <c r="X13" s="73"/>
      <c r="Y13" s="73"/>
      <c r="Z13" s="73"/>
      <c r="AA13" s="73"/>
      <c r="AB13" s="92">
        <f t="shared" si="1"/>
        <v>0</v>
      </c>
      <c r="AC13" s="92">
        <f>R13+IFERROR(VLOOKUP($E:$E,'（居民）工资表-5月'!$E:$AC,25,0),0)</f>
        <v>0</v>
      </c>
      <c r="AD13" s="97">
        <f t="shared" si="2"/>
        <v>-2161.37</v>
      </c>
      <c r="AE13" s="98">
        <f>ROUND(MAX((AD13)*{0.03;0.1;0.2;0.25;0.3;0.35;0.45}-{0;2520;16920;31920;52920;85920;181920},0),2)</f>
        <v>0</v>
      </c>
      <c r="AF13" s="99">
        <f>IFERROR(VLOOKUP(E:E,'（居民）工资表-5月'!E:AF,28,0)+VLOOKUP(E:E,'（居民）工资表-5月'!E:AG,29,0),0)</f>
        <v>0</v>
      </c>
      <c r="AG13" s="99">
        <f t="shared" si="3"/>
        <v>0</v>
      </c>
      <c r="AH13" s="109">
        <f t="shared" si="4"/>
        <v>6419.64</v>
      </c>
      <c r="AI13" s="110"/>
      <c r="AJ13" s="109">
        <f t="shared" si="5"/>
        <v>6419.64</v>
      </c>
      <c r="AK13" s="111"/>
      <c r="AL13" s="109">
        <f t="shared" si="6"/>
        <v>6419.64</v>
      </c>
      <c r="AM13" s="111"/>
      <c r="AN13" s="111"/>
      <c r="AO13" s="111"/>
      <c r="AP13" s="111"/>
      <c r="AQ13" s="111"/>
      <c r="AR13" s="118" t="str">
        <f t="shared" si="7"/>
        <v>正确</v>
      </c>
      <c r="AS13" s="118" t="str">
        <f t="shared" si="8"/>
        <v>不</v>
      </c>
      <c r="AT13" s="118" t="str">
        <f t="shared" si="9"/>
        <v>重复</v>
      </c>
    </row>
    <row r="14" s="12" customFormat="1" ht="18" customHeight="1" spans="1:46">
      <c r="A14" s="36">
        <v>11</v>
      </c>
      <c r="B14" s="37" t="s">
        <v>194</v>
      </c>
      <c r="C14" s="37" t="s">
        <v>121</v>
      </c>
      <c r="D14" s="37" t="s">
        <v>195</v>
      </c>
      <c r="E14" s="381" t="s">
        <v>122</v>
      </c>
      <c r="F14" s="38" t="s">
        <v>196</v>
      </c>
      <c r="G14" s="41">
        <v>17201857014</v>
      </c>
      <c r="H14" s="40"/>
      <c r="I14" s="40"/>
      <c r="J14" s="70"/>
      <c r="K14" s="40"/>
      <c r="L14" s="73">
        <v>7000</v>
      </c>
      <c r="M14" s="72">
        <v>306.56</v>
      </c>
      <c r="N14" s="72">
        <v>82.64</v>
      </c>
      <c r="O14" s="72">
        <v>19.16</v>
      </c>
      <c r="P14" s="72">
        <v>172</v>
      </c>
      <c r="Q14" s="91">
        <f t="shared" si="0"/>
        <v>580.36</v>
      </c>
      <c r="R14" s="73">
        <v>0</v>
      </c>
      <c r="S14" s="92">
        <f>L14+IFERROR(VLOOKUP($E:$E,'（居民）工资表-5月'!$E:$S,15,0),0)</f>
        <v>31550</v>
      </c>
      <c r="T14" s="93">
        <f>5000+IFERROR(VLOOKUP($E:$E,'（居民）工资表-5月'!$E:$T,16,0),0)</f>
        <v>30000</v>
      </c>
      <c r="U14" s="93">
        <f>Q14+IFERROR(VLOOKUP($E:$E,'（居民）工资表-5月'!$E:$U,17,0),0)</f>
        <v>3611.37</v>
      </c>
      <c r="V14" s="73"/>
      <c r="W14" s="73"/>
      <c r="X14" s="73"/>
      <c r="Y14" s="73"/>
      <c r="Z14" s="73"/>
      <c r="AA14" s="73"/>
      <c r="AB14" s="92">
        <f t="shared" si="1"/>
        <v>0</v>
      </c>
      <c r="AC14" s="92">
        <f>R14+IFERROR(VLOOKUP($E:$E,'（居民）工资表-5月'!$E:$AC,25,0),0)</f>
        <v>0</v>
      </c>
      <c r="AD14" s="97">
        <f t="shared" si="2"/>
        <v>-2061.37</v>
      </c>
      <c r="AE14" s="98">
        <f>ROUND(MAX((AD14)*{0.03;0.1;0.2;0.25;0.3;0.35;0.45}-{0;2520;16920;31920;52920;85920;181920},0),2)</f>
        <v>0</v>
      </c>
      <c r="AF14" s="99">
        <f>IFERROR(VLOOKUP(E:E,'（居民）工资表-5月'!E:AF,28,0)+VLOOKUP(E:E,'（居民）工资表-5月'!E:AG,29,0),0)</f>
        <v>0</v>
      </c>
      <c r="AG14" s="99">
        <f t="shared" si="3"/>
        <v>0</v>
      </c>
      <c r="AH14" s="109">
        <f t="shared" si="4"/>
        <v>6419.64</v>
      </c>
      <c r="AI14" s="110"/>
      <c r="AJ14" s="109">
        <f t="shared" si="5"/>
        <v>6419.64</v>
      </c>
      <c r="AK14" s="111"/>
      <c r="AL14" s="109">
        <f t="shared" si="6"/>
        <v>6419.64</v>
      </c>
      <c r="AM14" s="111"/>
      <c r="AN14" s="111"/>
      <c r="AO14" s="111"/>
      <c r="AP14" s="111"/>
      <c r="AQ14" s="111"/>
      <c r="AR14" s="118" t="str">
        <f t="shared" si="7"/>
        <v>正确</v>
      </c>
      <c r="AS14" s="118" t="str">
        <f t="shared" si="8"/>
        <v>不</v>
      </c>
      <c r="AT14" s="118" t="str">
        <f t="shared" si="9"/>
        <v>重复</v>
      </c>
    </row>
    <row r="15" s="12" customFormat="1" ht="18" customHeight="1" spans="1:46">
      <c r="A15" s="36">
        <v>12</v>
      </c>
      <c r="B15" s="37" t="s">
        <v>194</v>
      </c>
      <c r="C15" s="37" t="s">
        <v>126</v>
      </c>
      <c r="D15" s="37" t="s">
        <v>195</v>
      </c>
      <c r="E15" s="381" t="s">
        <v>127</v>
      </c>
      <c r="F15" s="38" t="s">
        <v>198</v>
      </c>
      <c r="G15" s="41" t="s">
        <v>207</v>
      </c>
      <c r="H15" s="40"/>
      <c r="I15" s="40"/>
      <c r="J15" s="70"/>
      <c r="K15" s="40"/>
      <c r="L15" s="73">
        <v>7000</v>
      </c>
      <c r="M15" s="72">
        <v>306.56</v>
      </c>
      <c r="N15" s="72">
        <v>112.49</v>
      </c>
      <c r="O15" s="72">
        <v>19.16</v>
      </c>
      <c r="P15" s="72">
        <v>97</v>
      </c>
      <c r="Q15" s="91">
        <f t="shared" si="0"/>
        <v>535.21</v>
      </c>
      <c r="R15" s="73">
        <v>0</v>
      </c>
      <c r="S15" s="92">
        <f>L15+IFERROR(VLOOKUP($E:$E,'（居民）工资表-5月'!$E:$S,15,0),0)</f>
        <v>38309.09</v>
      </c>
      <c r="T15" s="93">
        <f>5000+IFERROR(VLOOKUP($E:$E,'（居民）工资表-5月'!$E:$T,16,0),0)</f>
        <v>30000</v>
      </c>
      <c r="U15" s="93">
        <f>Q15+IFERROR(VLOOKUP($E:$E,'（居民）工资表-5月'!$E:$U,17,0),0)</f>
        <v>3204.34</v>
      </c>
      <c r="V15" s="73"/>
      <c r="W15" s="73"/>
      <c r="X15" s="73"/>
      <c r="Y15" s="73"/>
      <c r="Z15" s="73"/>
      <c r="AA15" s="73"/>
      <c r="AB15" s="92">
        <f t="shared" si="1"/>
        <v>0</v>
      </c>
      <c r="AC15" s="92">
        <f>R15+IFERROR(VLOOKUP($E:$E,'（居民）工资表-5月'!$E:$AC,25,0),0)</f>
        <v>0</v>
      </c>
      <c r="AD15" s="97">
        <f t="shared" si="2"/>
        <v>5104.75</v>
      </c>
      <c r="AE15" s="98">
        <f>ROUND(MAX((AD15)*{0.03;0.1;0.2;0.25;0.3;0.35;0.45}-{0;2520;16920;31920;52920;85920;181920},0),2)</f>
        <v>153.14</v>
      </c>
      <c r="AF15" s="99">
        <f>IFERROR(VLOOKUP(E:E,'（居民）工资表-5月'!E:AF,28,0)+VLOOKUP(E:E,'（居民）工资表-5月'!E:AG,29,0),0)</f>
        <v>109.2</v>
      </c>
      <c r="AG15" s="99">
        <f t="shared" si="3"/>
        <v>43.94</v>
      </c>
      <c r="AH15" s="109">
        <f t="shared" si="4"/>
        <v>6420.85</v>
      </c>
      <c r="AI15" s="110"/>
      <c r="AJ15" s="109">
        <f t="shared" si="5"/>
        <v>6420.85</v>
      </c>
      <c r="AK15" s="111"/>
      <c r="AL15" s="109">
        <f t="shared" si="6"/>
        <v>6464.79</v>
      </c>
      <c r="AM15" s="111"/>
      <c r="AN15" s="111"/>
      <c r="AO15" s="111"/>
      <c r="AP15" s="111"/>
      <c r="AQ15" s="111"/>
      <c r="AR15" s="118" t="str">
        <f t="shared" si="7"/>
        <v>正确</v>
      </c>
      <c r="AS15" s="118" t="str">
        <f t="shared" si="8"/>
        <v>不</v>
      </c>
      <c r="AT15" s="118" t="str">
        <f t="shared" si="9"/>
        <v>重复</v>
      </c>
    </row>
    <row r="16" s="12" customFormat="1" ht="18" customHeight="1" spans="1:46">
      <c r="A16" s="36">
        <v>13</v>
      </c>
      <c r="B16" s="37" t="s">
        <v>194</v>
      </c>
      <c r="C16" s="37" t="s">
        <v>115</v>
      </c>
      <c r="D16" s="37" t="s">
        <v>195</v>
      </c>
      <c r="E16" s="381" t="s">
        <v>116</v>
      </c>
      <c r="F16" s="38" t="s">
        <v>198</v>
      </c>
      <c r="G16" s="41">
        <v>15855788591</v>
      </c>
      <c r="H16" s="40"/>
      <c r="I16" s="40"/>
      <c r="J16" s="70"/>
      <c r="K16" s="40"/>
      <c r="L16" s="73">
        <v>6060</v>
      </c>
      <c r="M16" s="72">
        <v>306.56</v>
      </c>
      <c r="N16" s="72">
        <v>84.64</v>
      </c>
      <c r="O16" s="72">
        <v>19.16</v>
      </c>
      <c r="P16" s="72">
        <v>97</v>
      </c>
      <c r="Q16" s="91">
        <f t="shared" si="0"/>
        <v>507.36</v>
      </c>
      <c r="R16" s="73">
        <v>0</v>
      </c>
      <c r="S16" s="92">
        <f>L16+IFERROR(VLOOKUP($E:$E,'（居民）工资表-5月'!$E:$S,15,0),0)</f>
        <v>31332</v>
      </c>
      <c r="T16" s="93">
        <f>5000+IFERROR(VLOOKUP($E:$E,'（居民）工资表-5月'!$E:$T,16,0),0)</f>
        <v>30000</v>
      </c>
      <c r="U16" s="93">
        <f>Q16+IFERROR(VLOOKUP($E:$E,'（居民）工资表-5月'!$E:$U,17,0),0)</f>
        <v>3506.52</v>
      </c>
      <c r="V16" s="73"/>
      <c r="W16" s="73"/>
      <c r="X16" s="73"/>
      <c r="Y16" s="73"/>
      <c r="Z16" s="73"/>
      <c r="AA16" s="73"/>
      <c r="AB16" s="92">
        <f t="shared" si="1"/>
        <v>0</v>
      </c>
      <c r="AC16" s="92">
        <f>R16+IFERROR(VLOOKUP($E:$E,'（居民）工资表-5月'!$E:$AC,25,0),0)</f>
        <v>0</v>
      </c>
      <c r="AD16" s="97">
        <f t="shared" si="2"/>
        <v>-2174.52</v>
      </c>
      <c r="AE16" s="98">
        <f>ROUND(MAX((AD16)*{0.03;0.1;0.2;0.25;0.3;0.35;0.45}-{0;2520;16920;31920;52920;85920;181920},0),2)</f>
        <v>0</v>
      </c>
      <c r="AF16" s="99">
        <f>IFERROR(VLOOKUP(E:E,'（居民）工资表-5月'!E:AF,28,0)+VLOOKUP(E:E,'（居民）工资表-5月'!E:AG,29,0),0)</f>
        <v>0</v>
      </c>
      <c r="AG16" s="99">
        <f t="shared" si="3"/>
        <v>0</v>
      </c>
      <c r="AH16" s="109">
        <f t="shared" si="4"/>
        <v>5552.64</v>
      </c>
      <c r="AI16" s="110"/>
      <c r="AJ16" s="109">
        <f t="shared" si="5"/>
        <v>5552.64</v>
      </c>
      <c r="AK16" s="111"/>
      <c r="AL16" s="109">
        <f t="shared" si="6"/>
        <v>5552.64</v>
      </c>
      <c r="AM16" s="111"/>
      <c r="AN16" s="111"/>
      <c r="AO16" s="111"/>
      <c r="AP16" s="111"/>
      <c r="AQ16" s="111"/>
      <c r="AR16" s="118" t="str">
        <f t="shared" si="7"/>
        <v>正确</v>
      </c>
      <c r="AS16" s="118" t="str">
        <f t="shared" si="8"/>
        <v>不</v>
      </c>
      <c r="AT16" s="118" t="str">
        <f t="shared" si="9"/>
        <v>重复</v>
      </c>
    </row>
    <row r="17" s="12" customFormat="1" ht="18" customHeight="1" spans="1:46">
      <c r="A17" s="36">
        <v>14</v>
      </c>
      <c r="B17" s="37" t="s">
        <v>194</v>
      </c>
      <c r="C17" s="37" t="s">
        <v>142</v>
      </c>
      <c r="D17" s="37" t="s">
        <v>195</v>
      </c>
      <c r="E17" s="381" t="s">
        <v>143</v>
      </c>
      <c r="F17" s="38" t="s">
        <v>198</v>
      </c>
      <c r="G17" s="41">
        <v>13873717760</v>
      </c>
      <c r="H17" s="40"/>
      <c r="I17" s="40"/>
      <c r="J17" s="70"/>
      <c r="K17" s="40"/>
      <c r="L17" s="73">
        <v>6560</v>
      </c>
      <c r="M17" s="72">
        <v>315.6</v>
      </c>
      <c r="N17" s="72">
        <v>86.72</v>
      </c>
      <c r="O17" s="72">
        <v>11.84</v>
      </c>
      <c r="P17" s="72">
        <v>175</v>
      </c>
      <c r="Q17" s="91">
        <f t="shared" si="0"/>
        <v>589.16</v>
      </c>
      <c r="R17" s="73">
        <v>0</v>
      </c>
      <c r="S17" s="92">
        <f>L17+IFERROR(VLOOKUP($E:$E,'（居民）工资表-5月'!$E:$S,15,0),0)</f>
        <v>30525</v>
      </c>
      <c r="T17" s="93">
        <f>5000+IFERROR(VLOOKUP($E:$E,'（居民）工资表-5月'!$E:$T,16,0),0)</f>
        <v>30000</v>
      </c>
      <c r="U17" s="93">
        <f>Q17+IFERROR(VLOOKUP($E:$E,'（居民）工资表-5月'!$E:$U,17,0),0)</f>
        <v>4215.83</v>
      </c>
      <c r="V17" s="73"/>
      <c r="W17" s="73"/>
      <c r="X17" s="73"/>
      <c r="Y17" s="73"/>
      <c r="Z17" s="73"/>
      <c r="AA17" s="73"/>
      <c r="AB17" s="92">
        <f t="shared" si="1"/>
        <v>0</v>
      </c>
      <c r="AC17" s="92">
        <f>R17+IFERROR(VLOOKUP($E:$E,'（居民）工资表-5月'!$E:$AC,25,0),0)</f>
        <v>0</v>
      </c>
      <c r="AD17" s="97">
        <f t="shared" si="2"/>
        <v>-3690.83</v>
      </c>
      <c r="AE17" s="98">
        <f>ROUND(MAX((AD17)*{0.03;0.1;0.2;0.25;0.3;0.35;0.45}-{0;2520;16920;31920;52920;85920;181920},0),2)</f>
        <v>0</v>
      </c>
      <c r="AF17" s="99">
        <f>IFERROR(VLOOKUP(E:E,'（居民）工资表-5月'!E:AF,28,0)+VLOOKUP(E:E,'（居民）工资表-5月'!E:AG,29,0),0)</f>
        <v>0</v>
      </c>
      <c r="AG17" s="99">
        <f t="shared" si="3"/>
        <v>0</v>
      </c>
      <c r="AH17" s="109">
        <f t="shared" si="4"/>
        <v>5970.84</v>
      </c>
      <c r="AI17" s="110"/>
      <c r="AJ17" s="109">
        <f t="shared" si="5"/>
        <v>5970.84</v>
      </c>
      <c r="AK17" s="111"/>
      <c r="AL17" s="109">
        <f t="shared" si="6"/>
        <v>5970.84</v>
      </c>
      <c r="AM17" s="111"/>
      <c r="AN17" s="111"/>
      <c r="AO17" s="111"/>
      <c r="AP17" s="111"/>
      <c r="AQ17" s="111"/>
      <c r="AR17" s="118" t="str">
        <f t="shared" si="7"/>
        <v>正确</v>
      </c>
      <c r="AS17" s="118" t="str">
        <f t="shared" si="8"/>
        <v>不</v>
      </c>
      <c r="AT17" s="118" t="str">
        <f t="shared" si="9"/>
        <v>重复</v>
      </c>
    </row>
    <row r="18" s="12" customFormat="1" ht="18" customHeight="1" spans="1:46">
      <c r="A18" s="36">
        <v>15</v>
      </c>
      <c r="B18" s="37" t="s">
        <v>194</v>
      </c>
      <c r="C18" s="37" t="s">
        <v>145</v>
      </c>
      <c r="D18" s="37" t="s">
        <v>195</v>
      </c>
      <c r="E18" s="381" t="s">
        <v>146</v>
      </c>
      <c r="F18" s="38" t="s">
        <v>198</v>
      </c>
      <c r="G18" s="41"/>
      <c r="H18" s="40"/>
      <c r="I18" s="40"/>
      <c r="J18" s="70"/>
      <c r="K18" s="40"/>
      <c r="L18" s="73">
        <v>4800</v>
      </c>
      <c r="M18" s="72">
        <v>306.56</v>
      </c>
      <c r="N18" s="72">
        <v>76.64</v>
      </c>
      <c r="O18" s="72">
        <v>19.16</v>
      </c>
      <c r="P18" s="72">
        <v>103</v>
      </c>
      <c r="Q18" s="91">
        <f t="shared" si="0"/>
        <v>505.36</v>
      </c>
      <c r="R18" s="73">
        <v>0</v>
      </c>
      <c r="S18" s="92">
        <f>L18+IFERROR(VLOOKUP($E:$E,'（居民）工资表-5月'!$E:$S,15,0),0)</f>
        <v>7636.37</v>
      </c>
      <c r="T18" s="93">
        <f>5000+IFERROR(VLOOKUP($E:$E,'（居民）工资表-5月'!$E:$T,16,0),0)</f>
        <v>10000</v>
      </c>
      <c r="U18" s="93">
        <f>Q18+IFERROR(VLOOKUP($E:$E,'（居民）工资表-5月'!$E:$U,17,0),0)</f>
        <v>1516.08</v>
      </c>
      <c r="V18" s="73"/>
      <c r="W18" s="73"/>
      <c r="X18" s="73"/>
      <c r="Y18" s="73"/>
      <c r="Z18" s="73"/>
      <c r="AA18" s="73"/>
      <c r="AB18" s="92">
        <f t="shared" si="1"/>
        <v>0</v>
      </c>
      <c r="AC18" s="92">
        <f>R18+IFERROR(VLOOKUP($E:$E,'（居民）工资表-5月'!$E:$AC,25,0),0)</f>
        <v>0</v>
      </c>
      <c r="AD18" s="97">
        <f t="shared" si="2"/>
        <v>-3879.71</v>
      </c>
      <c r="AE18" s="98">
        <f>ROUND(MAX((AD18)*{0.03;0.1;0.2;0.25;0.3;0.35;0.45}-{0;2520;16920;31920;52920;85920;181920},0),2)</f>
        <v>0</v>
      </c>
      <c r="AF18" s="99">
        <f>IFERROR(VLOOKUP(E:E,'（居民）工资表-5月'!E:AF,28,0)+VLOOKUP(E:E,'（居民）工资表-5月'!E:AG,29,0),0)</f>
        <v>0</v>
      </c>
      <c r="AG18" s="99">
        <f t="shared" si="3"/>
        <v>0</v>
      </c>
      <c r="AH18" s="109">
        <f t="shared" si="4"/>
        <v>4294.64</v>
      </c>
      <c r="AI18" s="110"/>
      <c r="AJ18" s="109">
        <f t="shared" si="5"/>
        <v>4294.64</v>
      </c>
      <c r="AK18" s="111"/>
      <c r="AL18" s="109">
        <f t="shared" si="6"/>
        <v>4294.64</v>
      </c>
      <c r="AM18" s="111"/>
      <c r="AN18" s="111"/>
      <c r="AO18" s="111"/>
      <c r="AP18" s="111"/>
      <c r="AQ18" s="111"/>
      <c r="AR18" s="118" t="str">
        <f t="shared" si="7"/>
        <v>正确</v>
      </c>
      <c r="AS18" s="118" t="str">
        <f>IF(SUMPRODUCT(N(E$1:E$19=E18))&gt;1,"重复","不")</f>
        <v>不</v>
      </c>
      <c r="AT18" s="118" t="str">
        <f>IF(SUMPRODUCT(N(AO$1:AO$19=AO18))&gt;1,"重复","不")</f>
        <v>重复</v>
      </c>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c r="AM19" s="111"/>
      <c r="AN19" s="111"/>
      <c r="AO19" s="111"/>
      <c r="AP19" s="111"/>
      <c r="AQ19" s="111"/>
      <c r="AR19" s="118"/>
      <c r="AS19" s="118"/>
      <c r="AT19" s="118"/>
    </row>
    <row r="20" s="13" customFormat="1" ht="18" customHeight="1" spans="1:46">
      <c r="A20" s="42"/>
      <c r="B20" s="43" t="s">
        <v>208</v>
      </c>
      <c r="C20" s="43"/>
      <c r="D20" s="44"/>
      <c r="E20" s="45"/>
      <c r="F20" s="46"/>
      <c r="G20" s="47"/>
      <c r="H20" s="46"/>
      <c r="I20" s="74"/>
      <c r="J20" s="75"/>
      <c r="K20" s="74"/>
      <c r="L20" s="76">
        <f t="shared" ref="L20:AL20" si="10">SUM(L4:L19)</f>
        <v>122278.8</v>
      </c>
      <c r="M20" s="76">
        <f t="shared" si="10"/>
        <v>4937.14</v>
      </c>
      <c r="N20" s="76">
        <f t="shared" si="10"/>
        <v>1406.9</v>
      </c>
      <c r="O20" s="76">
        <f t="shared" si="10"/>
        <v>267.06</v>
      </c>
      <c r="P20" s="76">
        <f t="shared" si="10"/>
        <v>1969.3</v>
      </c>
      <c r="Q20" s="76">
        <f t="shared" si="10"/>
        <v>8580.4</v>
      </c>
      <c r="R20" s="76">
        <f t="shared" si="10"/>
        <v>0</v>
      </c>
      <c r="S20" s="76">
        <f t="shared" si="10"/>
        <v>655573.44</v>
      </c>
      <c r="T20" s="76">
        <f t="shared" si="10"/>
        <v>430000</v>
      </c>
      <c r="U20" s="76">
        <f t="shared" si="10"/>
        <v>52072.36</v>
      </c>
      <c r="V20" s="76">
        <f t="shared" si="10"/>
        <v>0</v>
      </c>
      <c r="W20" s="76">
        <f t="shared" si="10"/>
        <v>0</v>
      </c>
      <c r="X20" s="76">
        <f t="shared" si="10"/>
        <v>0</v>
      </c>
      <c r="Y20" s="76">
        <f t="shared" si="10"/>
        <v>0</v>
      </c>
      <c r="Z20" s="76">
        <f t="shared" si="10"/>
        <v>0</v>
      </c>
      <c r="AA20" s="76">
        <f t="shared" si="10"/>
        <v>0</v>
      </c>
      <c r="AB20" s="76">
        <f t="shared" si="10"/>
        <v>0</v>
      </c>
      <c r="AC20" s="76">
        <f t="shared" si="10"/>
        <v>0</v>
      </c>
      <c r="AD20" s="76">
        <f t="shared" si="10"/>
        <v>173501.08</v>
      </c>
      <c r="AE20" s="76">
        <f t="shared" si="10"/>
        <v>13565.57</v>
      </c>
      <c r="AF20" s="76">
        <f t="shared" si="10"/>
        <v>10673.69</v>
      </c>
      <c r="AG20" s="76">
        <f t="shared" si="10"/>
        <v>2891.88</v>
      </c>
      <c r="AH20" s="76">
        <f t="shared" si="10"/>
        <v>110806.52</v>
      </c>
      <c r="AI20" s="126">
        <f t="shared" si="10"/>
        <v>0</v>
      </c>
      <c r="AJ20" s="76">
        <f t="shared" si="10"/>
        <v>110806.52</v>
      </c>
      <c r="AK20" s="76">
        <f t="shared" si="10"/>
        <v>0</v>
      </c>
      <c r="AL20" s="76">
        <f t="shared" si="10"/>
        <v>113698.4</v>
      </c>
      <c r="AM20" s="112"/>
      <c r="AN20" s="112"/>
      <c r="AO20" s="112"/>
      <c r="AP20" s="112"/>
      <c r="AQ20" s="112"/>
      <c r="AR20" s="46"/>
      <c r="AS20" s="46"/>
      <c r="AT20" s="120"/>
    </row>
    <row r="23" spans="30:30">
      <c r="AD23" s="103"/>
    </row>
    <row r="24" ht="18.75" customHeight="1" spans="2:36">
      <c r="B24" s="48" t="s">
        <v>175</v>
      </c>
      <c r="C24" s="48" t="s">
        <v>209</v>
      </c>
      <c r="D24" s="48" t="s">
        <v>22</v>
      </c>
      <c r="E24" s="48" t="s">
        <v>23</v>
      </c>
      <c r="AD24" s="10"/>
      <c r="AJ24" s="15">
        <v>80</v>
      </c>
    </row>
    <row r="25" ht="18.75" customHeight="1" spans="2:5">
      <c r="B25" s="49">
        <f>AJ20</f>
        <v>110806.52</v>
      </c>
      <c r="C25" s="49">
        <f>AG20</f>
        <v>2891.88</v>
      </c>
      <c r="D25" s="49">
        <f>AK20</f>
        <v>0</v>
      </c>
      <c r="E25" s="49">
        <f>B25+C25+D25</f>
        <v>113698.4</v>
      </c>
    </row>
    <row r="26" spans="2:5">
      <c r="B26" s="50"/>
      <c r="C26" s="50"/>
      <c r="D26" s="50"/>
      <c r="E26" s="50"/>
    </row>
    <row r="27" s="14" customFormat="1" spans="1:35">
      <c r="A27" s="52" t="s">
        <v>210</v>
      </c>
      <c r="B27" s="53" t="s">
        <v>211</v>
      </c>
      <c r="C27" s="51"/>
      <c r="D27" s="51"/>
      <c r="E27" s="51"/>
      <c r="G27" s="54"/>
      <c r="J27" s="77"/>
      <c r="M27" s="78"/>
      <c r="AI27" s="114"/>
    </row>
    <row r="28" s="14" customFormat="1" spans="1:35">
      <c r="A28" s="55"/>
      <c r="B28" s="56" t="s">
        <v>212</v>
      </c>
      <c r="C28" s="51"/>
      <c r="D28" s="51"/>
      <c r="E28" s="51"/>
      <c r="G28" s="54"/>
      <c r="J28" s="77"/>
      <c r="M28" s="78"/>
      <c r="AI28" s="114"/>
    </row>
    <row r="29" s="14" customFormat="1" spans="1:35">
      <c r="A29" s="53"/>
      <c r="B29" s="56" t="s">
        <v>213</v>
      </c>
      <c r="C29" s="57"/>
      <c r="D29" s="57"/>
      <c r="E29" s="57"/>
      <c r="F29" s="57"/>
      <c r="G29" s="57"/>
      <c r="H29" s="57"/>
      <c r="I29" s="57"/>
      <c r="J29" s="79"/>
      <c r="K29" s="57"/>
      <c r="L29" s="57"/>
      <c r="M29" s="80"/>
      <c r="N29" s="57"/>
      <c r="O29" s="57"/>
      <c r="P29" s="57"/>
      <c r="AI29" s="114"/>
    </row>
    <row r="30" s="14" customFormat="1" customHeight="1" spans="1:35">
      <c r="A30" s="56"/>
      <c r="B30" s="56" t="s">
        <v>214</v>
      </c>
      <c r="C30" s="58"/>
      <c r="D30" s="58"/>
      <c r="E30" s="58"/>
      <c r="F30" s="58"/>
      <c r="G30" s="58"/>
      <c r="H30" s="58"/>
      <c r="I30" s="81"/>
      <c r="J30" s="82"/>
      <c r="K30" s="81"/>
      <c r="L30" s="81"/>
      <c r="M30" s="83"/>
      <c r="N30" s="81"/>
      <c r="O30" s="81"/>
      <c r="P30" s="81"/>
      <c r="AI30" s="114"/>
    </row>
    <row r="31" s="14" customFormat="1" customHeight="1" spans="1:35">
      <c r="A31" s="56"/>
      <c r="B31" s="56" t="s">
        <v>215</v>
      </c>
      <c r="C31" s="58"/>
      <c r="D31" s="58"/>
      <c r="E31" s="58"/>
      <c r="F31" s="58"/>
      <c r="G31" s="58"/>
      <c r="H31" s="58"/>
      <c r="I31" s="58"/>
      <c r="J31" s="84"/>
      <c r="K31" s="58"/>
      <c r="L31" s="81"/>
      <c r="M31" s="83"/>
      <c r="N31" s="81"/>
      <c r="O31" s="81"/>
      <c r="P31" s="81"/>
      <c r="AI31" s="114"/>
    </row>
    <row r="32" s="14" customFormat="1" customHeight="1" spans="1:35">
      <c r="A32" s="56"/>
      <c r="B32" s="56" t="s">
        <v>216</v>
      </c>
      <c r="C32" s="58"/>
      <c r="D32" s="58"/>
      <c r="E32" s="58"/>
      <c r="F32" s="58"/>
      <c r="G32" s="58"/>
      <c r="H32" s="58"/>
      <c r="I32" s="81"/>
      <c r="J32" s="82"/>
      <c r="K32" s="81"/>
      <c r="L32" s="81"/>
      <c r="M32" s="83"/>
      <c r="N32" s="81"/>
      <c r="O32" s="81"/>
      <c r="P32" s="81"/>
      <c r="AI32" s="114"/>
    </row>
    <row r="34" ht="11.25" customHeight="1" spans="2:2">
      <c r="B34" s="59" t="s">
        <v>217</v>
      </c>
    </row>
    <row r="35" spans="2:2">
      <c r="B35" s="60" t="s">
        <v>218</v>
      </c>
    </row>
    <row r="36" spans="2:2">
      <c r="B36" s="60" t="s">
        <v>219</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B050"/>
    <pageSetUpPr fitToPage="1"/>
  </sheetPr>
  <dimension ref="A1:AT35"/>
  <sheetViews>
    <sheetView workbookViewId="0">
      <pane xSplit="6" ySplit="3" topLeftCell="R4" activePane="bottomRight" state="frozen"/>
      <selection/>
      <selection pane="topRight"/>
      <selection pane="bottomLeft"/>
      <selection pane="bottomRight" activeCell="V4" sqref="V4: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194</v>
      </c>
      <c r="C4" s="37" t="s">
        <v>43</v>
      </c>
      <c r="D4" s="37" t="s">
        <v>195</v>
      </c>
      <c r="E4" s="37" t="s">
        <v>44</v>
      </c>
      <c r="F4" s="38" t="s">
        <v>196</v>
      </c>
      <c r="G4" s="41">
        <v>18035163638</v>
      </c>
      <c r="H4" s="40"/>
      <c r="I4" s="40"/>
      <c r="J4" s="70"/>
      <c r="K4" s="40"/>
      <c r="L4" s="73">
        <v>10230</v>
      </c>
      <c r="M4" s="72">
        <v>264</v>
      </c>
      <c r="N4" s="72">
        <v>66</v>
      </c>
      <c r="O4" s="72">
        <v>9.9</v>
      </c>
      <c r="P4" s="72">
        <v>180</v>
      </c>
      <c r="Q4" s="91">
        <f>ROUND(SUM(M4:P4),2)</f>
        <v>519.9</v>
      </c>
      <c r="R4" s="73">
        <v>0</v>
      </c>
      <c r="S4" s="92">
        <f>L4+IFERROR(VLOOKUP($E:$E,'（居民）工资表-6月'!$E:$S,15,0),0)</f>
        <v>10230</v>
      </c>
      <c r="T4" s="93">
        <f>5000+IFERROR(VLOOKUP($E:$E,'（居民）工资表-6月'!$E:$T,16,0),0)</f>
        <v>5000</v>
      </c>
      <c r="U4" s="93">
        <f>Q4+IFERROR(VLOOKUP($E:$E,'（居民）工资表-6月'!$E:$U,17,0),0)</f>
        <v>519.9</v>
      </c>
      <c r="V4" s="73">
        <v>7000</v>
      </c>
      <c r="W4" s="73"/>
      <c r="X4" s="73">
        <v>7000</v>
      </c>
      <c r="Y4" s="73"/>
      <c r="Z4" s="73">
        <v>2800</v>
      </c>
      <c r="AA4" s="73"/>
      <c r="AB4" s="92">
        <f>ROUND(SUM(V4:AA4),2)</f>
        <v>16800</v>
      </c>
      <c r="AC4" s="92">
        <f>R4+IFERROR(VLOOKUP($E:$E,'（居民）工资表-6月'!$E:$AC,25,0),0)</f>
        <v>0</v>
      </c>
      <c r="AD4" s="97">
        <f>ROUND(S4-T4-U4-AB4-AC4,2)</f>
        <v>-12089.9</v>
      </c>
      <c r="AE4" s="98">
        <f>ROUND(MAX((AD4)*{0.03;0.1;0.2;0.25;0.3;0.35;0.45}-{0;2520;16920;31920;52920;85920;181920},0),2)</f>
        <v>0</v>
      </c>
      <c r="AF4" s="99">
        <f>IFERROR(VLOOKUP(E:E,'（居民）工资表-6月'!E:AF,28,0)+VLOOKUP(E:E,'（居民）工资表-6月'!E:AG,29,0),0)</f>
        <v>0</v>
      </c>
      <c r="AG4" s="99">
        <f>IF((AE4-AF4)&lt;0,0,AE4-AF4)</f>
        <v>0</v>
      </c>
      <c r="AH4" s="109">
        <f>ROUND(IF((L4-Q4-AG4)&lt;0,0,(L4-Q4-AG4)),2)</f>
        <v>9710.1</v>
      </c>
      <c r="AI4" s="110"/>
      <c r="AJ4" s="109">
        <f>AH4+AI4</f>
        <v>9710.1</v>
      </c>
      <c r="AK4" s="111"/>
      <c r="AL4" s="109">
        <f>AJ4+AG4+AK4</f>
        <v>9710.1</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IF(SUMPRODUCT(N(E$1:E$18=E4))&gt;1,"重复","不")</f>
        <v>不</v>
      </c>
      <c r="AT4" s="118" t="str">
        <f>IF(SUMPRODUCT(N(AO$1:AO$18=AO4))&gt;1,"重复","不")</f>
        <v>重复</v>
      </c>
    </row>
    <row r="5" s="12" customFormat="1" ht="18" customHeight="1" spans="1:46">
      <c r="A5" s="36">
        <v>2</v>
      </c>
      <c r="B5" s="37" t="s">
        <v>194</v>
      </c>
      <c r="C5" s="37" t="s">
        <v>61</v>
      </c>
      <c r="D5" s="37" t="s">
        <v>195</v>
      </c>
      <c r="E5" s="37" t="s">
        <v>62</v>
      </c>
      <c r="F5" s="38" t="s">
        <v>196</v>
      </c>
      <c r="G5" s="41">
        <v>13944441728</v>
      </c>
      <c r="H5" s="40"/>
      <c r="I5" s="40"/>
      <c r="J5" s="70"/>
      <c r="K5" s="40"/>
      <c r="L5" s="73">
        <v>7000</v>
      </c>
      <c r="M5" s="72">
        <v>268.81</v>
      </c>
      <c r="N5" s="72">
        <v>72.06</v>
      </c>
      <c r="O5" s="72">
        <v>10.08</v>
      </c>
      <c r="P5" s="72">
        <v>82</v>
      </c>
      <c r="Q5" s="91">
        <f>ROUND(SUM(M5:P5),2)</f>
        <v>432.95</v>
      </c>
      <c r="R5" s="73">
        <v>0</v>
      </c>
      <c r="S5" s="92">
        <f>L5+IFERROR(VLOOKUP($E:$E,'（居民）工资表-6月'!$E:$S,15,0),0)</f>
        <v>53000</v>
      </c>
      <c r="T5" s="93">
        <f>5000+IFERROR(VLOOKUP($E:$E,'（居民）工资表-6月'!$E:$T,16,0),0)</f>
        <v>35000</v>
      </c>
      <c r="U5" s="93">
        <f>Q5+IFERROR(VLOOKUP($E:$E,'（居民）工资表-6月'!$E:$U,17,0),0)</f>
        <v>3914.14</v>
      </c>
      <c r="V5" s="73"/>
      <c r="W5" s="73"/>
      <c r="X5" s="73">
        <v>7000</v>
      </c>
      <c r="Y5" s="73"/>
      <c r="Z5" s="73"/>
      <c r="AA5" s="73"/>
      <c r="AB5" s="92">
        <f>ROUND(SUM(V5:AA5),2)</f>
        <v>7000</v>
      </c>
      <c r="AC5" s="92">
        <f>R5+IFERROR(VLOOKUP($E:$E,'（居民）工资表-6月'!$E:$AC,25,0),0)</f>
        <v>0</v>
      </c>
      <c r="AD5" s="97">
        <f>ROUND(S5-T5-U5-AB5-AC5,2)</f>
        <v>7085.86</v>
      </c>
      <c r="AE5" s="98">
        <f>ROUND(MAX((AD5)*{0.03;0.1;0.2;0.25;0.3;0.35;0.45}-{0;2520;16920;31920;52920;85920;181920},0),2)</f>
        <v>212.58</v>
      </c>
      <c r="AF5" s="99">
        <f>IFERROR(VLOOKUP(E:E,'（居民）工资表-6月'!E:AF,28,0)+VLOOKUP(E:E,'（居民）工资表-6月'!E:AG,29,0),0)</f>
        <v>375.56</v>
      </c>
      <c r="AG5" s="99">
        <f>IF((AE5-AF5)&lt;0,0,AE5-AF5)</f>
        <v>0</v>
      </c>
      <c r="AH5" s="109">
        <f>ROUND(IF((L5-Q5-AG5)&lt;0,0,(L5-Q5-AG5)),2)</f>
        <v>6567.05</v>
      </c>
      <c r="AI5" s="110"/>
      <c r="AJ5" s="109">
        <f>AH5+AI5</f>
        <v>6567.05</v>
      </c>
      <c r="AK5" s="111"/>
      <c r="AL5" s="109">
        <f>AJ5+AG5+AK5</f>
        <v>6567.05</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IF(SUMPRODUCT(N(E$1:E$18=E5))&gt;1,"重复","不")</f>
        <v>不</v>
      </c>
      <c r="AT5" s="118" t="str">
        <f>IF(SUMPRODUCT(N(AO$1:AO$18=AO5))&gt;1,"重复","不")</f>
        <v>重复</v>
      </c>
    </row>
    <row r="6" s="12" customFormat="1" ht="18" customHeight="1" spans="1:46">
      <c r="A6" s="36">
        <v>3</v>
      </c>
      <c r="B6" s="37" t="s">
        <v>194</v>
      </c>
      <c r="C6" s="37" t="s">
        <v>101</v>
      </c>
      <c r="D6" s="37" t="s">
        <v>195</v>
      </c>
      <c r="E6" s="381" t="s">
        <v>102</v>
      </c>
      <c r="F6" s="38" t="s">
        <v>198</v>
      </c>
      <c r="G6" s="41">
        <v>15360550807</v>
      </c>
      <c r="H6" s="40"/>
      <c r="I6" s="40"/>
      <c r="J6" s="70"/>
      <c r="K6" s="40"/>
      <c r="L6" s="73">
        <v>5700</v>
      </c>
      <c r="M6" s="72">
        <v>367.04</v>
      </c>
      <c r="N6" s="72">
        <v>135.14</v>
      </c>
      <c r="O6" s="72">
        <v>4.6</v>
      </c>
      <c r="P6" s="72">
        <v>115</v>
      </c>
      <c r="Q6" s="91">
        <f>ROUND(SUM(M6:P6),2)</f>
        <v>621.78</v>
      </c>
      <c r="R6" s="73">
        <v>0</v>
      </c>
      <c r="S6" s="92">
        <f>L6+IFERROR(VLOOKUP($E:$E,'（居民）工资表-6月'!$E:$S,15,0),0)</f>
        <v>39900</v>
      </c>
      <c r="T6" s="93">
        <f>5000+IFERROR(VLOOKUP($E:$E,'（居民）工资表-6月'!$E:$T,16,0),0)</f>
        <v>35000</v>
      </c>
      <c r="U6" s="93">
        <f>Q6+IFERROR(VLOOKUP($E:$E,'（居民）工资表-6月'!$E:$U,17,0),0)</f>
        <v>4222.5</v>
      </c>
      <c r="V6" s="73"/>
      <c r="W6" s="73"/>
      <c r="X6" s="73"/>
      <c r="Y6" s="73">
        <v>10500</v>
      </c>
      <c r="Z6" s="73"/>
      <c r="AA6" s="73"/>
      <c r="AB6" s="92">
        <f>ROUND(SUM(V6:AA6),2)</f>
        <v>10500</v>
      </c>
      <c r="AC6" s="92">
        <f>R6+IFERROR(VLOOKUP($E:$E,'（居民）工资表-6月'!$E:$AC,25,0),0)</f>
        <v>0</v>
      </c>
      <c r="AD6" s="97">
        <f>ROUND(S6-T6-U6-AB6-AC6,2)</f>
        <v>-9822.5</v>
      </c>
      <c r="AE6" s="98">
        <f>ROUND(MAX((AD6)*{0.03;0.1;0.2;0.25;0.3;0.35;0.45}-{0;2520;16920;31920;52920;85920;181920},0),2)</f>
        <v>0</v>
      </c>
      <c r="AF6" s="99">
        <f>IFERROR(VLOOKUP(E:E,'（居民）工资表-6月'!E:AF,28,0)+VLOOKUP(E:E,'（居民）工资表-6月'!E:AG,29,0),0)</f>
        <v>17.98</v>
      </c>
      <c r="AG6" s="99">
        <f>IF((AE6-AF6)&lt;0,0,AE6-AF6)</f>
        <v>0</v>
      </c>
      <c r="AH6" s="109">
        <f>ROUND(IF((L6-Q6-AG6)&lt;0,0,(L6-Q6-AG6)),2)</f>
        <v>5078.22</v>
      </c>
      <c r="AI6" s="110"/>
      <c r="AJ6" s="109">
        <f>AH6+AI6</f>
        <v>5078.22</v>
      </c>
      <c r="AK6" s="111"/>
      <c r="AL6" s="109">
        <f>AJ6+AG6+AK6</f>
        <v>5078.22</v>
      </c>
      <c r="AM6" s="111"/>
      <c r="AN6" s="111"/>
      <c r="AO6" s="111"/>
      <c r="AP6" s="111"/>
      <c r="AQ6" s="111"/>
      <c r="AR6" s="11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IF(SUMPRODUCT(N(E$1:E$18=E6))&gt;1,"重复","不")</f>
        <v>不</v>
      </c>
      <c r="AT6" s="118" t="str">
        <f>IF(SUMPRODUCT(N(AO$1:AO$18=AO6))&gt;1,"重复","不")</f>
        <v>重复</v>
      </c>
    </row>
    <row r="7" s="12" customFormat="1" ht="18" customHeight="1" spans="1:46">
      <c r="A7" s="36">
        <v>4</v>
      </c>
      <c r="B7" s="37" t="s">
        <v>194</v>
      </c>
      <c r="C7" s="37" t="s">
        <v>220</v>
      </c>
      <c r="D7" s="37" t="s">
        <v>195</v>
      </c>
      <c r="E7" s="37" t="s">
        <v>221</v>
      </c>
      <c r="F7" s="38" t="s">
        <v>196</v>
      </c>
      <c r="G7" s="41">
        <v>18037463616</v>
      </c>
      <c r="H7" s="40"/>
      <c r="I7" s="40"/>
      <c r="J7" s="70"/>
      <c r="K7" s="40"/>
      <c r="L7" s="73">
        <v>14620</v>
      </c>
      <c r="M7" s="72">
        <v>254.32</v>
      </c>
      <c r="N7" s="72">
        <v>63.94</v>
      </c>
      <c r="O7" s="72">
        <v>9.54</v>
      </c>
      <c r="P7" s="72">
        <v>254.32</v>
      </c>
      <c r="Q7" s="91">
        <f t="shared" ref="Q7:Q18" si="0">ROUND(SUM(M7:P7),2)</f>
        <v>582.12</v>
      </c>
      <c r="R7" s="73">
        <v>0</v>
      </c>
      <c r="S7" s="92">
        <f>L7+IFERROR(VLOOKUP($E:$E,'（居民）工资表-6月'!$E:$S,15,0),0)</f>
        <v>14620</v>
      </c>
      <c r="T7" s="93">
        <f>5000+IFERROR(VLOOKUP($E:$E,'（居民）工资表-6月'!$E:$T,16,0),0)</f>
        <v>5000</v>
      </c>
      <c r="U7" s="93">
        <f>Q7+IFERROR(VLOOKUP($E:$E,'（居民）工资表-6月'!$E:$U,17,0),0)</f>
        <v>582.12</v>
      </c>
      <c r="V7" s="73"/>
      <c r="W7" s="73"/>
      <c r="X7" s="73">
        <v>5000</v>
      </c>
      <c r="Y7" s="73"/>
      <c r="Z7" s="73"/>
      <c r="AA7" s="73"/>
      <c r="AB7" s="92">
        <f t="shared" ref="AB7:AB18" si="1">ROUND(SUM(V7:AA7),2)</f>
        <v>5000</v>
      </c>
      <c r="AC7" s="92">
        <f>R7+IFERROR(VLOOKUP($E:$E,'（居民）工资表-6月'!$E:$AC,25,0),0)</f>
        <v>0</v>
      </c>
      <c r="AD7" s="97">
        <f t="shared" ref="AD7:AD18" si="2">ROUND(S7-T7-U7-AB7-AC7,2)</f>
        <v>4037.88</v>
      </c>
      <c r="AE7" s="98">
        <f>ROUND(MAX((AD7)*{0.03;0.1;0.2;0.25;0.3;0.35;0.45}-{0;2520;16920;31920;52920;85920;181920},0),2)</f>
        <v>121.14</v>
      </c>
      <c r="AF7" s="99">
        <f>IFERROR(VLOOKUP(E:E,'（居民）工资表-6月'!E:AF,28,0)+VLOOKUP(E:E,'（居民）工资表-6月'!E:AG,29,0),0)</f>
        <v>0</v>
      </c>
      <c r="AG7" s="99">
        <f t="shared" ref="AG7:AG18" si="3">IF((AE7-AF7)&lt;0,0,AE7-AF7)</f>
        <v>121.14</v>
      </c>
      <c r="AH7" s="109">
        <f t="shared" ref="AH7:AH18" si="4">ROUND(IF((L7-Q7-AG7)&lt;0,0,(L7-Q7-AG7)),2)</f>
        <v>13916.74</v>
      </c>
      <c r="AI7" s="110"/>
      <c r="AJ7" s="109">
        <f t="shared" ref="AJ7:AJ18" si="5">AH7+AI7</f>
        <v>13916.74</v>
      </c>
      <c r="AK7" s="111"/>
      <c r="AL7" s="109">
        <f t="shared" ref="AL7:AL18" si="6">AJ7+AG7+AK7</f>
        <v>14037.88</v>
      </c>
      <c r="AM7" s="111"/>
      <c r="AN7" s="111"/>
      <c r="AO7" s="111"/>
      <c r="AP7" s="111"/>
      <c r="AQ7" s="111"/>
      <c r="AR7" s="118"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8" t="str">
        <f t="shared" ref="AS7:AS15" si="8">IF(SUMPRODUCT(N(E$1:E$18=E7))&gt;1,"重复","不")</f>
        <v>不</v>
      </c>
      <c r="AT7" s="118" t="str">
        <f t="shared" ref="AT7:AT15" si="9">IF(SUMPRODUCT(N(AO$1:AO$18=AO7))&gt;1,"重复","不")</f>
        <v>重复</v>
      </c>
    </row>
    <row r="8" s="12" customFormat="1" ht="18" customHeight="1" spans="1:46">
      <c r="A8" s="36">
        <v>5</v>
      </c>
      <c r="B8" s="37" t="s">
        <v>194</v>
      </c>
      <c r="C8" s="37" t="s">
        <v>222</v>
      </c>
      <c r="D8" s="37" t="s">
        <v>195</v>
      </c>
      <c r="E8" s="381" t="s">
        <v>223</v>
      </c>
      <c r="F8" s="38" t="s">
        <v>196</v>
      </c>
      <c r="G8" s="41">
        <v>18500634358</v>
      </c>
      <c r="H8" s="40"/>
      <c r="I8" s="40"/>
      <c r="J8" s="70"/>
      <c r="K8" s="40"/>
      <c r="L8" s="73">
        <v>14920</v>
      </c>
      <c r="M8" s="72">
        <v>254.32</v>
      </c>
      <c r="N8" s="72">
        <v>63.94</v>
      </c>
      <c r="O8" s="72">
        <v>9.54</v>
      </c>
      <c r="P8" s="72">
        <v>254.32</v>
      </c>
      <c r="Q8" s="91">
        <f t="shared" si="0"/>
        <v>582.12</v>
      </c>
      <c r="R8" s="73">
        <v>0</v>
      </c>
      <c r="S8" s="92">
        <f>L8+IFERROR(VLOOKUP($E:$E,'（居民）工资表-6月'!$E:$S,15,0),0)</f>
        <v>14920</v>
      </c>
      <c r="T8" s="93">
        <f>5000+IFERROR(VLOOKUP($E:$E,'（居民）工资表-6月'!$E:$T,16,0),0)</f>
        <v>5000</v>
      </c>
      <c r="U8" s="93">
        <f>Q8+IFERROR(VLOOKUP($E:$E,'（居民）工资表-6月'!$E:$U,17,0),0)</f>
        <v>582.12</v>
      </c>
      <c r="V8" s="73"/>
      <c r="W8" s="73"/>
      <c r="X8" s="73"/>
      <c r="Y8" s="73"/>
      <c r="Z8" s="73"/>
      <c r="AA8" s="73"/>
      <c r="AB8" s="92">
        <f t="shared" si="1"/>
        <v>0</v>
      </c>
      <c r="AC8" s="92">
        <f>R8+IFERROR(VLOOKUP($E:$E,'（居民）工资表-6月'!$E:$AC,25,0),0)</f>
        <v>0</v>
      </c>
      <c r="AD8" s="97">
        <f t="shared" si="2"/>
        <v>9337.88</v>
      </c>
      <c r="AE8" s="98">
        <f>ROUND(MAX((AD8)*{0.03;0.1;0.2;0.25;0.3;0.35;0.45}-{0;2520;16920;31920;52920;85920;181920},0),2)</f>
        <v>280.14</v>
      </c>
      <c r="AF8" s="99">
        <f>IFERROR(VLOOKUP(E:E,'（居民）工资表-6月'!E:AF,28,0)+VLOOKUP(E:E,'（居民）工资表-6月'!E:AG,29,0),0)</f>
        <v>0</v>
      </c>
      <c r="AG8" s="99">
        <f t="shared" si="3"/>
        <v>280.14</v>
      </c>
      <c r="AH8" s="109">
        <f t="shared" si="4"/>
        <v>14057.74</v>
      </c>
      <c r="AI8" s="110"/>
      <c r="AJ8" s="109">
        <f t="shared" si="5"/>
        <v>14057.74</v>
      </c>
      <c r="AK8" s="111"/>
      <c r="AL8" s="109">
        <f t="shared" si="6"/>
        <v>14337.88</v>
      </c>
      <c r="AM8" s="111"/>
      <c r="AN8" s="111"/>
      <c r="AO8" s="111"/>
      <c r="AP8" s="111"/>
      <c r="AQ8" s="111"/>
      <c r="AR8" s="118" t="str">
        <f t="shared" si="7"/>
        <v>正确</v>
      </c>
      <c r="AS8" s="118" t="str">
        <f t="shared" si="8"/>
        <v>不</v>
      </c>
      <c r="AT8" s="118" t="str">
        <f t="shared" si="9"/>
        <v>重复</v>
      </c>
    </row>
    <row r="9" s="12" customFormat="1" ht="18" customHeight="1" spans="1:46">
      <c r="A9" s="36">
        <v>6</v>
      </c>
      <c r="B9" s="37" t="s">
        <v>194</v>
      </c>
      <c r="C9" s="37" t="s">
        <v>224</v>
      </c>
      <c r="D9" s="37" t="s">
        <v>195</v>
      </c>
      <c r="E9" s="37" t="s">
        <v>225</v>
      </c>
      <c r="F9" s="38" t="s">
        <v>196</v>
      </c>
      <c r="G9" s="41">
        <v>18738169923</v>
      </c>
      <c r="H9" s="40"/>
      <c r="I9" s="40"/>
      <c r="J9" s="70"/>
      <c r="K9" s="40"/>
      <c r="L9" s="73">
        <v>12420</v>
      </c>
      <c r="M9" s="72">
        <v>254.32</v>
      </c>
      <c r="N9" s="72">
        <v>63.94</v>
      </c>
      <c r="O9" s="72">
        <v>9.54</v>
      </c>
      <c r="P9" s="72">
        <v>254.32</v>
      </c>
      <c r="Q9" s="91">
        <f t="shared" si="0"/>
        <v>582.12</v>
      </c>
      <c r="R9" s="73">
        <v>0</v>
      </c>
      <c r="S9" s="92">
        <f>L9+IFERROR(VLOOKUP($E:$E,'（居民）工资表-6月'!$E:$S,15,0),0)</f>
        <v>12420</v>
      </c>
      <c r="T9" s="93">
        <f>5000+IFERROR(VLOOKUP($E:$E,'（居民）工资表-6月'!$E:$T,16,0),0)</f>
        <v>5000</v>
      </c>
      <c r="U9" s="93">
        <f>Q9+IFERROR(VLOOKUP($E:$E,'（居民）工资表-6月'!$E:$U,17,0),0)</f>
        <v>582.12</v>
      </c>
      <c r="V9" s="73"/>
      <c r="W9" s="73"/>
      <c r="X9" s="73"/>
      <c r="Y9" s="73"/>
      <c r="Z9" s="73"/>
      <c r="AA9" s="73"/>
      <c r="AB9" s="92">
        <f t="shared" si="1"/>
        <v>0</v>
      </c>
      <c r="AC9" s="92">
        <f>R9+IFERROR(VLOOKUP($E:$E,'（居民）工资表-6月'!$E:$AC,25,0),0)</f>
        <v>0</v>
      </c>
      <c r="AD9" s="97">
        <f t="shared" si="2"/>
        <v>6837.88</v>
      </c>
      <c r="AE9" s="98">
        <f>ROUND(MAX((AD9)*{0.03;0.1;0.2;0.25;0.3;0.35;0.45}-{0;2520;16920;31920;52920;85920;181920},0),2)</f>
        <v>205.14</v>
      </c>
      <c r="AF9" s="99">
        <f>IFERROR(VLOOKUP(E:E,'（居民）工资表-6月'!E:AF,28,0)+VLOOKUP(E:E,'（居民）工资表-6月'!E:AG,29,0),0)</f>
        <v>0</v>
      </c>
      <c r="AG9" s="99">
        <f t="shared" si="3"/>
        <v>205.14</v>
      </c>
      <c r="AH9" s="109">
        <f t="shared" si="4"/>
        <v>11632.74</v>
      </c>
      <c r="AI9" s="110"/>
      <c r="AJ9" s="109">
        <f t="shared" si="5"/>
        <v>11632.74</v>
      </c>
      <c r="AK9" s="111"/>
      <c r="AL9" s="109">
        <f t="shared" si="6"/>
        <v>11837.88</v>
      </c>
      <c r="AM9" s="111"/>
      <c r="AN9" s="111"/>
      <c r="AO9" s="111"/>
      <c r="AP9" s="111"/>
      <c r="AQ9" s="111"/>
      <c r="AR9" s="118" t="str">
        <f t="shared" si="7"/>
        <v>正确</v>
      </c>
      <c r="AS9" s="118" t="str">
        <f t="shared" si="8"/>
        <v>不</v>
      </c>
      <c r="AT9" s="118" t="str">
        <f t="shared" si="9"/>
        <v>重复</v>
      </c>
    </row>
    <row r="10" s="12" customFormat="1" ht="18" customHeight="1" spans="1:46">
      <c r="A10" s="36">
        <v>7</v>
      </c>
      <c r="B10" s="37" t="s">
        <v>194</v>
      </c>
      <c r="C10" s="37" t="s">
        <v>226</v>
      </c>
      <c r="D10" s="37" t="s">
        <v>195</v>
      </c>
      <c r="E10" s="37" t="s">
        <v>227</v>
      </c>
      <c r="F10" s="38" t="s">
        <v>196</v>
      </c>
      <c r="G10" s="41" t="s">
        <v>228</v>
      </c>
      <c r="H10" s="40"/>
      <c r="I10" s="40"/>
      <c r="J10" s="70"/>
      <c r="K10" s="40"/>
      <c r="L10" s="73">
        <v>17420</v>
      </c>
      <c r="M10" s="72">
        <v>254.32</v>
      </c>
      <c r="N10" s="72">
        <v>63.94</v>
      </c>
      <c r="O10" s="72">
        <v>9.54</v>
      </c>
      <c r="P10" s="72">
        <v>254.32</v>
      </c>
      <c r="Q10" s="91">
        <f t="shared" si="0"/>
        <v>582.12</v>
      </c>
      <c r="R10" s="73">
        <v>0</v>
      </c>
      <c r="S10" s="92">
        <f>L10+IFERROR(VLOOKUP($E:$E,'（居民）工资表-6月'!$E:$S,15,0),0)</f>
        <v>17420</v>
      </c>
      <c r="T10" s="93">
        <f>5000+IFERROR(VLOOKUP($E:$E,'（居民）工资表-6月'!$E:$T,16,0),0)</f>
        <v>5000</v>
      </c>
      <c r="U10" s="93">
        <f>Q10+IFERROR(VLOOKUP($E:$E,'（居民）工资表-6月'!$E:$U,17,0),0)</f>
        <v>582.12</v>
      </c>
      <c r="V10" s="73"/>
      <c r="W10" s="73"/>
      <c r="X10" s="73"/>
      <c r="Y10" s="73"/>
      <c r="Z10" s="73"/>
      <c r="AA10" s="73"/>
      <c r="AB10" s="92">
        <f t="shared" si="1"/>
        <v>0</v>
      </c>
      <c r="AC10" s="92">
        <f>R10+IFERROR(VLOOKUP($E:$E,'（居民）工资表-6月'!$E:$AC,25,0),0)</f>
        <v>0</v>
      </c>
      <c r="AD10" s="97">
        <f t="shared" si="2"/>
        <v>11837.88</v>
      </c>
      <c r="AE10" s="98">
        <f>ROUND(MAX((AD10)*{0.03;0.1;0.2;0.25;0.3;0.35;0.45}-{0;2520;16920;31920;52920;85920;181920},0),2)</f>
        <v>355.14</v>
      </c>
      <c r="AF10" s="99">
        <f>IFERROR(VLOOKUP(E:E,'（居民）工资表-6月'!E:AF,28,0)+VLOOKUP(E:E,'（居民）工资表-6月'!E:AG,29,0),0)</f>
        <v>0</v>
      </c>
      <c r="AG10" s="99">
        <f t="shared" si="3"/>
        <v>355.14</v>
      </c>
      <c r="AH10" s="109">
        <f t="shared" si="4"/>
        <v>16482.74</v>
      </c>
      <c r="AI10" s="110"/>
      <c r="AJ10" s="109">
        <f t="shared" si="5"/>
        <v>16482.74</v>
      </c>
      <c r="AK10" s="111"/>
      <c r="AL10" s="109">
        <f t="shared" si="6"/>
        <v>16837.88</v>
      </c>
      <c r="AM10" s="111"/>
      <c r="AN10" s="111"/>
      <c r="AO10" s="111"/>
      <c r="AP10" s="111"/>
      <c r="AQ10" s="111"/>
      <c r="AR10" s="118" t="str">
        <f t="shared" si="7"/>
        <v>正确</v>
      </c>
      <c r="AS10" s="118" t="str">
        <f t="shared" si="8"/>
        <v>不</v>
      </c>
      <c r="AT10" s="118" t="str">
        <f t="shared" si="9"/>
        <v>重复</v>
      </c>
    </row>
    <row r="11" s="12" customFormat="1" ht="18" customHeight="1" spans="1:46">
      <c r="A11" s="36">
        <v>8</v>
      </c>
      <c r="B11" s="37" t="s">
        <v>194</v>
      </c>
      <c r="C11" s="37" t="s">
        <v>229</v>
      </c>
      <c r="D11" s="37" t="s">
        <v>195</v>
      </c>
      <c r="E11" s="37" t="s">
        <v>230</v>
      </c>
      <c r="F11" s="38" t="s">
        <v>196</v>
      </c>
      <c r="G11" s="41" t="s">
        <v>231</v>
      </c>
      <c r="H11" s="40"/>
      <c r="I11" s="40"/>
      <c r="J11" s="70"/>
      <c r="K11" s="40"/>
      <c r="L11" s="73">
        <v>18720</v>
      </c>
      <c r="M11" s="72">
        <v>254.32</v>
      </c>
      <c r="N11" s="72">
        <v>63.94</v>
      </c>
      <c r="O11" s="72">
        <v>9.54</v>
      </c>
      <c r="P11" s="72">
        <v>254.32</v>
      </c>
      <c r="Q11" s="91">
        <f t="shared" si="0"/>
        <v>582.12</v>
      </c>
      <c r="R11" s="73">
        <v>0</v>
      </c>
      <c r="S11" s="92">
        <f>L11+IFERROR(VLOOKUP($E:$E,'（居民）工资表-6月'!$E:$S,15,0),0)</f>
        <v>18720</v>
      </c>
      <c r="T11" s="93">
        <f>5000+IFERROR(VLOOKUP($E:$E,'（居民）工资表-6月'!$E:$T,16,0),0)</f>
        <v>5000</v>
      </c>
      <c r="U11" s="93">
        <f>Q11+IFERROR(VLOOKUP($E:$E,'（居民）工资表-6月'!$E:$U,17,0),0)</f>
        <v>582.12</v>
      </c>
      <c r="V11" s="73"/>
      <c r="W11" s="73">
        <v>4000</v>
      </c>
      <c r="X11" s="73"/>
      <c r="Y11" s="73">
        <v>6000</v>
      </c>
      <c r="Z11" s="73">
        <v>1600</v>
      </c>
      <c r="AA11" s="73"/>
      <c r="AB11" s="92">
        <f t="shared" si="1"/>
        <v>11600</v>
      </c>
      <c r="AC11" s="92">
        <f>R11+IFERROR(VLOOKUP($E:$E,'（居民）工资表-6月'!$E:$AC,25,0),0)</f>
        <v>0</v>
      </c>
      <c r="AD11" s="97">
        <f t="shared" si="2"/>
        <v>1537.88</v>
      </c>
      <c r="AE11" s="98">
        <f>ROUND(MAX((AD11)*{0.03;0.1;0.2;0.25;0.3;0.35;0.45}-{0;2520;16920;31920;52920;85920;181920},0),2)</f>
        <v>46.14</v>
      </c>
      <c r="AF11" s="99">
        <f>IFERROR(VLOOKUP(E:E,'（居民）工资表-6月'!E:AF,28,0)+VLOOKUP(E:E,'（居民）工资表-6月'!E:AG,29,0),0)</f>
        <v>0</v>
      </c>
      <c r="AG11" s="99">
        <f t="shared" si="3"/>
        <v>46.14</v>
      </c>
      <c r="AH11" s="109">
        <f t="shared" si="4"/>
        <v>18091.74</v>
      </c>
      <c r="AI11" s="110"/>
      <c r="AJ11" s="109">
        <f t="shared" si="5"/>
        <v>18091.74</v>
      </c>
      <c r="AK11" s="111"/>
      <c r="AL11" s="109">
        <f t="shared" si="6"/>
        <v>18137.88</v>
      </c>
      <c r="AM11" s="111"/>
      <c r="AN11" s="111"/>
      <c r="AO11" s="111"/>
      <c r="AP11" s="111"/>
      <c r="AQ11" s="111"/>
      <c r="AR11" s="118" t="str">
        <f t="shared" si="7"/>
        <v>正确</v>
      </c>
      <c r="AS11" s="118" t="str">
        <f t="shared" si="8"/>
        <v>不</v>
      </c>
      <c r="AT11" s="118" t="str">
        <f t="shared" si="9"/>
        <v>重复</v>
      </c>
    </row>
    <row r="12" s="12" customFormat="1" ht="18" customHeight="1" spans="1:46">
      <c r="A12" s="36">
        <v>9</v>
      </c>
      <c r="B12" s="37" t="s">
        <v>194</v>
      </c>
      <c r="C12" s="37" t="s">
        <v>232</v>
      </c>
      <c r="D12" s="37" t="s">
        <v>195</v>
      </c>
      <c r="E12" s="37" t="s">
        <v>233</v>
      </c>
      <c r="F12" s="38" t="s">
        <v>196</v>
      </c>
      <c r="G12" s="41" t="s">
        <v>234</v>
      </c>
      <c r="H12" s="40"/>
      <c r="I12" s="40"/>
      <c r="J12" s="70"/>
      <c r="K12" s="40"/>
      <c r="L12" s="73">
        <v>13920</v>
      </c>
      <c r="M12" s="72">
        <v>254.32</v>
      </c>
      <c r="N12" s="72">
        <v>63.94</v>
      </c>
      <c r="O12" s="72">
        <v>9.54</v>
      </c>
      <c r="P12" s="72">
        <v>254.32</v>
      </c>
      <c r="Q12" s="91">
        <f t="shared" si="0"/>
        <v>582.12</v>
      </c>
      <c r="R12" s="73">
        <v>0</v>
      </c>
      <c r="S12" s="92">
        <f>L12+IFERROR(VLOOKUP($E:$E,'（居民）工资表-6月'!$E:$S,15,0),0)</f>
        <v>13920</v>
      </c>
      <c r="T12" s="93">
        <f>5000+IFERROR(VLOOKUP($E:$E,'（居民）工资表-6月'!$E:$T,16,0),0)</f>
        <v>5000</v>
      </c>
      <c r="U12" s="93">
        <f>Q12+IFERROR(VLOOKUP($E:$E,'（居民）工资表-6月'!$E:$U,17,0),0)</f>
        <v>582.12</v>
      </c>
      <c r="V12" s="73"/>
      <c r="W12" s="73"/>
      <c r="X12" s="73"/>
      <c r="Y12" s="73"/>
      <c r="Z12" s="73"/>
      <c r="AA12" s="73"/>
      <c r="AB12" s="92">
        <f t="shared" si="1"/>
        <v>0</v>
      </c>
      <c r="AC12" s="92">
        <f>R12+IFERROR(VLOOKUP($E:$E,'（居民）工资表-6月'!$E:$AC,25,0),0)</f>
        <v>0</v>
      </c>
      <c r="AD12" s="97">
        <f t="shared" si="2"/>
        <v>8337.88</v>
      </c>
      <c r="AE12" s="98">
        <f>ROUND(MAX((AD12)*{0.03;0.1;0.2;0.25;0.3;0.35;0.45}-{0;2520;16920;31920;52920;85920;181920},0),2)</f>
        <v>250.14</v>
      </c>
      <c r="AF12" s="99">
        <f>IFERROR(VLOOKUP(E:E,'（居民）工资表-6月'!E:AF,28,0)+VLOOKUP(E:E,'（居民）工资表-6月'!E:AG,29,0),0)</f>
        <v>0</v>
      </c>
      <c r="AG12" s="99">
        <f t="shared" si="3"/>
        <v>250.14</v>
      </c>
      <c r="AH12" s="109">
        <f t="shared" si="4"/>
        <v>13087.74</v>
      </c>
      <c r="AI12" s="110"/>
      <c r="AJ12" s="109">
        <f t="shared" si="5"/>
        <v>13087.74</v>
      </c>
      <c r="AK12" s="111"/>
      <c r="AL12" s="109">
        <f t="shared" si="6"/>
        <v>13337.88</v>
      </c>
      <c r="AM12" s="111"/>
      <c r="AN12" s="111"/>
      <c r="AO12" s="111"/>
      <c r="AP12" s="111"/>
      <c r="AQ12" s="111"/>
      <c r="AR12" s="118" t="str">
        <f t="shared" si="7"/>
        <v>正确</v>
      </c>
      <c r="AS12" s="118" t="str">
        <f t="shared" si="8"/>
        <v>不</v>
      </c>
      <c r="AT12" s="118" t="str">
        <f t="shared" si="9"/>
        <v>重复</v>
      </c>
    </row>
    <row r="13" s="12" customFormat="1" ht="18" customHeight="1" spans="1:46">
      <c r="A13" s="36">
        <v>10</v>
      </c>
      <c r="B13" s="37" t="s">
        <v>194</v>
      </c>
      <c r="C13" s="37" t="s">
        <v>235</v>
      </c>
      <c r="D13" s="37" t="s">
        <v>195</v>
      </c>
      <c r="E13" s="37" t="s">
        <v>236</v>
      </c>
      <c r="F13" s="38" t="s">
        <v>196</v>
      </c>
      <c r="G13" s="41">
        <v>15001138812</v>
      </c>
      <c r="H13" s="40"/>
      <c r="I13" s="40"/>
      <c r="J13" s="70"/>
      <c r="K13" s="40"/>
      <c r="L13" s="73">
        <v>10420</v>
      </c>
      <c r="M13" s="72">
        <v>254.32</v>
      </c>
      <c r="N13" s="72">
        <v>63.94</v>
      </c>
      <c r="O13" s="72">
        <v>9.54</v>
      </c>
      <c r="P13" s="72">
        <v>254.32</v>
      </c>
      <c r="Q13" s="91">
        <f t="shared" si="0"/>
        <v>582.12</v>
      </c>
      <c r="R13" s="73">
        <v>0</v>
      </c>
      <c r="S13" s="92">
        <f>L13+IFERROR(VLOOKUP($E:$E,'（居民）工资表-6月'!$E:$S,15,0),0)</f>
        <v>10420</v>
      </c>
      <c r="T13" s="93">
        <f>5000+IFERROR(VLOOKUP($E:$E,'（居民）工资表-6月'!$E:$T,16,0),0)</f>
        <v>5000</v>
      </c>
      <c r="U13" s="93">
        <f>Q13+IFERROR(VLOOKUP($E:$E,'（居民）工资表-6月'!$E:$U,17,0),0)</f>
        <v>582.12</v>
      </c>
      <c r="V13" s="73"/>
      <c r="W13" s="73"/>
      <c r="X13" s="73"/>
      <c r="Y13" s="73"/>
      <c r="Z13" s="73"/>
      <c r="AA13" s="73"/>
      <c r="AB13" s="92">
        <f t="shared" si="1"/>
        <v>0</v>
      </c>
      <c r="AC13" s="92">
        <f>R13+IFERROR(VLOOKUP($E:$E,'（居民）工资表-6月'!$E:$AC,25,0),0)</f>
        <v>0</v>
      </c>
      <c r="AD13" s="97">
        <f t="shared" si="2"/>
        <v>4837.88</v>
      </c>
      <c r="AE13" s="98">
        <f>ROUND(MAX((AD13)*{0.03;0.1;0.2;0.25;0.3;0.35;0.45}-{0;2520;16920;31920;52920;85920;181920},0),2)</f>
        <v>145.14</v>
      </c>
      <c r="AF13" s="99">
        <f>IFERROR(VLOOKUP(E:E,'（居民）工资表-6月'!E:AF,28,0)+VLOOKUP(E:E,'（居民）工资表-6月'!E:AG,29,0),0)</f>
        <v>0</v>
      </c>
      <c r="AG13" s="99">
        <f t="shared" si="3"/>
        <v>145.14</v>
      </c>
      <c r="AH13" s="109">
        <f t="shared" si="4"/>
        <v>9692.74</v>
      </c>
      <c r="AI13" s="110"/>
      <c r="AJ13" s="109">
        <f t="shared" si="5"/>
        <v>9692.74</v>
      </c>
      <c r="AK13" s="111"/>
      <c r="AL13" s="109">
        <f t="shared" si="6"/>
        <v>9837.88</v>
      </c>
      <c r="AM13" s="111"/>
      <c r="AN13" s="111"/>
      <c r="AO13" s="111"/>
      <c r="AP13" s="111"/>
      <c r="AQ13" s="111"/>
      <c r="AR13" s="118" t="str">
        <f t="shared" si="7"/>
        <v>正确</v>
      </c>
      <c r="AS13" s="118" t="str">
        <f t="shared" si="8"/>
        <v>不</v>
      </c>
      <c r="AT13" s="118" t="str">
        <f t="shared" si="9"/>
        <v>重复</v>
      </c>
    </row>
    <row r="14" s="12" customFormat="1" ht="18" customHeight="1" spans="1:46">
      <c r="A14" s="36">
        <v>11</v>
      </c>
      <c r="B14" s="37" t="s">
        <v>194</v>
      </c>
      <c r="C14" s="37" t="s">
        <v>237</v>
      </c>
      <c r="D14" s="37" t="s">
        <v>195</v>
      </c>
      <c r="E14" s="37" t="s">
        <v>238</v>
      </c>
      <c r="F14" s="38" t="s">
        <v>196</v>
      </c>
      <c r="G14" s="41">
        <v>15333903368</v>
      </c>
      <c r="H14" s="40"/>
      <c r="I14" s="40"/>
      <c r="J14" s="70"/>
      <c r="K14" s="40"/>
      <c r="L14" s="73">
        <v>15420</v>
      </c>
      <c r="M14" s="72">
        <v>254.32</v>
      </c>
      <c r="N14" s="72">
        <v>63.94</v>
      </c>
      <c r="O14" s="72">
        <v>9.54</v>
      </c>
      <c r="P14" s="72">
        <v>254.32</v>
      </c>
      <c r="Q14" s="91">
        <f t="shared" si="0"/>
        <v>582.12</v>
      </c>
      <c r="R14" s="73">
        <v>0</v>
      </c>
      <c r="S14" s="92">
        <f>L14+IFERROR(VLOOKUP($E:$E,'（居民）工资表-6月'!$E:$S,15,0),0)</f>
        <v>15420</v>
      </c>
      <c r="T14" s="93">
        <f>5000+IFERROR(VLOOKUP($E:$E,'（居民）工资表-6月'!$E:$T,16,0),0)</f>
        <v>5000</v>
      </c>
      <c r="U14" s="93">
        <f>Q14+IFERROR(VLOOKUP($E:$E,'（居民）工资表-6月'!$E:$U,17,0),0)</f>
        <v>582.12</v>
      </c>
      <c r="V14" s="73"/>
      <c r="W14" s="73"/>
      <c r="X14" s="73"/>
      <c r="Y14" s="73"/>
      <c r="Z14" s="73"/>
      <c r="AA14" s="73"/>
      <c r="AB14" s="92">
        <f t="shared" si="1"/>
        <v>0</v>
      </c>
      <c r="AC14" s="92">
        <f>R14+IFERROR(VLOOKUP($E:$E,'（居民）工资表-6月'!$E:$AC,25,0),0)</f>
        <v>0</v>
      </c>
      <c r="AD14" s="97">
        <f t="shared" si="2"/>
        <v>9837.88</v>
      </c>
      <c r="AE14" s="98">
        <f>ROUND(MAX((AD14)*{0.03;0.1;0.2;0.25;0.3;0.35;0.45}-{0;2520;16920;31920;52920;85920;181920},0),2)</f>
        <v>295.14</v>
      </c>
      <c r="AF14" s="99">
        <f>IFERROR(VLOOKUP(E:E,'（居民）工资表-6月'!E:AF,28,0)+VLOOKUP(E:E,'（居民）工资表-6月'!E:AG,29,0),0)</f>
        <v>0</v>
      </c>
      <c r="AG14" s="99">
        <f t="shared" si="3"/>
        <v>295.14</v>
      </c>
      <c r="AH14" s="109">
        <f t="shared" si="4"/>
        <v>14542.74</v>
      </c>
      <c r="AI14" s="110"/>
      <c r="AJ14" s="109">
        <f t="shared" si="5"/>
        <v>14542.74</v>
      </c>
      <c r="AK14" s="111"/>
      <c r="AL14" s="109">
        <f t="shared" si="6"/>
        <v>14837.88</v>
      </c>
      <c r="AM14" s="111"/>
      <c r="AN14" s="111"/>
      <c r="AO14" s="111"/>
      <c r="AP14" s="111"/>
      <c r="AQ14" s="111"/>
      <c r="AR14" s="118" t="str">
        <f t="shared" si="7"/>
        <v>正确</v>
      </c>
      <c r="AS14" s="118" t="str">
        <f t="shared" si="8"/>
        <v>不</v>
      </c>
      <c r="AT14" s="118" t="str">
        <f t="shared" si="9"/>
        <v>重复</v>
      </c>
    </row>
    <row r="15" s="12" customFormat="1" ht="18" customHeight="1" spans="1:46">
      <c r="A15" s="36">
        <v>12</v>
      </c>
      <c r="B15" s="37" t="s">
        <v>194</v>
      </c>
      <c r="C15" s="37" t="s">
        <v>239</v>
      </c>
      <c r="D15" s="37" t="s">
        <v>195</v>
      </c>
      <c r="E15" s="37" t="s">
        <v>240</v>
      </c>
      <c r="F15" s="38" t="s">
        <v>196</v>
      </c>
      <c r="G15" s="41">
        <v>18009593554</v>
      </c>
      <c r="H15" s="40"/>
      <c r="I15" s="40"/>
      <c r="J15" s="70"/>
      <c r="K15" s="40"/>
      <c r="L15" s="73">
        <v>11820</v>
      </c>
      <c r="M15" s="72">
        <v>280.96</v>
      </c>
      <c r="N15" s="72">
        <v>83.24</v>
      </c>
      <c r="O15" s="72">
        <v>17.56</v>
      </c>
      <c r="P15" s="72">
        <v>195</v>
      </c>
      <c r="Q15" s="91">
        <f t="shared" si="0"/>
        <v>576.76</v>
      </c>
      <c r="R15" s="73">
        <v>0</v>
      </c>
      <c r="S15" s="92">
        <f>L15+IFERROR(VLOOKUP($E:$E,'（居民）工资表-6月'!$E:$S,15,0),0)</f>
        <v>11820</v>
      </c>
      <c r="T15" s="93">
        <f>5000+IFERROR(VLOOKUP($E:$E,'（居民）工资表-6月'!$E:$T,16,0),0)</f>
        <v>5000</v>
      </c>
      <c r="U15" s="93">
        <f>Q15+IFERROR(VLOOKUP($E:$E,'（居民）工资表-6月'!$E:$U,17,0),0)</f>
        <v>576.76</v>
      </c>
      <c r="V15" s="73"/>
      <c r="W15" s="73"/>
      <c r="X15" s="73"/>
      <c r="Y15" s="73"/>
      <c r="Z15" s="73"/>
      <c r="AA15" s="73"/>
      <c r="AB15" s="92">
        <f t="shared" si="1"/>
        <v>0</v>
      </c>
      <c r="AC15" s="92">
        <f>R15+IFERROR(VLOOKUP($E:$E,'（居民）工资表-6月'!$E:$AC,25,0),0)</f>
        <v>0</v>
      </c>
      <c r="AD15" s="97">
        <f t="shared" si="2"/>
        <v>6243.24</v>
      </c>
      <c r="AE15" s="98">
        <f>ROUND(MAX((AD15)*{0.03;0.1;0.2;0.25;0.3;0.35;0.45}-{0;2520;16920;31920;52920;85920;181920},0),2)</f>
        <v>187.3</v>
      </c>
      <c r="AF15" s="99">
        <f>IFERROR(VLOOKUP(E:E,'（居民）工资表-6月'!E:AF,28,0)+VLOOKUP(E:E,'（居民）工资表-6月'!E:AG,29,0),0)</f>
        <v>0</v>
      </c>
      <c r="AG15" s="99">
        <f t="shared" si="3"/>
        <v>187.3</v>
      </c>
      <c r="AH15" s="109">
        <f t="shared" si="4"/>
        <v>11055.94</v>
      </c>
      <c r="AI15" s="110"/>
      <c r="AJ15" s="109">
        <f t="shared" si="5"/>
        <v>11055.94</v>
      </c>
      <c r="AK15" s="111"/>
      <c r="AL15" s="109">
        <f t="shared" si="6"/>
        <v>11243.24</v>
      </c>
      <c r="AM15" s="111"/>
      <c r="AN15" s="111"/>
      <c r="AO15" s="111"/>
      <c r="AP15" s="111"/>
      <c r="AQ15" s="111"/>
      <c r="AR15" s="118" t="str">
        <f t="shared" si="7"/>
        <v>正确</v>
      </c>
      <c r="AS15" s="118" t="str">
        <f t="shared" si="8"/>
        <v>不</v>
      </c>
      <c r="AT15" s="118" t="str">
        <f t="shared" si="9"/>
        <v>重复</v>
      </c>
    </row>
    <row r="16" s="12" customFormat="1" ht="18" customHeight="1" spans="1:46">
      <c r="A16" s="36">
        <v>13</v>
      </c>
      <c r="B16" s="37" t="s">
        <v>194</v>
      </c>
      <c r="C16" s="37" t="s">
        <v>241</v>
      </c>
      <c r="D16" s="37" t="s">
        <v>195</v>
      </c>
      <c r="E16" s="37" t="s">
        <v>242</v>
      </c>
      <c r="F16" s="38" t="s">
        <v>196</v>
      </c>
      <c r="G16" s="41">
        <v>17795512929</v>
      </c>
      <c r="H16" s="40"/>
      <c r="I16" s="40"/>
      <c r="J16" s="70"/>
      <c r="K16" s="40"/>
      <c r="L16" s="73">
        <v>11120</v>
      </c>
      <c r="M16" s="72">
        <v>280.96</v>
      </c>
      <c r="N16" s="72">
        <v>83.24</v>
      </c>
      <c r="O16" s="72">
        <v>17.56</v>
      </c>
      <c r="P16" s="72">
        <v>195</v>
      </c>
      <c r="Q16" s="91">
        <f t="shared" si="0"/>
        <v>576.76</v>
      </c>
      <c r="R16" s="73">
        <v>0</v>
      </c>
      <c r="S16" s="92">
        <f>L16+IFERROR(VLOOKUP($E:$E,'（居民）工资表-6月'!$E:$S,15,0),0)</f>
        <v>11120</v>
      </c>
      <c r="T16" s="93">
        <f>5000+IFERROR(VLOOKUP($E:$E,'（居民）工资表-6月'!$E:$T,16,0),0)</f>
        <v>5000</v>
      </c>
      <c r="U16" s="93">
        <f>Q16+IFERROR(VLOOKUP($E:$E,'（居民）工资表-6月'!$E:$U,17,0),0)</f>
        <v>576.76</v>
      </c>
      <c r="V16" s="73"/>
      <c r="W16" s="73"/>
      <c r="X16" s="73"/>
      <c r="Y16" s="73"/>
      <c r="Z16" s="73"/>
      <c r="AA16" s="73"/>
      <c r="AB16" s="92">
        <f t="shared" si="1"/>
        <v>0</v>
      </c>
      <c r="AC16" s="92">
        <f>R16+IFERROR(VLOOKUP($E:$E,'（居民）工资表-6月'!$E:$AC,25,0),0)</f>
        <v>0</v>
      </c>
      <c r="AD16" s="97">
        <f t="shared" si="2"/>
        <v>5543.24</v>
      </c>
      <c r="AE16" s="98">
        <f>ROUND(MAX((AD16)*{0.03;0.1;0.2;0.25;0.3;0.35;0.45}-{0;2520;16920;31920;52920;85920;181920},0),2)</f>
        <v>166.3</v>
      </c>
      <c r="AF16" s="99">
        <f>IFERROR(VLOOKUP(E:E,'（居民）工资表-6月'!E:AF,28,0)+VLOOKUP(E:E,'（居民）工资表-6月'!E:AG,29,0),0)</f>
        <v>0</v>
      </c>
      <c r="AG16" s="99">
        <f t="shared" si="3"/>
        <v>166.3</v>
      </c>
      <c r="AH16" s="109">
        <f t="shared" si="4"/>
        <v>10376.94</v>
      </c>
      <c r="AI16" s="110"/>
      <c r="AJ16" s="109">
        <f t="shared" si="5"/>
        <v>10376.94</v>
      </c>
      <c r="AK16" s="111"/>
      <c r="AL16" s="109">
        <f t="shared" si="6"/>
        <v>10543.24</v>
      </c>
      <c r="AM16" s="111"/>
      <c r="AN16" s="111"/>
      <c r="AO16" s="111"/>
      <c r="AP16" s="111"/>
      <c r="AQ16" s="111"/>
      <c r="AR16" s="118" t="str">
        <f t="shared" si="7"/>
        <v>正确</v>
      </c>
      <c r="AS16" s="118" t="str">
        <f>IF(SUMPRODUCT(N(E$1:E$18=E16))&gt;1,"重复","不")</f>
        <v>不</v>
      </c>
      <c r="AT16" s="118" t="str">
        <f>IF(SUMPRODUCT(N(AO$1:AO$18=AO16))&gt;1,"重复","不")</f>
        <v>重复</v>
      </c>
    </row>
    <row r="17" s="12" customFormat="1" ht="18" customHeight="1" spans="1:46">
      <c r="A17" s="36">
        <v>14</v>
      </c>
      <c r="B17" s="37" t="s">
        <v>194</v>
      </c>
      <c r="C17" s="37" t="s">
        <v>243</v>
      </c>
      <c r="D17" s="37" t="s">
        <v>195</v>
      </c>
      <c r="E17" s="37" t="s">
        <v>244</v>
      </c>
      <c r="F17" s="38" t="s">
        <v>196</v>
      </c>
      <c r="G17" s="41">
        <v>18995128068</v>
      </c>
      <c r="H17" s="40"/>
      <c r="I17" s="40"/>
      <c r="J17" s="70"/>
      <c r="K17" s="40"/>
      <c r="L17" s="73">
        <v>11120</v>
      </c>
      <c r="M17" s="72">
        <v>280.96</v>
      </c>
      <c r="N17" s="72">
        <v>83.24</v>
      </c>
      <c r="O17" s="72">
        <v>17.56</v>
      </c>
      <c r="P17" s="72">
        <v>195</v>
      </c>
      <c r="Q17" s="91">
        <f t="shared" si="0"/>
        <v>576.76</v>
      </c>
      <c r="R17" s="73">
        <v>0</v>
      </c>
      <c r="S17" s="92">
        <f>L17+IFERROR(VLOOKUP($E:$E,'（居民）工资表-6月'!$E:$S,15,0),0)</f>
        <v>11120</v>
      </c>
      <c r="T17" s="93">
        <f>5000+IFERROR(VLOOKUP($E:$E,'（居民）工资表-6月'!$E:$T,16,0),0)</f>
        <v>5000</v>
      </c>
      <c r="U17" s="93">
        <f>Q17+IFERROR(VLOOKUP($E:$E,'（居民）工资表-6月'!$E:$U,17,0),0)</f>
        <v>576.76</v>
      </c>
      <c r="V17" s="73"/>
      <c r="W17" s="73"/>
      <c r="X17" s="73"/>
      <c r="Y17" s="73"/>
      <c r="Z17" s="73"/>
      <c r="AA17" s="73"/>
      <c r="AB17" s="92">
        <f t="shared" si="1"/>
        <v>0</v>
      </c>
      <c r="AC17" s="92">
        <f>R17+IFERROR(VLOOKUP($E:$E,'（居民）工资表-6月'!$E:$AC,25,0),0)</f>
        <v>0</v>
      </c>
      <c r="AD17" s="97">
        <f t="shared" si="2"/>
        <v>5543.24</v>
      </c>
      <c r="AE17" s="98">
        <f>ROUND(MAX((AD17)*{0.03;0.1;0.2;0.25;0.3;0.35;0.45}-{0;2520;16920;31920;52920;85920;181920},0),2)</f>
        <v>166.3</v>
      </c>
      <c r="AF17" s="99">
        <f>IFERROR(VLOOKUP(E:E,'（居民）工资表-6月'!E:AF,28,0)+VLOOKUP(E:E,'（居民）工资表-6月'!E:AG,29,0),0)</f>
        <v>0</v>
      </c>
      <c r="AG17" s="99">
        <f t="shared" si="3"/>
        <v>166.3</v>
      </c>
      <c r="AH17" s="109">
        <f t="shared" si="4"/>
        <v>10376.94</v>
      </c>
      <c r="AI17" s="110"/>
      <c r="AJ17" s="109">
        <f t="shared" si="5"/>
        <v>10376.94</v>
      </c>
      <c r="AK17" s="111"/>
      <c r="AL17" s="109">
        <f t="shared" si="6"/>
        <v>10543.24</v>
      </c>
      <c r="AM17" s="111"/>
      <c r="AN17" s="111"/>
      <c r="AO17" s="111"/>
      <c r="AP17" s="111"/>
      <c r="AQ17" s="111"/>
      <c r="AR17" s="118" t="str">
        <f t="shared" si="7"/>
        <v>正确</v>
      </c>
      <c r="AS17" s="118" t="str">
        <f>IF(SUMPRODUCT(N(E$1:E$18=E17))&gt;1,"重复","不")</f>
        <v>不</v>
      </c>
      <c r="AT17" s="118" t="str">
        <f>IF(SUMPRODUCT(N(AO$1:AO$18=AO17))&gt;1,"重复","不")</f>
        <v>重复</v>
      </c>
    </row>
    <row r="18" s="12" customFormat="1" ht="18" customHeight="1" spans="1:46">
      <c r="A18" s="36">
        <v>15</v>
      </c>
      <c r="B18" s="37" t="s">
        <v>194</v>
      </c>
      <c r="C18" s="37" t="s">
        <v>245</v>
      </c>
      <c r="D18" s="37" t="s">
        <v>195</v>
      </c>
      <c r="E18" s="381" t="s">
        <v>246</v>
      </c>
      <c r="F18" s="38" t="s">
        <v>196</v>
      </c>
      <c r="G18" s="41" t="s">
        <v>203</v>
      </c>
      <c r="H18" s="40"/>
      <c r="I18" s="40"/>
      <c r="J18" s="70"/>
      <c r="K18" s="40"/>
      <c r="L18" s="73">
        <v>2363.63</v>
      </c>
      <c r="M18" s="72">
        <f>274.4*2</f>
        <v>548.8</v>
      </c>
      <c r="N18" s="72">
        <f>68.6*2</f>
        <v>137.2</v>
      </c>
      <c r="O18" s="72">
        <v>34.3</v>
      </c>
      <c r="P18" s="72">
        <f>82.5*2</f>
        <v>165</v>
      </c>
      <c r="Q18" s="91">
        <f t="shared" si="0"/>
        <v>885.3</v>
      </c>
      <c r="R18" s="73">
        <v>0</v>
      </c>
      <c r="S18" s="92">
        <f>L18+IFERROR(VLOOKUP($E:$E,'（居民）工资表-6月'!$E:$S,15,0),0)</f>
        <v>2363.63</v>
      </c>
      <c r="T18" s="93">
        <f>5000+IFERROR(VLOOKUP($E:$E,'（居民）工资表-6月'!$E:$T,16,0),0)</f>
        <v>5000</v>
      </c>
      <c r="U18" s="93">
        <f>Q18+IFERROR(VLOOKUP($E:$E,'（居民）工资表-6月'!$E:$U,17,0),0)</f>
        <v>885.3</v>
      </c>
      <c r="V18" s="73"/>
      <c r="W18" s="73"/>
      <c r="X18" s="73"/>
      <c r="Y18" s="73"/>
      <c r="Z18" s="73"/>
      <c r="AA18" s="73"/>
      <c r="AB18" s="92">
        <f t="shared" si="1"/>
        <v>0</v>
      </c>
      <c r="AC18" s="92">
        <f>R18+IFERROR(VLOOKUP($E:$E,'（居民）工资表-6月'!$E:$AC,25,0),0)</f>
        <v>0</v>
      </c>
      <c r="AD18" s="97">
        <f t="shared" si="2"/>
        <v>-3521.67</v>
      </c>
      <c r="AE18" s="98">
        <f>ROUND(MAX((AD18)*{0.03;0.1;0.2;0.25;0.3;0.35;0.45}-{0;2520;16920;31920;52920;85920;181920},0),2)</f>
        <v>0</v>
      </c>
      <c r="AF18" s="99">
        <f>IFERROR(VLOOKUP(E:E,'（居民）工资表-6月'!E:AF,28,0)+VLOOKUP(E:E,'（居民）工资表-6月'!E:AG,29,0),0)</f>
        <v>0</v>
      </c>
      <c r="AG18" s="99">
        <f t="shared" si="3"/>
        <v>0</v>
      </c>
      <c r="AH18" s="109">
        <f t="shared" si="4"/>
        <v>1478.33</v>
      </c>
      <c r="AI18" s="110"/>
      <c r="AJ18" s="109">
        <f t="shared" si="5"/>
        <v>1478.33</v>
      </c>
      <c r="AK18" s="111"/>
      <c r="AL18" s="109">
        <f t="shared" si="6"/>
        <v>1478.33</v>
      </c>
      <c r="AM18" s="111"/>
      <c r="AN18" s="111"/>
      <c r="AO18" s="111"/>
      <c r="AP18" s="111"/>
      <c r="AQ18" s="111"/>
      <c r="AR18" s="118" t="str">
        <f t="shared" si="7"/>
        <v>正确</v>
      </c>
      <c r="AS18" s="118" t="str">
        <f>IF(SUMPRODUCT(N(E$1:E$18=E18))&gt;1,"重复","不")</f>
        <v>不</v>
      </c>
      <c r="AT18" s="118" t="str">
        <f>IF(SUMPRODUCT(N(AO$1:AO$18=AO18))&gt;1,"重复","不")</f>
        <v>重复</v>
      </c>
    </row>
    <row r="19" s="13" customFormat="1" ht="18" customHeight="1" spans="1:46">
      <c r="A19" s="42"/>
      <c r="B19" s="43" t="s">
        <v>208</v>
      </c>
      <c r="C19" s="43"/>
      <c r="D19" s="44"/>
      <c r="E19" s="45"/>
      <c r="F19" s="46"/>
      <c r="G19" s="47"/>
      <c r="H19" s="46"/>
      <c r="I19" s="74"/>
      <c r="J19" s="75"/>
      <c r="K19" s="74"/>
      <c r="L19" s="76">
        <f t="shared" ref="L19:Q19" si="10">SUM(L4:L18)</f>
        <v>177213.63</v>
      </c>
      <c r="M19" s="76">
        <f t="shared" si="10"/>
        <v>4326.09</v>
      </c>
      <c r="N19" s="76">
        <f t="shared" si="10"/>
        <v>1171.64</v>
      </c>
      <c r="O19" s="76">
        <f t="shared" si="10"/>
        <v>187.88</v>
      </c>
      <c r="P19" s="76">
        <f t="shared" si="10"/>
        <v>3161.56</v>
      </c>
      <c r="Q19" s="76">
        <f t="shared" si="10"/>
        <v>8847.17</v>
      </c>
      <c r="R19" s="76">
        <f t="shared" ref="R19:AL19" si="11">SUM(R4:R18)</f>
        <v>0</v>
      </c>
      <c r="S19" s="76">
        <f t="shared" si="11"/>
        <v>257413.63</v>
      </c>
      <c r="T19" s="76">
        <f t="shared" si="11"/>
        <v>135000</v>
      </c>
      <c r="U19" s="76">
        <f t="shared" si="11"/>
        <v>15929.08</v>
      </c>
      <c r="V19" s="76">
        <f t="shared" si="11"/>
        <v>7000</v>
      </c>
      <c r="W19" s="76">
        <f t="shared" si="11"/>
        <v>4000</v>
      </c>
      <c r="X19" s="76">
        <f t="shared" si="11"/>
        <v>19000</v>
      </c>
      <c r="Y19" s="76">
        <f t="shared" si="11"/>
        <v>16500</v>
      </c>
      <c r="Z19" s="76">
        <f t="shared" si="11"/>
        <v>4400</v>
      </c>
      <c r="AA19" s="76">
        <f t="shared" si="11"/>
        <v>0</v>
      </c>
      <c r="AB19" s="76">
        <f t="shared" si="11"/>
        <v>50900</v>
      </c>
      <c r="AC19" s="76">
        <f t="shared" si="11"/>
        <v>0</v>
      </c>
      <c r="AD19" s="76">
        <f t="shared" si="11"/>
        <v>55584.55</v>
      </c>
      <c r="AE19" s="76">
        <f t="shared" si="11"/>
        <v>2430.6</v>
      </c>
      <c r="AF19" s="76">
        <f t="shared" si="11"/>
        <v>393.54</v>
      </c>
      <c r="AG19" s="76">
        <f t="shared" si="11"/>
        <v>2218.02</v>
      </c>
      <c r="AH19" s="76">
        <f t="shared" si="11"/>
        <v>166148.44</v>
      </c>
      <c r="AI19" s="126">
        <f t="shared" si="11"/>
        <v>0</v>
      </c>
      <c r="AJ19" s="76">
        <f t="shared" si="11"/>
        <v>166148.44</v>
      </c>
      <c r="AK19" s="76">
        <f t="shared" si="11"/>
        <v>0</v>
      </c>
      <c r="AL19" s="76">
        <f t="shared" si="11"/>
        <v>168366.46</v>
      </c>
      <c r="AM19" s="112"/>
      <c r="AN19" s="112"/>
      <c r="AO19" s="112"/>
      <c r="AP19" s="112"/>
      <c r="AQ19" s="112"/>
      <c r="AR19" s="46"/>
      <c r="AS19" s="46"/>
      <c r="AT19" s="120"/>
    </row>
    <row r="22" spans="30:30">
      <c r="AD22" s="103"/>
    </row>
    <row r="23" ht="18.75" customHeight="1" spans="2:30">
      <c r="B23" s="48" t="s">
        <v>175</v>
      </c>
      <c r="C23" s="48" t="s">
        <v>209</v>
      </c>
      <c r="D23" s="48" t="s">
        <v>22</v>
      </c>
      <c r="E23" s="48" t="s">
        <v>23</v>
      </c>
      <c r="AD23" s="10"/>
    </row>
    <row r="24" ht="18.75" customHeight="1" spans="2:5">
      <c r="B24" s="49">
        <f>AJ19</f>
        <v>166148.44</v>
      </c>
      <c r="C24" s="49">
        <f>AG19</f>
        <v>2218.02</v>
      </c>
      <c r="D24" s="49">
        <f>AK19</f>
        <v>0</v>
      </c>
      <c r="E24" s="49">
        <f>B24+C24+D24</f>
        <v>168366.46</v>
      </c>
    </row>
    <row r="25" spans="2:5">
      <c r="B25" s="50"/>
      <c r="C25" s="50"/>
      <c r="D25" s="50"/>
      <c r="E25" s="50">
        <f>社保1!BC21</f>
        <v>27448.28</v>
      </c>
    </row>
    <row r="26" s="14" customFormat="1" spans="1:35">
      <c r="A26" s="52" t="s">
        <v>210</v>
      </c>
      <c r="B26" s="53" t="s">
        <v>211</v>
      </c>
      <c r="C26" s="51"/>
      <c r="D26" s="51"/>
      <c r="E26" s="51"/>
      <c r="G26" s="54"/>
      <c r="J26" s="77"/>
      <c r="M26" s="78"/>
      <c r="AI26" s="114"/>
    </row>
    <row r="27" s="14" customFormat="1" spans="1:35">
      <c r="A27" s="55"/>
      <c r="B27" s="56" t="s">
        <v>212</v>
      </c>
      <c r="C27" s="51"/>
      <c r="D27" s="51"/>
      <c r="E27" s="51"/>
      <c r="G27" s="54"/>
      <c r="J27" s="77"/>
      <c r="M27" s="78"/>
      <c r="AI27" s="114"/>
    </row>
    <row r="28" s="14" customFormat="1" spans="1:35">
      <c r="A28" s="53"/>
      <c r="B28" s="56" t="s">
        <v>213</v>
      </c>
      <c r="C28" s="57"/>
      <c r="D28" s="57"/>
      <c r="E28" s="57"/>
      <c r="F28" s="57"/>
      <c r="G28" s="57"/>
      <c r="H28" s="57"/>
      <c r="I28" s="57"/>
      <c r="J28" s="79"/>
      <c r="K28" s="57"/>
      <c r="L28" s="57"/>
      <c r="M28" s="80"/>
      <c r="N28" s="57"/>
      <c r="O28" s="57"/>
      <c r="P28" s="57"/>
      <c r="AI28" s="114"/>
    </row>
    <row r="29" s="14" customFormat="1" customHeight="1" spans="1:35">
      <c r="A29" s="56"/>
      <c r="B29" s="56" t="s">
        <v>214</v>
      </c>
      <c r="C29" s="58"/>
      <c r="D29" s="58"/>
      <c r="E29" s="58"/>
      <c r="F29" s="58"/>
      <c r="G29" s="58"/>
      <c r="H29" s="58"/>
      <c r="I29" s="81"/>
      <c r="J29" s="82"/>
      <c r="K29" s="81"/>
      <c r="L29" s="81"/>
      <c r="M29" s="83"/>
      <c r="N29" s="81"/>
      <c r="O29" s="81"/>
      <c r="P29" s="81"/>
      <c r="AI29" s="114"/>
    </row>
    <row r="30" s="14" customFormat="1" customHeight="1" spans="1:35">
      <c r="A30" s="56"/>
      <c r="B30" s="56" t="s">
        <v>215</v>
      </c>
      <c r="C30" s="58"/>
      <c r="D30" s="58"/>
      <c r="E30" s="58"/>
      <c r="F30" s="58"/>
      <c r="G30" s="58"/>
      <c r="H30" s="58"/>
      <c r="I30" s="58"/>
      <c r="J30" s="84"/>
      <c r="K30" s="58"/>
      <c r="L30" s="81"/>
      <c r="M30" s="83"/>
      <c r="N30" s="81"/>
      <c r="O30" s="81"/>
      <c r="P30" s="81"/>
      <c r="AI30" s="114"/>
    </row>
    <row r="31" s="14" customFormat="1" customHeight="1" spans="1:35">
      <c r="A31" s="56"/>
      <c r="B31" s="56" t="s">
        <v>216</v>
      </c>
      <c r="C31" s="58"/>
      <c r="D31" s="58"/>
      <c r="E31" s="58"/>
      <c r="F31" s="58"/>
      <c r="G31" s="58"/>
      <c r="H31" s="58"/>
      <c r="I31" s="81"/>
      <c r="J31" s="82"/>
      <c r="K31" s="81"/>
      <c r="L31" s="81"/>
      <c r="M31" s="83"/>
      <c r="N31" s="81"/>
      <c r="O31" s="81"/>
      <c r="P31" s="81"/>
      <c r="AI31" s="114"/>
    </row>
    <row r="33" ht="11.25" customHeight="1" spans="2:2">
      <c r="B33" s="59" t="s">
        <v>217</v>
      </c>
    </row>
    <row r="34" spans="2:2">
      <c r="B34" s="60" t="s">
        <v>218</v>
      </c>
    </row>
    <row r="35" spans="2:2">
      <c r="B35" s="60" t="s">
        <v>219</v>
      </c>
    </row>
  </sheetData>
  <autoFilter ref="A3:AT1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1">
    <cfRule type="duplicateValues" dxfId="3" priority="2" stopIfTrue="1"/>
  </conditionalFormatting>
  <conditionalFormatting sqref="B26:B30">
    <cfRule type="duplicateValues" dxfId="3" priority="3" stopIfTrue="1"/>
  </conditionalFormatting>
  <conditionalFormatting sqref="B34:B35">
    <cfRule type="duplicateValues" dxfId="3" priority="1" stopIfTrue="1"/>
  </conditionalFormatting>
  <conditionalFormatting sqref="C23:C25">
    <cfRule type="duplicateValues" dxfId="3" priority="4" stopIfTrue="1"/>
    <cfRule type="expression" dxfId="4" priority="5" stopIfTrue="1">
      <formula>AND(COUNTIF($B$19:$B$65455,C23)+COUNTIF($B$1:$B$3,C23)&gt;1,NOT(ISBLANK(C23)))</formula>
    </cfRule>
    <cfRule type="expression" dxfId="4" priority="6" stopIfTrue="1">
      <formula>AND(COUNTIF($B$30:$B$65406,C23)+COUNTIF($B$1:$B$29,C23)&gt;1,NOT(ISBLANK(C23)))</formula>
    </cfRule>
    <cfRule type="expression" dxfId="4" priority="7" stopIfTrue="1">
      <formula>AND(COUNTIF($B$19:$B$65444,C23)+COUNTIF($B$1:$B$3,C23)&gt;1,NOT(ISBLANK(C23)))</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50"/>
    <pageSetUpPr fitToPage="1"/>
  </sheetPr>
  <dimension ref="A1:AT36"/>
  <sheetViews>
    <sheetView workbookViewId="0">
      <pane xSplit="6" ySplit="3" topLeftCell="Q4" activePane="bottomRight" state="frozen"/>
      <selection/>
      <selection pane="topRight"/>
      <selection pane="bottomLeft"/>
      <selection pane="bottomRight" activeCell="W6" sqref="W6: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194</v>
      </c>
      <c r="C4" s="37" t="s">
        <v>43</v>
      </c>
      <c r="D4" s="37" t="s">
        <v>195</v>
      </c>
      <c r="E4" s="37" t="s">
        <v>44</v>
      </c>
      <c r="F4" s="38" t="s">
        <v>196</v>
      </c>
      <c r="G4" s="41">
        <v>18035163638</v>
      </c>
      <c r="H4" s="40"/>
      <c r="I4" s="40"/>
      <c r="J4" s="70"/>
      <c r="K4" s="40"/>
      <c r="L4" s="73">
        <v>10560</v>
      </c>
      <c r="M4" s="72">
        <v>422.72</v>
      </c>
      <c r="N4" s="72">
        <v>66</v>
      </c>
      <c r="O4" s="72">
        <v>15.82</v>
      </c>
      <c r="P4" s="72">
        <v>180</v>
      </c>
      <c r="Q4" s="91">
        <f>ROUND(SUM(M4:P4),2)</f>
        <v>684.54</v>
      </c>
      <c r="R4" s="73">
        <v>0</v>
      </c>
      <c r="S4" s="92">
        <f>L4+IFERROR(VLOOKUP($E:$E,'（居民）工资表-7月'!$E:$S,15,0),0)</f>
        <v>20790</v>
      </c>
      <c r="T4" s="93">
        <f>5000+IFERROR(VLOOKUP($E:$E,'（居民）工资表-7月'!$E:$T,16,0),0)</f>
        <v>10000</v>
      </c>
      <c r="U4" s="93">
        <f>Q4+IFERROR(VLOOKUP($E:$E,'（居民）工资表-7月'!$E:$U,17,0),0)</f>
        <v>1204.44</v>
      </c>
      <c r="V4" s="73">
        <v>8000</v>
      </c>
      <c r="W4" s="73"/>
      <c r="X4" s="73">
        <v>8000</v>
      </c>
      <c r="Y4" s="73"/>
      <c r="Z4" s="73">
        <v>3200</v>
      </c>
      <c r="AA4" s="73"/>
      <c r="AB4" s="92">
        <f>ROUND(SUM(V4:AA4),2)</f>
        <v>19200</v>
      </c>
      <c r="AC4" s="92">
        <f>R4+IFERROR(VLOOKUP($E:$E,'（居民）工资表-7月'!$E:$AC,25,0),0)</f>
        <v>0</v>
      </c>
      <c r="AD4" s="97">
        <f>ROUND(S4-T4-U4-AB4-AC4,2)</f>
        <v>-9614.44</v>
      </c>
      <c r="AE4" s="98">
        <f>ROUND(MAX((AD4)*{0.03;0.1;0.2;0.25;0.3;0.35;0.45}-{0;2520;16920;31920;52920;85920;181920},0),2)</f>
        <v>0</v>
      </c>
      <c r="AF4" s="99">
        <f>IFERROR(VLOOKUP(E:E,'（居民）工资表-7月'!E:AF,28,0)+VLOOKUP(E:E,'（居民）工资表-7月'!E:AG,29,0),0)</f>
        <v>0</v>
      </c>
      <c r="AG4" s="99">
        <f>IF((AE4-AF4)&lt;0,0,AE4-AF4)</f>
        <v>0</v>
      </c>
      <c r="AH4" s="109">
        <f>ROUND(IF((L4-Q4-AG4)&lt;0,0,(L4-Q4-AG4)),2)</f>
        <v>9875.46</v>
      </c>
      <c r="AI4" s="110"/>
      <c r="AJ4" s="109">
        <f>AH4+AI4</f>
        <v>9875.46</v>
      </c>
      <c r="AK4" s="111"/>
      <c r="AL4" s="109">
        <f>AJ4+AG4+AK4</f>
        <v>9875.46</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IF(SUMPRODUCT(N(E$1:E$18=E4))&gt;1,"重复","不")</f>
        <v>不</v>
      </c>
      <c r="AT4" s="118" t="str">
        <f>IF(SUMPRODUCT(N(AO$1:AO$18=AO4))&gt;1,"重复","不")</f>
        <v>重复</v>
      </c>
    </row>
    <row r="5" s="12" customFormat="1" ht="18" customHeight="1" spans="1:46">
      <c r="A5" s="36">
        <v>2</v>
      </c>
      <c r="B5" s="37" t="s">
        <v>194</v>
      </c>
      <c r="C5" s="37" t="s">
        <v>61</v>
      </c>
      <c r="D5" s="37" t="s">
        <v>195</v>
      </c>
      <c r="E5" s="37" t="s">
        <v>62</v>
      </c>
      <c r="F5" s="38" t="s">
        <v>196</v>
      </c>
      <c r="G5" s="41">
        <v>13944441728</v>
      </c>
      <c r="H5" s="40"/>
      <c r="I5" s="40"/>
      <c r="J5" s="70"/>
      <c r="K5" s="40"/>
      <c r="L5" s="73">
        <v>7000</v>
      </c>
      <c r="M5" s="72">
        <v>268.81</v>
      </c>
      <c r="N5" s="72">
        <v>72.06</v>
      </c>
      <c r="O5" s="72">
        <v>10.08</v>
      </c>
      <c r="P5" s="72">
        <v>82</v>
      </c>
      <c r="Q5" s="91">
        <f>ROUND(SUM(M5:P5),2)</f>
        <v>432.95</v>
      </c>
      <c r="R5" s="73">
        <v>0</v>
      </c>
      <c r="S5" s="92">
        <f>L5+IFERROR(VLOOKUP($E:$E,'（居民）工资表-7月'!$E:$S,15,0),0)</f>
        <v>60000</v>
      </c>
      <c r="T5" s="93">
        <f>5000+IFERROR(VLOOKUP($E:$E,'（居民）工资表-7月'!$E:$T,16,0),0)</f>
        <v>40000</v>
      </c>
      <c r="U5" s="93">
        <f>Q5+IFERROR(VLOOKUP($E:$E,'（居民）工资表-7月'!$E:$U,17,0),0)</f>
        <v>4347.09</v>
      </c>
      <c r="V5" s="73"/>
      <c r="W5" s="73"/>
      <c r="X5" s="73">
        <v>8000</v>
      </c>
      <c r="Y5" s="73"/>
      <c r="Z5" s="73"/>
      <c r="AA5" s="73"/>
      <c r="AB5" s="92">
        <f>ROUND(SUM(V5:AA5),2)</f>
        <v>8000</v>
      </c>
      <c r="AC5" s="92">
        <f>R5+IFERROR(VLOOKUP($E:$E,'（居民）工资表-7月'!$E:$AC,25,0),0)</f>
        <v>0</v>
      </c>
      <c r="AD5" s="97">
        <f>ROUND(S5-T5-U5-AB5-AC5,2)</f>
        <v>7652.91</v>
      </c>
      <c r="AE5" s="98">
        <f>ROUND(MAX((AD5)*{0.03;0.1;0.2;0.25;0.3;0.35;0.45}-{0;2520;16920;31920;52920;85920;181920},0),2)</f>
        <v>229.59</v>
      </c>
      <c r="AF5" s="99">
        <f>IFERROR(VLOOKUP(E:E,'（居民）工资表-7月'!E:AF,28,0)+VLOOKUP(E:E,'（居民）工资表-7月'!E:AG,29,0),0)</f>
        <v>375.56</v>
      </c>
      <c r="AG5" s="99">
        <f>IF((AE5-AF5)&lt;0,0,AE5-AF5)</f>
        <v>0</v>
      </c>
      <c r="AH5" s="109">
        <f>ROUND(IF((L5-Q5-AG5)&lt;0,0,(L5-Q5-AG5)),2)</f>
        <v>6567.05</v>
      </c>
      <c r="AI5" s="110"/>
      <c r="AJ5" s="109">
        <f>AH5+AI5</f>
        <v>6567.05</v>
      </c>
      <c r="AK5" s="111"/>
      <c r="AL5" s="109">
        <f>AJ5+AG5+AK5</f>
        <v>6567.05</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IF(SUMPRODUCT(N(E$1:E$18=E5))&gt;1,"重复","不")</f>
        <v>不</v>
      </c>
      <c r="AT5" s="118" t="str">
        <f>IF(SUMPRODUCT(N(AO$1:AO$18=AO5))&gt;1,"重复","不")</f>
        <v>重复</v>
      </c>
    </row>
    <row r="6" s="12" customFormat="1" ht="18" customHeight="1" spans="1:46">
      <c r="A6" s="36">
        <v>3</v>
      </c>
      <c r="B6" s="37" t="s">
        <v>194</v>
      </c>
      <c r="C6" s="37" t="s">
        <v>101</v>
      </c>
      <c r="D6" s="37" t="s">
        <v>195</v>
      </c>
      <c r="E6" s="381" t="s">
        <v>102</v>
      </c>
      <c r="F6" s="38" t="s">
        <v>198</v>
      </c>
      <c r="G6" s="41">
        <v>15360550807</v>
      </c>
      <c r="H6" s="40"/>
      <c r="I6" s="40"/>
      <c r="J6" s="70"/>
      <c r="K6" s="40"/>
      <c r="L6" s="73">
        <v>5700</v>
      </c>
      <c r="M6" s="72">
        <v>367.04</v>
      </c>
      <c r="N6" s="72">
        <v>153.42</v>
      </c>
      <c r="O6" s="72">
        <v>4.6</v>
      </c>
      <c r="P6" s="72">
        <v>115</v>
      </c>
      <c r="Q6" s="91">
        <f t="shared" ref="Q6:Q19" si="0">ROUND(SUM(M6:P6),2)</f>
        <v>640.06</v>
      </c>
      <c r="R6" s="73">
        <v>0</v>
      </c>
      <c r="S6" s="92">
        <f>L6+IFERROR(VLOOKUP($E:$E,'（居民）工资表-7月'!$E:$S,15,0),0)</f>
        <v>45600</v>
      </c>
      <c r="T6" s="93">
        <f>5000+IFERROR(VLOOKUP($E:$E,'（居民）工资表-7月'!$E:$T,16,0),0)</f>
        <v>40000</v>
      </c>
      <c r="U6" s="93">
        <f>Q6+IFERROR(VLOOKUP($E:$E,'（居民）工资表-7月'!$E:$U,17,0),0)</f>
        <v>4862.56</v>
      </c>
      <c r="V6" s="73"/>
      <c r="W6" s="73"/>
      <c r="X6" s="73"/>
      <c r="Y6" s="73">
        <v>12000</v>
      </c>
      <c r="Z6" s="73"/>
      <c r="AA6" s="73"/>
      <c r="AB6" s="92">
        <f t="shared" ref="AB6:AB19" si="1">ROUND(SUM(V6:AA6),2)</f>
        <v>12000</v>
      </c>
      <c r="AC6" s="92">
        <f>R6+IFERROR(VLOOKUP($E:$E,'（居民）工资表-7月'!$E:$AC,25,0),0)</f>
        <v>0</v>
      </c>
      <c r="AD6" s="97">
        <f t="shared" ref="AD6:AD19" si="2">ROUND(S6-T6-U6-AB6-AC6,2)</f>
        <v>-11262.56</v>
      </c>
      <c r="AE6" s="98">
        <f>ROUND(MAX((AD6)*{0.03;0.1;0.2;0.25;0.3;0.35;0.45}-{0;2520;16920;31920;52920;85920;181920},0),2)</f>
        <v>0</v>
      </c>
      <c r="AF6" s="99">
        <f>IFERROR(VLOOKUP(E:E,'（居民）工资表-7月'!E:AF,28,0)+VLOOKUP(E:E,'（居民）工资表-7月'!E:AG,29,0),0)</f>
        <v>17.98</v>
      </c>
      <c r="AG6" s="99">
        <f t="shared" ref="AG6:AG19" si="3">IF((AE6-AF6)&lt;0,0,AE6-AF6)</f>
        <v>0</v>
      </c>
      <c r="AH6" s="109">
        <f t="shared" ref="AH6:AH19" si="4">ROUND(IF((L6-Q6-AG6)&lt;0,0,(L6-Q6-AG6)),2)</f>
        <v>5059.94</v>
      </c>
      <c r="AI6" s="110"/>
      <c r="AJ6" s="109">
        <f t="shared" ref="AJ6:AJ19" si="5">AH6+AI6</f>
        <v>5059.94</v>
      </c>
      <c r="AK6" s="111"/>
      <c r="AL6" s="109">
        <f t="shared" ref="AL6:AL19" si="6">AJ6+AG6+AK6</f>
        <v>5059.94</v>
      </c>
      <c r="AM6" s="111"/>
      <c r="AN6" s="111"/>
      <c r="AO6" s="111"/>
      <c r="AP6" s="111"/>
      <c r="AQ6" s="111"/>
      <c r="AR6" s="118" t="str">
        <f t="shared" ref="AR6:AR19"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 t="shared" ref="AS6:AS16" si="8">IF(SUMPRODUCT(N(E$1:E$18=E6))&gt;1,"重复","不")</f>
        <v>不</v>
      </c>
      <c r="AT6" s="118" t="str">
        <f t="shared" ref="AT6:AT16" si="9">IF(SUMPRODUCT(N(AO$1:AO$18=AO6))&gt;1,"重复","不")</f>
        <v>重复</v>
      </c>
    </row>
    <row r="7" s="12" customFormat="1" ht="18" customHeight="1" spans="1:46">
      <c r="A7" s="36">
        <v>4</v>
      </c>
      <c r="B7" s="37" t="s">
        <v>194</v>
      </c>
      <c r="C7" s="37" t="s">
        <v>220</v>
      </c>
      <c r="D7" s="37" t="s">
        <v>195</v>
      </c>
      <c r="E7" s="37" t="s">
        <v>221</v>
      </c>
      <c r="F7" s="38" t="s">
        <v>196</v>
      </c>
      <c r="G7" s="41">
        <v>18037463616</v>
      </c>
      <c r="H7" s="40"/>
      <c r="I7" s="40"/>
      <c r="J7" s="70"/>
      <c r="K7" s="40"/>
      <c r="L7" s="73">
        <v>14320</v>
      </c>
      <c r="M7" s="72">
        <v>309.52</v>
      </c>
      <c r="N7" s="72">
        <v>77.38</v>
      </c>
      <c r="O7" s="72">
        <v>11.61</v>
      </c>
      <c r="P7" s="72">
        <v>254.32</v>
      </c>
      <c r="Q7" s="91">
        <f t="shared" si="0"/>
        <v>652.83</v>
      </c>
      <c r="R7" s="73">
        <v>0</v>
      </c>
      <c r="S7" s="92">
        <f>L7+IFERROR(VLOOKUP($E:$E,'（居民）工资表-7月'!$E:$S,15,0),0)</f>
        <v>28940</v>
      </c>
      <c r="T7" s="93">
        <f>5000+IFERROR(VLOOKUP($E:$E,'（居民）工资表-7月'!$E:$T,16,0),0)</f>
        <v>10000</v>
      </c>
      <c r="U7" s="93">
        <f>Q7+IFERROR(VLOOKUP($E:$E,'（居民）工资表-7月'!$E:$U,17,0),0)</f>
        <v>1234.95</v>
      </c>
      <c r="V7" s="73"/>
      <c r="W7" s="73"/>
      <c r="Y7" s="73"/>
      <c r="Z7" s="73"/>
      <c r="AA7" s="73"/>
      <c r="AB7" s="92">
        <f t="shared" si="1"/>
        <v>0</v>
      </c>
      <c r="AC7" s="92">
        <f>R7+IFERROR(VLOOKUP($E:$E,'（居民）工资表-7月'!$E:$AC,25,0),0)</f>
        <v>0</v>
      </c>
      <c r="AD7" s="97">
        <f t="shared" si="2"/>
        <v>17705.05</v>
      </c>
      <c r="AE7" s="98">
        <f>ROUND(MAX((AD7)*{0.03;0.1;0.2;0.25;0.3;0.35;0.45}-{0;2520;16920;31920;52920;85920;181920},0),2)</f>
        <v>531.15</v>
      </c>
      <c r="AF7" s="99">
        <f>IFERROR(VLOOKUP(E:E,'（居民）工资表-7月'!E:AF,28,0)+VLOOKUP(E:E,'（居民）工资表-7月'!E:AG,29,0),0)</f>
        <v>121.14</v>
      </c>
      <c r="AG7" s="99">
        <f t="shared" si="3"/>
        <v>410.01</v>
      </c>
      <c r="AH7" s="109">
        <f t="shared" si="4"/>
        <v>13257.16</v>
      </c>
      <c r="AI7" s="110"/>
      <c r="AJ7" s="109">
        <f t="shared" si="5"/>
        <v>13257.16</v>
      </c>
      <c r="AK7" s="111"/>
      <c r="AL7" s="109">
        <f t="shared" si="6"/>
        <v>13667.17</v>
      </c>
      <c r="AM7" s="111"/>
      <c r="AN7" s="111"/>
      <c r="AO7" s="111"/>
      <c r="AP7" s="111"/>
      <c r="AQ7" s="111"/>
      <c r="AR7" s="118" t="str">
        <f t="shared" si="7"/>
        <v>正确</v>
      </c>
      <c r="AS7" s="118" t="str">
        <f t="shared" si="8"/>
        <v>不</v>
      </c>
      <c r="AT7" s="118" t="str">
        <f t="shared" si="9"/>
        <v>重复</v>
      </c>
    </row>
    <row r="8" s="12" customFormat="1" ht="18" customHeight="1" spans="1:46">
      <c r="A8" s="36">
        <v>5</v>
      </c>
      <c r="B8" s="37" t="s">
        <v>194</v>
      </c>
      <c r="C8" s="37" t="s">
        <v>222</v>
      </c>
      <c r="D8" s="37" t="s">
        <v>195</v>
      </c>
      <c r="E8" s="381" t="s">
        <v>223</v>
      </c>
      <c r="F8" s="38" t="s">
        <v>196</v>
      </c>
      <c r="G8" s="41">
        <v>18500634358</v>
      </c>
      <c r="H8" s="40"/>
      <c r="I8" s="40"/>
      <c r="J8" s="70"/>
      <c r="K8" s="40"/>
      <c r="L8" s="73">
        <v>14620</v>
      </c>
      <c r="M8" s="72">
        <v>309.52</v>
      </c>
      <c r="N8" s="72">
        <v>77.38</v>
      </c>
      <c r="O8" s="72">
        <v>11.61</v>
      </c>
      <c r="P8" s="72">
        <v>254.32</v>
      </c>
      <c r="Q8" s="91">
        <f t="shared" si="0"/>
        <v>652.83</v>
      </c>
      <c r="R8" s="73">
        <v>0</v>
      </c>
      <c r="S8" s="92">
        <f>L8+IFERROR(VLOOKUP($E:$E,'（居民）工资表-7月'!$E:$S,15,0),0)</f>
        <v>29540</v>
      </c>
      <c r="T8" s="93">
        <f>5000+IFERROR(VLOOKUP($E:$E,'（居民）工资表-7月'!$E:$T,16,0),0)</f>
        <v>10000</v>
      </c>
      <c r="U8" s="93">
        <f>Q8+IFERROR(VLOOKUP($E:$E,'（居民）工资表-7月'!$E:$U,17,0),0)</f>
        <v>1234.95</v>
      </c>
      <c r="V8" s="73"/>
      <c r="W8" s="73"/>
      <c r="X8" s="73">
        <v>5000</v>
      </c>
      <c r="Y8" s="73"/>
      <c r="Z8" s="73"/>
      <c r="AA8" s="73"/>
      <c r="AB8" s="92">
        <f t="shared" si="1"/>
        <v>5000</v>
      </c>
      <c r="AC8" s="92">
        <f>R8+IFERROR(VLOOKUP($E:$E,'（居民）工资表-7月'!$E:$AC,25,0),0)</f>
        <v>0</v>
      </c>
      <c r="AD8" s="97">
        <f t="shared" si="2"/>
        <v>13305.05</v>
      </c>
      <c r="AE8" s="98">
        <f>ROUND(MAX((AD8)*{0.03;0.1;0.2;0.25;0.3;0.35;0.45}-{0;2520;16920;31920;52920;85920;181920},0),2)</f>
        <v>399.15</v>
      </c>
      <c r="AF8" s="99">
        <f>IFERROR(VLOOKUP(E:E,'（居民）工资表-7月'!E:AF,28,0)+VLOOKUP(E:E,'（居民）工资表-7月'!E:AG,29,0),0)</f>
        <v>280.14</v>
      </c>
      <c r="AG8" s="99">
        <f t="shared" si="3"/>
        <v>119.01</v>
      </c>
      <c r="AH8" s="109">
        <f t="shared" si="4"/>
        <v>13848.16</v>
      </c>
      <c r="AI8" s="110"/>
      <c r="AJ8" s="109">
        <f t="shared" si="5"/>
        <v>13848.16</v>
      </c>
      <c r="AK8" s="111"/>
      <c r="AL8" s="109">
        <f t="shared" si="6"/>
        <v>13967.17</v>
      </c>
      <c r="AM8" s="111"/>
      <c r="AN8" s="111"/>
      <c r="AO8" s="111"/>
      <c r="AP8" s="111"/>
      <c r="AQ8" s="111"/>
      <c r="AR8" s="118" t="str">
        <f t="shared" si="7"/>
        <v>正确</v>
      </c>
      <c r="AS8" s="118" t="str">
        <f t="shared" si="8"/>
        <v>不</v>
      </c>
      <c r="AT8" s="118" t="str">
        <f t="shared" si="9"/>
        <v>重复</v>
      </c>
    </row>
    <row r="9" s="12" customFormat="1" ht="18" customHeight="1" spans="1:46">
      <c r="A9" s="36">
        <v>6</v>
      </c>
      <c r="B9" s="37" t="s">
        <v>194</v>
      </c>
      <c r="C9" s="37" t="s">
        <v>224</v>
      </c>
      <c r="D9" s="37" t="s">
        <v>195</v>
      </c>
      <c r="E9" s="37" t="s">
        <v>225</v>
      </c>
      <c r="F9" s="38" t="s">
        <v>196</v>
      </c>
      <c r="G9" s="41">
        <v>18738169923</v>
      </c>
      <c r="H9" s="40"/>
      <c r="I9" s="40"/>
      <c r="J9" s="70"/>
      <c r="K9" s="40"/>
      <c r="L9" s="73">
        <v>12120</v>
      </c>
      <c r="M9" s="72">
        <v>309.52</v>
      </c>
      <c r="N9" s="72">
        <v>77.38</v>
      </c>
      <c r="O9" s="72">
        <v>11.61</v>
      </c>
      <c r="P9" s="72">
        <v>254.32</v>
      </c>
      <c r="Q9" s="91">
        <f t="shared" si="0"/>
        <v>652.83</v>
      </c>
      <c r="R9" s="73">
        <v>0</v>
      </c>
      <c r="S9" s="92">
        <f>L9+IFERROR(VLOOKUP($E:$E,'（居民）工资表-7月'!$E:$S,15,0),0)</f>
        <v>24540</v>
      </c>
      <c r="T9" s="93">
        <f>5000+IFERROR(VLOOKUP($E:$E,'（居民）工资表-7月'!$E:$T,16,0),0)</f>
        <v>10000</v>
      </c>
      <c r="U9" s="93">
        <f>Q9+IFERROR(VLOOKUP($E:$E,'（居民）工资表-7月'!$E:$U,17,0),0)</f>
        <v>1234.95</v>
      </c>
      <c r="V9" s="73"/>
      <c r="W9" s="73"/>
      <c r="X9" s="73"/>
      <c r="Y9" s="73"/>
      <c r="Z9" s="73"/>
      <c r="AA9" s="73"/>
      <c r="AB9" s="92">
        <f t="shared" si="1"/>
        <v>0</v>
      </c>
      <c r="AC9" s="92">
        <f>R9+IFERROR(VLOOKUP($E:$E,'（居民）工资表-7月'!$E:$AC,25,0),0)</f>
        <v>0</v>
      </c>
      <c r="AD9" s="97">
        <f t="shared" si="2"/>
        <v>13305.05</v>
      </c>
      <c r="AE9" s="98">
        <f>ROUND(MAX((AD9)*{0.03;0.1;0.2;0.25;0.3;0.35;0.45}-{0;2520;16920;31920;52920;85920;181920},0),2)</f>
        <v>399.15</v>
      </c>
      <c r="AF9" s="99">
        <f>IFERROR(VLOOKUP(E:E,'（居民）工资表-7月'!E:AF,28,0)+VLOOKUP(E:E,'（居民）工资表-7月'!E:AG,29,0),0)</f>
        <v>205.14</v>
      </c>
      <c r="AG9" s="99">
        <f t="shared" si="3"/>
        <v>194.01</v>
      </c>
      <c r="AH9" s="109">
        <f t="shared" si="4"/>
        <v>11273.16</v>
      </c>
      <c r="AI9" s="110"/>
      <c r="AJ9" s="109">
        <f t="shared" si="5"/>
        <v>11273.16</v>
      </c>
      <c r="AK9" s="111"/>
      <c r="AL9" s="109">
        <f t="shared" si="6"/>
        <v>11467.17</v>
      </c>
      <c r="AM9" s="111"/>
      <c r="AN9" s="111"/>
      <c r="AO9" s="111"/>
      <c r="AP9" s="111"/>
      <c r="AQ9" s="111"/>
      <c r="AR9" s="118" t="str">
        <f t="shared" si="7"/>
        <v>正确</v>
      </c>
      <c r="AS9" s="118" t="str">
        <f t="shared" si="8"/>
        <v>不</v>
      </c>
      <c r="AT9" s="118" t="str">
        <f t="shared" si="9"/>
        <v>重复</v>
      </c>
    </row>
    <row r="10" s="12" customFormat="1" ht="18" customHeight="1" spans="1:46">
      <c r="A10" s="36">
        <v>7</v>
      </c>
      <c r="B10" s="37" t="s">
        <v>194</v>
      </c>
      <c r="C10" s="37" t="s">
        <v>226</v>
      </c>
      <c r="D10" s="37" t="s">
        <v>195</v>
      </c>
      <c r="E10" s="37" t="s">
        <v>227</v>
      </c>
      <c r="F10" s="38" t="s">
        <v>196</v>
      </c>
      <c r="G10" s="41" t="s">
        <v>228</v>
      </c>
      <c r="H10" s="40"/>
      <c r="I10" s="40"/>
      <c r="J10" s="70"/>
      <c r="K10" s="40"/>
      <c r="L10" s="73">
        <v>17120</v>
      </c>
      <c r="M10" s="72">
        <v>309.52</v>
      </c>
      <c r="N10" s="72">
        <v>77.38</v>
      </c>
      <c r="O10" s="72">
        <v>11.61</v>
      </c>
      <c r="P10" s="72">
        <v>254.32</v>
      </c>
      <c r="Q10" s="91">
        <f t="shared" si="0"/>
        <v>652.83</v>
      </c>
      <c r="R10" s="73">
        <v>0</v>
      </c>
      <c r="S10" s="92">
        <f>L10+IFERROR(VLOOKUP($E:$E,'（居民）工资表-7月'!$E:$S,15,0),0)</f>
        <v>34540</v>
      </c>
      <c r="T10" s="93">
        <f>5000+IFERROR(VLOOKUP($E:$E,'（居民）工资表-7月'!$E:$T,16,0),0)</f>
        <v>10000</v>
      </c>
      <c r="U10" s="93">
        <f>Q10+IFERROR(VLOOKUP($E:$E,'（居民）工资表-7月'!$E:$U,17,0),0)</f>
        <v>1234.95</v>
      </c>
      <c r="V10" s="73"/>
      <c r="W10" s="73"/>
      <c r="X10" s="73"/>
      <c r="Y10" s="73"/>
      <c r="Z10" s="73"/>
      <c r="AA10" s="73"/>
      <c r="AB10" s="92">
        <f t="shared" si="1"/>
        <v>0</v>
      </c>
      <c r="AC10" s="92">
        <f>R10+IFERROR(VLOOKUP($E:$E,'（居民）工资表-7月'!$E:$AC,25,0),0)</f>
        <v>0</v>
      </c>
      <c r="AD10" s="97">
        <f t="shared" si="2"/>
        <v>23305.05</v>
      </c>
      <c r="AE10" s="98">
        <f>ROUND(MAX((AD10)*{0.03;0.1;0.2;0.25;0.3;0.35;0.45}-{0;2520;16920;31920;52920;85920;181920},0),2)</f>
        <v>699.15</v>
      </c>
      <c r="AF10" s="99">
        <f>IFERROR(VLOOKUP(E:E,'（居民）工资表-7月'!E:AF,28,0)+VLOOKUP(E:E,'（居民）工资表-7月'!E:AG,29,0),0)</f>
        <v>355.14</v>
      </c>
      <c r="AG10" s="99">
        <f t="shared" si="3"/>
        <v>344.01</v>
      </c>
      <c r="AH10" s="109">
        <f t="shared" si="4"/>
        <v>16123.16</v>
      </c>
      <c r="AI10" s="110"/>
      <c r="AJ10" s="109">
        <f t="shared" si="5"/>
        <v>16123.16</v>
      </c>
      <c r="AK10" s="111"/>
      <c r="AL10" s="109">
        <f t="shared" si="6"/>
        <v>16467.17</v>
      </c>
      <c r="AM10" s="111"/>
      <c r="AN10" s="111"/>
      <c r="AO10" s="111"/>
      <c r="AP10" s="111"/>
      <c r="AQ10" s="111"/>
      <c r="AR10" s="118" t="str">
        <f t="shared" si="7"/>
        <v>正确</v>
      </c>
      <c r="AS10" s="118" t="str">
        <f t="shared" si="8"/>
        <v>不</v>
      </c>
      <c r="AT10" s="118" t="str">
        <f t="shared" si="9"/>
        <v>重复</v>
      </c>
    </row>
    <row r="11" s="12" customFormat="1" ht="18" customHeight="1" spans="1:46">
      <c r="A11" s="36">
        <v>8</v>
      </c>
      <c r="B11" s="37" t="s">
        <v>194</v>
      </c>
      <c r="C11" s="37" t="s">
        <v>229</v>
      </c>
      <c r="D11" s="37" t="s">
        <v>195</v>
      </c>
      <c r="E11" s="37" t="s">
        <v>230</v>
      </c>
      <c r="F11" s="38" t="s">
        <v>196</v>
      </c>
      <c r="G11" s="41" t="s">
        <v>231</v>
      </c>
      <c r="H11" s="40"/>
      <c r="I11" s="40"/>
      <c r="J11" s="70"/>
      <c r="K11" s="40"/>
      <c r="L11" s="73">
        <v>18420</v>
      </c>
      <c r="M11" s="72">
        <v>309.52</v>
      </c>
      <c r="N11" s="72">
        <v>77.38</v>
      </c>
      <c r="O11" s="72">
        <v>11.61</v>
      </c>
      <c r="P11" s="72">
        <v>254.32</v>
      </c>
      <c r="Q11" s="91">
        <f t="shared" si="0"/>
        <v>652.83</v>
      </c>
      <c r="R11" s="73">
        <v>0</v>
      </c>
      <c r="S11" s="92">
        <f>L11+IFERROR(VLOOKUP($E:$E,'（居民）工资表-7月'!$E:$S,15,0),0)</f>
        <v>37140</v>
      </c>
      <c r="T11" s="93">
        <f>5000+IFERROR(VLOOKUP($E:$E,'（居民）工资表-7月'!$E:$T,16,0),0)</f>
        <v>10000</v>
      </c>
      <c r="U11" s="93">
        <f>Q11+IFERROR(VLOOKUP($E:$E,'（居民）工资表-7月'!$E:$U,17,0),0)</f>
        <v>1234.95</v>
      </c>
      <c r="V11" s="73"/>
      <c r="W11" s="73">
        <v>5000</v>
      </c>
      <c r="X11" s="73"/>
      <c r="Y11" s="73">
        <v>7500</v>
      </c>
      <c r="Z11" s="73">
        <v>2000</v>
      </c>
      <c r="AA11" s="73"/>
      <c r="AB11" s="92">
        <f t="shared" si="1"/>
        <v>14500</v>
      </c>
      <c r="AC11" s="92">
        <f>R11+IFERROR(VLOOKUP($E:$E,'（居民）工资表-7月'!$E:$AC,25,0),0)</f>
        <v>0</v>
      </c>
      <c r="AD11" s="97">
        <f t="shared" si="2"/>
        <v>11405.05</v>
      </c>
      <c r="AE11" s="98">
        <f>ROUND(MAX((AD11)*{0.03;0.1;0.2;0.25;0.3;0.35;0.45}-{0;2520;16920;31920;52920;85920;181920},0),2)</f>
        <v>342.15</v>
      </c>
      <c r="AF11" s="99">
        <f>IFERROR(VLOOKUP(E:E,'（居民）工资表-7月'!E:AF,28,0)+VLOOKUP(E:E,'（居民）工资表-7月'!E:AG,29,0),0)</f>
        <v>46.14</v>
      </c>
      <c r="AG11" s="99">
        <f t="shared" si="3"/>
        <v>296.01</v>
      </c>
      <c r="AH11" s="109">
        <f t="shared" si="4"/>
        <v>17471.16</v>
      </c>
      <c r="AI11" s="110"/>
      <c r="AJ11" s="109">
        <f t="shared" si="5"/>
        <v>17471.16</v>
      </c>
      <c r="AK11" s="111"/>
      <c r="AL11" s="109">
        <f t="shared" si="6"/>
        <v>17767.17</v>
      </c>
      <c r="AM11" s="111"/>
      <c r="AN11" s="111"/>
      <c r="AO11" s="111"/>
      <c r="AP11" s="111"/>
      <c r="AQ11" s="111"/>
      <c r="AR11" s="118" t="str">
        <f t="shared" si="7"/>
        <v>正确</v>
      </c>
      <c r="AS11" s="118" t="str">
        <f t="shared" si="8"/>
        <v>不</v>
      </c>
      <c r="AT11" s="118" t="str">
        <f t="shared" si="9"/>
        <v>重复</v>
      </c>
    </row>
    <row r="12" s="12" customFormat="1" ht="18" customHeight="1" spans="1:46">
      <c r="A12" s="36">
        <v>9</v>
      </c>
      <c r="B12" s="37" t="s">
        <v>194</v>
      </c>
      <c r="C12" s="37" t="s">
        <v>232</v>
      </c>
      <c r="D12" s="37" t="s">
        <v>195</v>
      </c>
      <c r="E12" s="37" t="s">
        <v>233</v>
      </c>
      <c r="F12" s="38" t="s">
        <v>196</v>
      </c>
      <c r="G12" s="41" t="s">
        <v>234</v>
      </c>
      <c r="H12" s="40"/>
      <c r="I12" s="40"/>
      <c r="J12" s="70"/>
      <c r="K12" s="40"/>
      <c r="L12" s="73">
        <v>13620</v>
      </c>
      <c r="M12" s="72">
        <v>309.52</v>
      </c>
      <c r="N12" s="72">
        <v>77.38</v>
      </c>
      <c r="O12" s="72">
        <v>11.61</v>
      </c>
      <c r="P12" s="72">
        <v>254.32</v>
      </c>
      <c r="Q12" s="91">
        <f t="shared" si="0"/>
        <v>652.83</v>
      </c>
      <c r="R12" s="73">
        <v>0</v>
      </c>
      <c r="S12" s="92">
        <f>L12+IFERROR(VLOOKUP($E:$E,'（居民）工资表-7月'!$E:$S,15,0),0)</f>
        <v>27540</v>
      </c>
      <c r="T12" s="93">
        <f>5000+IFERROR(VLOOKUP($E:$E,'（居民）工资表-7月'!$E:$T,16,0),0)</f>
        <v>10000</v>
      </c>
      <c r="U12" s="93">
        <f>Q12+IFERROR(VLOOKUP($E:$E,'（居民）工资表-7月'!$E:$U,17,0),0)</f>
        <v>1234.95</v>
      </c>
      <c r="V12" s="73"/>
      <c r="W12" s="73"/>
      <c r="X12" s="73"/>
      <c r="Y12" s="73"/>
      <c r="Z12" s="73"/>
      <c r="AA12" s="73"/>
      <c r="AB12" s="92">
        <f t="shared" si="1"/>
        <v>0</v>
      </c>
      <c r="AC12" s="92">
        <f>R12+IFERROR(VLOOKUP($E:$E,'（居民）工资表-7月'!$E:$AC,25,0),0)</f>
        <v>0</v>
      </c>
      <c r="AD12" s="97">
        <f t="shared" si="2"/>
        <v>16305.05</v>
      </c>
      <c r="AE12" s="98">
        <f>ROUND(MAX((AD12)*{0.03;0.1;0.2;0.25;0.3;0.35;0.45}-{0;2520;16920;31920;52920;85920;181920},0),2)</f>
        <v>489.15</v>
      </c>
      <c r="AF12" s="99">
        <f>IFERROR(VLOOKUP(E:E,'（居民）工资表-7月'!E:AF,28,0)+VLOOKUP(E:E,'（居民）工资表-7月'!E:AG,29,0),0)</f>
        <v>250.14</v>
      </c>
      <c r="AG12" s="99">
        <f t="shared" si="3"/>
        <v>239.01</v>
      </c>
      <c r="AH12" s="109">
        <f t="shared" si="4"/>
        <v>12728.16</v>
      </c>
      <c r="AI12" s="110"/>
      <c r="AJ12" s="109">
        <f t="shared" si="5"/>
        <v>12728.16</v>
      </c>
      <c r="AK12" s="111"/>
      <c r="AL12" s="109">
        <f t="shared" si="6"/>
        <v>12967.17</v>
      </c>
      <c r="AM12" s="111"/>
      <c r="AN12" s="111"/>
      <c r="AO12" s="111"/>
      <c r="AP12" s="111"/>
      <c r="AQ12" s="111"/>
      <c r="AR12" s="118" t="str">
        <f t="shared" si="7"/>
        <v>正确</v>
      </c>
      <c r="AS12" s="118" t="str">
        <f t="shared" si="8"/>
        <v>不</v>
      </c>
      <c r="AT12" s="118" t="str">
        <f t="shared" si="9"/>
        <v>重复</v>
      </c>
    </row>
    <row r="13" s="12" customFormat="1" ht="18" customHeight="1" spans="1:46">
      <c r="A13" s="36">
        <v>10</v>
      </c>
      <c r="B13" s="37" t="s">
        <v>194</v>
      </c>
      <c r="C13" s="37" t="s">
        <v>235</v>
      </c>
      <c r="D13" s="37" t="s">
        <v>195</v>
      </c>
      <c r="E13" s="37" t="s">
        <v>236</v>
      </c>
      <c r="F13" s="38" t="s">
        <v>196</v>
      </c>
      <c r="G13" s="41">
        <v>15001138812</v>
      </c>
      <c r="H13" s="40"/>
      <c r="I13" s="40"/>
      <c r="J13" s="70"/>
      <c r="K13" s="40"/>
      <c r="L13" s="73">
        <v>10120</v>
      </c>
      <c r="M13" s="72">
        <v>309.52</v>
      </c>
      <c r="N13" s="72">
        <v>77.38</v>
      </c>
      <c r="O13" s="72">
        <v>11.61</v>
      </c>
      <c r="P13" s="72">
        <v>254.32</v>
      </c>
      <c r="Q13" s="91">
        <f t="shared" si="0"/>
        <v>652.83</v>
      </c>
      <c r="R13" s="73">
        <v>0</v>
      </c>
      <c r="S13" s="92">
        <f>L13+IFERROR(VLOOKUP($E:$E,'（居民）工资表-7月'!$E:$S,15,0),0)</f>
        <v>20540</v>
      </c>
      <c r="T13" s="93">
        <f>5000+IFERROR(VLOOKUP($E:$E,'（居民）工资表-7月'!$E:$T,16,0),0)</f>
        <v>10000</v>
      </c>
      <c r="U13" s="93">
        <f>Q13+IFERROR(VLOOKUP($E:$E,'（居民）工资表-7月'!$E:$U,17,0),0)</f>
        <v>1234.95</v>
      </c>
      <c r="V13" s="73"/>
      <c r="W13" s="73"/>
      <c r="X13" s="73"/>
      <c r="Y13" s="73"/>
      <c r="Z13" s="73"/>
      <c r="AA13" s="73"/>
      <c r="AB13" s="92">
        <f t="shared" si="1"/>
        <v>0</v>
      </c>
      <c r="AC13" s="92">
        <f>R13+IFERROR(VLOOKUP($E:$E,'（居民）工资表-7月'!$E:$AC,25,0),0)</f>
        <v>0</v>
      </c>
      <c r="AD13" s="97">
        <f t="shared" si="2"/>
        <v>9305.05</v>
      </c>
      <c r="AE13" s="98">
        <f>ROUND(MAX((AD13)*{0.03;0.1;0.2;0.25;0.3;0.35;0.45}-{0;2520;16920;31920;52920;85920;181920},0),2)</f>
        <v>279.15</v>
      </c>
      <c r="AF13" s="99">
        <f>IFERROR(VLOOKUP(E:E,'（居民）工资表-7月'!E:AF,28,0)+VLOOKUP(E:E,'（居民）工资表-7月'!E:AG,29,0),0)</f>
        <v>145.14</v>
      </c>
      <c r="AG13" s="99">
        <f t="shared" si="3"/>
        <v>134.01</v>
      </c>
      <c r="AH13" s="109">
        <f t="shared" si="4"/>
        <v>9333.16</v>
      </c>
      <c r="AI13" s="110"/>
      <c r="AJ13" s="109">
        <f t="shared" si="5"/>
        <v>9333.16</v>
      </c>
      <c r="AK13" s="111"/>
      <c r="AL13" s="109">
        <f t="shared" si="6"/>
        <v>9467.17</v>
      </c>
      <c r="AM13" s="111"/>
      <c r="AN13" s="111"/>
      <c r="AO13" s="111"/>
      <c r="AP13" s="111"/>
      <c r="AQ13" s="111"/>
      <c r="AR13" s="118" t="str">
        <f t="shared" si="7"/>
        <v>正确</v>
      </c>
      <c r="AS13" s="118" t="str">
        <f t="shared" si="8"/>
        <v>不</v>
      </c>
      <c r="AT13" s="118" t="str">
        <f t="shared" si="9"/>
        <v>重复</v>
      </c>
    </row>
    <row r="14" s="12" customFormat="1" ht="18" customHeight="1" spans="1:46">
      <c r="A14" s="36">
        <v>11</v>
      </c>
      <c r="B14" s="37" t="s">
        <v>194</v>
      </c>
      <c r="C14" s="37" t="s">
        <v>237</v>
      </c>
      <c r="D14" s="37" t="s">
        <v>195</v>
      </c>
      <c r="E14" s="37" t="s">
        <v>238</v>
      </c>
      <c r="F14" s="38" t="s">
        <v>196</v>
      </c>
      <c r="G14" s="41">
        <v>15333903368</v>
      </c>
      <c r="H14" s="40"/>
      <c r="I14" s="40"/>
      <c r="J14" s="70"/>
      <c r="K14" s="40"/>
      <c r="L14" s="73">
        <v>15120</v>
      </c>
      <c r="M14" s="72">
        <v>309.52</v>
      </c>
      <c r="N14" s="72">
        <v>77.38</v>
      </c>
      <c r="O14" s="72">
        <v>11.61</v>
      </c>
      <c r="P14" s="72">
        <v>254.32</v>
      </c>
      <c r="Q14" s="91">
        <f t="shared" si="0"/>
        <v>652.83</v>
      </c>
      <c r="R14" s="73">
        <v>0</v>
      </c>
      <c r="S14" s="92">
        <f>L14+IFERROR(VLOOKUP($E:$E,'（居民）工资表-7月'!$E:$S,15,0),0)</f>
        <v>30540</v>
      </c>
      <c r="T14" s="93">
        <f>5000+IFERROR(VLOOKUP($E:$E,'（居民）工资表-7月'!$E:$T,16,0),0)</f>
        <v>10000</v>
      </c>
      <c r="U14" s="93">
        <f>Q14+IFERROR(VLOOKUP($E:$E,'（居民）工资表-7月'!$E:$U,17,0),0)</f>
        <v>1234.95</v>
      </c>
      <c r="V14" s="73"/>
      <c r="W14" s="73"/>
      <c r="X14" s="73"/>
      <c r="Y14" s="73"/>
      <c r="Z14" s="73"/>
      <c r="AA14" s="73"/>
      <c r="AB14" s="92">
        <f t="shared" si="1"/>
        <v>0</v>
      </c>
      <c r="AC14" s="92">
        <f>R14+IFERROR(VLOOKUP($E:$E,'（居民）工资表-7月'!$E:$AC,25,0),0)</f>
        <v>0</v>
      </c>
      <c r="AD14" s="97">
        <f t="shared" si="2"/>
        <v>19305.05</v>
      </c>
      <c r="AE14" s="98">
        <f>ROUND(MAX((AD14)*{0.03;0.1;0.2;0.25;0.3;0.35;0.45}-{0;2520;16920;31920;52920;85920;181920},0),2)</f>
        <v>579.15</v>
      </c>
      <c r="AF14" s="99">
        <f>IFERROR(VLOOKUP(E:E,'（居民）工资表-7月'!E:AF,28,0)+VLOOKUP(E:E,'（居民）工资表-7月'!E:AG,29,0),0)</f>
        <v>295.14</v>
      </c>
      <c r="AG14" s="99">
        <f t="shared" si="3"/>
        <v>284.01</v>
      </c>
      <c r="AH14" s="109">
        <f t="shared" si="4"/>
        <v>14183.16</v>
      </c>
      <c r="AI14" s="110"/>
      <c r="AJ14" s="109">
        <f t="shared" si="5"/>
        <v>14183.16</v>
      </c>
      <c r="AK14" s="111"/>
      <c r="AL14" s="109">
        <f t="shared" si="6"/>
        <v>14467.17</v>
      </c>
      <c r="AM14" s="111"/>
      <c r="AN14" s="111"/>
      <c r="AO14" s="111"/>
      <c r="AP14" s="111"/>
      <c r="AQ14" s="111"/>
      <c r="AR14" s="118" t="str">
        <f t="shared" si="7"/>
        <v>正确</v>
      </c>
      <c r="AS14" s="118" t="str">
        <f t="shared" si="8"/>
        <v>不</v>
      </c>
      <c r="AT14" s="118" t="str">
        <f t="shared" si="9"/>
        <v>重复</v>
      </c>
    </row>
    <row r="15" s="12" customFormat="1" ht="18" customHeight="1" spans="1:46">
      <c r="A15" s="36">
        <v>12</v>
      </c>
      <c r="B15" s="37" t="s">
        <v>194</v>
      </c>
      <c r="C15" s="37" t="s">
        <v>239</v>
      </c>
      <c r="D15" s="37" t="s">
        <v>195</v>
      </c>
      <c r="E15" s="37" t="s">
        <v>240</v>
      </c>
      <c r="F15" s="38" t="s">
        <v>196</v>
      </c>
      <c r="G15" s="41">
        <v>18009593554</v>
      </c>
      <c r="H15" s="40"/>
      <c r="I15" s="40"/>
      <c r="J15" s="70"/>
      <c r="K15" s="40"/>
      <c r="L15" s="73">
        <v>11141</v>
      </c>
      <c r="M15" s="72">
        <v>280.96</v>
      </c>
      <c r="N15" s="72">
        <v>83.24</v>
      </c>
      <c r="O15" s="72">
        <v>17.56</v>
      </c>
      <c r="P15" s="72">
        <v>195</v>
      </c>
      <c r="Q15" s="91">
        <f t="shared" si="0"/>
        <v>576.76</v>
      </c>
      <c r="R15" s="73">
        <v>0</v>
      </c>
      <c r="S15" s="92">
        <f>L15+IFERROR(VLOOKUP($E:$E,'（居民）工资表-7月'!$E:$S,15,0),0)</f>
        <v>22961</v>
      </c>
      <c r="T15" s="93">
        <f>5000+IFERROR(VLOOKUP($E:$E,'（居民）工资表-7月'!$E:$T,16,0),0)</f>
        <v>10000</v>
      </c>
      <c r="U15" s="93">
        <f>Q15+IFERROR(VLOOKUP($E:$E,'（居民）工资表-7月'!$E:$U,17,0),0)</f>
        <v>1153.52</v>
      </c>
      <c r="V15" s="73"/>
      <c r="W15" s="73"/>
      <c r="X15" s="73"/>
      <c r="Y15" s="73"/>
      <c r="Z15" s="73"/>
      <c r="AA15" s="73"/>
      <c r="AB15" s="92">
        <f t="shared" si="1"/>
        <v>0</v>
      </c>
      <c r="AC15" s="92">
        <f>R15+IFERROR(VLOOKUP($E:$E,'（居民）工资表-7月'!$E:$AC,25,0),0)</f>
        <v>0</v>
      </c>
      <c r="AD15" s="97">
        <f t="shared" si="2"/>
        <v>11807.48</v>
      </c>
      <c r="AE15" s="98">
        <f>ROUND(MAX((AD15)*{0.03;0.1;0.2;0.25;0.3;0.35;0.45}-{0;2520;16920;31920;52920;85920;181920},0),2)</f>
        <v>354.22</v>
      </c>
      <c r="AF15" s="99">
        <f>IFERROR(VLOOKUP(E:E,'（居民）工资表-7月'!E:AF,28,0)+VLOOKUP(E:E,'（居民）工资表-7月'!E:AG,29,0),0)</f>
        <v>187.3</v>
      </c>
      <c r="AG15" s="99">
        <f t="shared" si="3"/>
        <v>166.92</v>
      </c>
      <c r="AH15" s="109">
        <f t="shared" si="4"/>
        <v>10397.32</v>
      </c>
      <c r="AI15" s="110"/>
      <c r="AJ15" s="109">
        <f t="shared" si="5"/>
        <v>10397.32</v>
      </c>
      <c r="AK15" s="111"/>
      <c r="AL15" s="109">
        <f t="shared" si="6"/>
        <v>10564.24</v>
      </c>
      <c r="AM15" s="111"/>
      <c r="AN15" s="111"/>
      <c r="AO15" s="111"/>
      <c r="AP15" s="111"/>
      <c r="AQ15" s="111"/>
      <c r="AR15" s="118" t="str">
        <f t="shared" si="7"/>
        <v>正确</v>
      </c>
      <c r="AS15" s="118" t="str">
        <f t="shared" si="8"/>
        <v>不</v>
      </c>
      <c r="AT15" s="118" t="str">
        <f t="shared" si="9"/>
        <v>重复</v>
      </c>
    </row>
    <row r="16" s="12" customFormat="1" ht="18" customHeight="1" spans="1:46">
      <c r="A16" s="36">
        <v>13</v>
      </c>
      <c r="B16" s="37" t="s">
        <v>194</v>
      </c>
      <c r="C16" s="37" t="s">
        <v>241</v>
      </c>
      <c r="D16" s="37" t="s">
        <v>195</v>
      </c>
      <c r="E16" s="37" t="s">
        <v>242</v>
      </c>
      <c r="F16" s="38" t="s">
        <v>196</v>
      </c>
      <c r="G16" s="41">
        <v>17795512929</v>
      </c>
      <c r="H16" s="40"/>
      <c r="I16" s="40"/>
      <c r="J16" s="70"/>
      <c r="K16" s="40"/>
      <c r="L16" s="73">
        <v>11120</v>
      </c>
      <c r="M16" s="72">
        <v>280.96</v>
      </c>
      <c r="N16" s="72">
        <v>83.24</v>
      </c>
      <c r="O16" s="72">
        <v>17.56</v>
      </c>
      <c r="P16" s="72">
        <v>195</v>
      </c>
      <c r="Q16" s="91">
        <f t="shared" si="0"/>
        <v>576.76</v>
      </c>
      <c r="R16" s="73">
        <v>0</v>
      </c>
      <c r="S16" s="92">
        <f>L16+IFERROR(VLOOKUP($E:$E,'（居民）工资表-7月'!$E:$S,15,0),0)</f>
        <v>22240</v>
      </c>
      <c r="T16" s="93">
        <f>5000+IFERROR(VLOOKUP($E:$E,'（居民）工资表-7月'!$E:$T,16,0),0)</f>
        <v>10000</v>
      </c>
      <c r="U16" s="93">
        <f>Q16+IFERROR(VLOOKUP($E:$E,'（居民）工资表-7月'!$E:$U,17,0),0)</f>
        <v>1153.52</v>
      </c>
      <c r="V16" s="73"/>
      <c r="W16" s="73"/>
      <c r="X16" s="73"/>
      <c r="Y16" s="73"/>
      <c r="Z16" s="73"/>
      <c r="AA16" s="73"/>
      <c r="AB16" s="92">
        <f t="shared" si="1"/>
        <v>0</v>
      </c>
      <c r="AC16" s="92">
        <f>R16+IFERROR(VLOOKUP($E:$E,'（居民）工资表-7月'!$E:$AC,25,0),0)</f>
        <v>0</v>
      </c>
      <c r="AD16" s="97">
        <f t="shared" si="2"/>
        <v>11086.48</v>
      </c>
      <c r="AE16" s="98">
        <f>ROUND(MAX((AD16)*{0.03;0.1;0.2;0.25;0.3;0.35;0.45}-{0;2520;16920;31920;52920;85920;181920},0),2)</f>
        <v>332.59</v>
      </c>
      <c r="AF16" s="99">
        <f>IFERROR(VLOOKUP(E:E,'（居民）工资表-7月'!E:AF,28,0)+VLOOKUP(E:E,'（居民）工资表-7月'!E:AG,29,0),0)</f>
        <v>166.3</v>
      </c>
      <c r="AG16" s="99">
        <f t="shared" si="3"/>
        <v>166.29</v>
      </c>
      <c r="AH16" s="109">
        <f t="shared" si="4"/>
        <v>10376.95</v>
      </c>
      <c r="AI16" s="110"/>
      <c r="AJ16" s="109">
        <f t="shared" si="5"/>
        <v>10376.95</v>
      </c>
      <c r="AK16" s="111"/>
      <c r="AL16" s="109">
        <f t="shared" si="6"/>
        <v>10543.24</v>
      </c>
      <c r="AM16" s="111"/>
      <c r="AN16" s="111"/>
      <c r="AO16" s="111"/>
      <c r="AP16" s="111"/>
      <c r="AQ16" s="111"/>
      <c r="AR16" s="118" t="str">
        <f t="shared" si="7"/>
        <v>正确</v>
      </c>
      <c r="AS16" s="118" t="str">
        <f t="shared" si="8"/>
        <v>不</v>
      </c>
      <c r="AT16" s="118" t="str">
        <f t="shared" si="9"/>
        <v>重复</v>
      </c>
    </row>
    <row r="17" s="12" customFormat="1" ht="18" customHeight="1" spans="1:46">
      <c r="A17" s="36">
        <v>14</v>
      </c>
      <c r="B17" s="37" t="s">
        <v>194</v>
      </c>
      <c r="C17" s="37" t="s">
        <v>243</v>
      </c>
      <c r="D17" s="37" t="s">
        <v>195</v>
      </c>
      <c r="E17" s="37" t="s">
        <v>244</v>
      </c>
      <c r="F17" s="38" t="s">
        <v>196</v>
      </c>
      <c r="G17" s="41">
        <v>18995128068</v>
      </c>
      <c r="H17" s="40"/>
      <c r="I17" s="40"/>
      <c r="J17" s="70"/>
      <c r="K17" s="40"/>
      <c r="L17" s="73">
        <v>11799</v>
      </c>
      <c r="M17" s="72">
        <v>280.96</v>
      </c>
      <c r="N17" s="72">
        <v>83.24</v>
      </c>
      <c r="O17" s="72">
        <v>17.56</v>
      </c>
      <c r="P17" s="72">
        <v>195</v>
      </c>
      <c r="Q17" s="91">
        <f t="shared" si="0"/>
        <v>576.76</v>
      </c>
      <c r="R17" s="73">
        <v>0</v>
      </c>
      <c r="S17" s="92">
        <f>L17+IFERROR(VLOOKUP($E:$E,'（居民）工资表-7月'!$E:$S,15,0),0)</f>
        <v>22919</v>
      </c>
      <c r="T17" s="93">
        <f>5000+IFERROR(VLOOKUP($E:$E,'（居民）工资表-7月'!$E:$T,16,0),0)</f>
        <v>10000</v>
      </c>
      <c r="U17" s="93">
        <f>Q17+IFERROR(VLOOKUP($E:$E,'（居民）工资表-7月'!$E:$U,17,0),0)</f>
        <v>1153.52</v>
      </c>
      <c r="V17" s="73"/>
      <c r="W17" s="73"/>
      <c r="X17" s="73"/>
      <c r="Y17" s="73"/>
      <c r="Z17" s="73"/>
      <c r="AA17" s="73"/>
      <c r="AB17" s="92">
        <f t="shared" si="1"/>
        <v>0</v>
      </c>
      <c r="AC17" s="92">
        <f>R17+IFERROR(VLOOKUP($E:$E,'（居民）工资表-7月'!$E:$AC,25,0),0)</f>
        <v>0</v>
      </c>
      <c r="AD17" s="97">
        <f t="shared" si="2"/>
        <v>11765.48</v>
      </c>
      <c r="AE17" s="98">
        <f>ROUND(MAX((AD17)*{0.03;0.1;0.2;0.25;0.3;0.35;0.45}-{0;2520;16920;31920;52920;85920;181920},0),2)</f>
        <v>352.96</v>
      </c>
      <c r="AF17" s="99">
        <f>IFERROR(VLOOKUP(E:E,'（居民）工资表-7月'!E:AF,28,0)+VLOOKUP(E:E,'（居民）工资表-7月'!E:AG,29,0),0)</f>
        <v>166.3</v>
      </c>
      <c r="AG17" s="99">
        <f t="shared" si="3"/>
        <v>186.66</v>
      </c>
      <c r="AH17" s="109">
        <f t="shared" si="4"/>
        <v>11035.58</v>
      </c>
      <c r="AI17" s="110"/>
      <c r="AJ17" s="109">
        <f t="shared" si="5"/>
        <v>11035.58</v>
      </c>
      <c r="AK17" s="111"/>
      <c r="AL17" s="109">
        <f t="shared" si="6"/>
        <v>11222.24</v>
      </c>
      <c r="AM17" s="111"/>
      <c r="AN17" s="111"/>
      <c r="AO17" s="111"/>
      <c r="AP17" s="111"/>
      <c r="AQ17" s="111"/>
      <c r="AR17" s="118" t="str">
        <f t="shared" si="7"/>
        <v>正确</v>
      </c>
      <c r="AS17" s="118" t="str">
        <f>IF(SUMPRODUCT(N(E$1:E$18=E17))&gt;1,"重复","不")</f>
        <v>不</v>
      </c>
      <c r="AT17" s="118" t="str">
        <f>IF(SUMPRODUCT(N(AO$1:AO$18=AO17))&gt;1,"重复","不")</f>
        <v>重复</v>
      </c>
    </row>
    <row r="18" s="12" customFormat="1" ht="18" customHeight="1" spans="1:46">
      <c r="A18" s="36">
        <v>15</v>
      </c>
      <c r="B18" s="37" t="s">
        <v>194</v>
      </c>
      <c r="C18" s="37" t="s">
        <v>245</v>
      </c>
      <c r="D18" s="37" t="s">
        <v>195</v>
      </c>
      <c r="E18" s="381" t="s">
        <v>246</v>
      </c>
      <c r="F18" s="38" t="s">
        <v>196</v>
      </c>
      <c r="G18" s="41" t="s">
        <v>203</v>
      </c>
      <c r="H18" s="40"/>
      <c r="I18" s="40"/>
      <c r="J18" s="70"/>
      <c r="K18" s="40"/>
      <c r="L18" s="73">
        <v>4844</v>
      </c>
      <c r="M18" s="72">
        <v>274.4</v>
      </c>
      <c r="N18" s="72">
        <v>68.6</v>
      </c>
      <c r="O18" s="72">
        <v>17.15</v>
      </c>
      <c r="P18" s="72">
        <v>82.5</v>
      </c>
      <c r="Q18" s="91">
        <f t="shared" si="0"/>
        <v>442.65</v>
      </c>
      <c r="R18" s="73">
        <v>0</v>
      </c>
      <c r="S18" s="92">
        <f>L18+IFERROR(VLOOKUP($E:$E,'（居民）工资表-7月'!$E:$S,15,0),0)</f>
        <v>7207.63</v>
      </c>
      <c r="T18" s="93">
        <f>5000+IFERROR(VLOOKUP($E:$E,'（居民）工资表-7月'!$E:$T,16,0),0)</f>
        <v>10000</v>
      </c>
      <c r="U18" s="93">
        <f>Q18+IFERROR(VLOOKUP($E:$E,'（居民）工资表-7月'!$E:$U,17,0),0)</f>
        <v>1327.95</v>
      </c>
      <c r="V18" s="73"/>
      <c r="W18" s="73"/>
      <c r="X18" s="73"/>
      <c r="Y18" s="73"/>
      <c r="Z18" s="73"/>
      <c r="AA18" s="73"/>
      <c r="AB18" s="92">
        <f t="shared" si="1"/>
        <v>0</v>
      </c>
      <c r="AC18" s="92">
        <f>R18+IFERROR(VLOOKUP($E:$E,'（居民）工资表-7月'!$E:$AC,25,0),0)</f>
        <v>0</v>
      </c>
      <c r="AD18" s="97">
        <f t="shared" si="2"/>
        <v>-4120.32</v>
      </c>
      <c r="AE18" s="98">
        <f>ROUND(MAX((AD18)*{0.03;0.1;0.2;0.25;0.3;0.35;0.45}-{0;2520;16920;31920;52920;85920;181920},0),2)</f>
        <v>0</v>
      </c>
      <c r="AF18" s="99">
        <f>IFERROR(VLOOKUP(E:E,'（居民）工资表-7月'!E:AF,28,0)+VLOOKUP(E:E,'（居民）工资表-7月'!E:AG,29,0),0)</f>
        <v>0</v>
      </c>
      <c r="AG18" s="99">
        <f t="shared" si="3"/>
        <v>0</v>
      </c>
      <c r="AH18" s="109">
        <f t="shared" si="4"/>
        <v>4401.35</v>
      </c>
      <c r="AI18" s="110"/>
      <c r="AJ18" s="109">
        <f t="shared" si="5"/>
        <v>4401.35</v>
      </c>
      <c r="AK18" s="111"/>
      <c r="AL18" s="109">
        <f t="shared" si="6"/>
        <v>4401.35</v>
      </c>
      <c r="AM18" s="111"/>
      <c r="AN18" s="111"/>
      <c r="AO18" s="111"/>
      <c r="AP18" s="111"/>
      <c r="AQ18" s="111"/>
      <c r="AR18" s="118" t="str">
        <f t="shared" si="7"/>
        <v>正确</v>
      </c>
      <c r="AS18" s="118" t="str">
        <f>IF(SUMPRODUCT(N(E$1:E$18=E18))&gt;1,"重复","不")</f>
        <v>不</v>
      </c>
      <c r="AT18" s="118" t="str">
        <f>IF(SUMPRODUCT(N(AO$1:AO$18=AO18))&gt;1,"重复","不")</f>
        <v>重复</v>
      </c>
    </row>
    <row r="19" s="12" customFormat="1" ht="18" customHeight="1" spans="1:46">
      <c r="A19" s="36">
        <v>15</v>
      </c>
      <c r="B19" s="37" t="s">
        <v>194</v>
      </c>
      <c r="C19" s="37" t="s">
        <v>112</v>
      </c>
      <c r="D19" s="37" t="s">
        <v>195</v>
      </c>
      <c r="E19" s="381" t="s">
        <v>113</v>
      </c>
      <c r="F19" s="38" t="s">
        <v>196</v>
      </c>
      <c r="G19" s="41" t="s">
        <v>201</v>
      </c>
      <c r="H19" s="40"/>
      <c r="I19" s="40"/>
      <c r="J19" s="70"/>
      <c r="K19" s="40"/>
      <c r="L19" s="73">
        <v>228.57</v>
      </c>
      <c r="M19" s="72">
        <v>228.57</v>
      </c>
      <c r="N19" s="72">
        <v>0</v>
      </c>
      <c r="O19" s="72">
        <v>0</v>
      </c>
      <c r="P19" s="72">
        <v>0</v>
      </c>
      <c r="Q19" s="91">
        <f t="shared" si="0"/>
        <v>228.57</v>
      </c>
      <c r="R19" s="73">
        <v>0</v>
      </c>
      <c r="S19" s="92">
        <f>L19+IFERROR(VLOOKUP($E:$E,'（居民）工资表-7月'!$E:$S,15,0),0)</f>
        <v>228.57</v>
      </c>
      <c r="T19" s="93">
        <f>5000+IFERROR(VLOOKUP($E:$E,'（居民）工资表-7月'!$E:$T,16,0),0)</f>
        <v>5000</v>
      </c>
      <c r="U19" s="93">
        <f>Q19+IFERROR(VLOOKUP($E:$E,'（居民）工资表-7月'!$E:$U,17,0),0)</f>
        <v>228.57</v>
      </c>
      <c r="V19" s="73"/>
      <c r="W19" s="73"/>
      <c r="X19" s="73"/>
      <c r="Y19" s="73"/>
      <c r="Z19" s="73"/>
      <c r="AA19" s="73"/>
      <c r="AB19" s="92">
        <f t="shared" si="1"/>
        <v>0</v>
      </c>
      <c r="AC19" s="92">
        <f>R19+IFERROR(VLOOKUP($E:$E,'（居民）工资表-7月'!$E:$AC,25,0),0)</f>
        <v>0</v>
      </c>
      <c r="AD19" s="97">
        <f t="shared" si="2"/>
        <v>-5000</v>
      </c>
      <c r="AE19" s="98">
        <f>ROUND(MAX((AD19)*{0.03;0.1;0.2;0.25;0.3;0.35;0.45}-{0;2520;16920;31920;52920;85920;181920},0),2)</f>
        <v>0</v>
      </c>
      <c r="AF19" s="99">
        <f>IFERROR(VLOOKUP(E:E,'（居民）工资表-7月'!E:AF,28,0)+VLOOKUP(E:E,'（居民）工资表-7月'!E:AG,29,0),0)</f>
        <v>0</v>
      </c>
      <c r="AG19" s="99">
        <f t="shared" si="3"/>
        <v>0</v>
      </c>
      <c r="AH19" s="109">
        <f t="shared" si="4"/>
        <v>0</v>
      </c>
      <c r="AI19" s="110"/>
      <c r="AJ19" s="109">
        <f t="shared" si="5"/>
        <v>0</v>
      </c>
      <c r="AK19" s="111"/>
      <c r="AL19" s="109">
        <f t="shared" si="6"/>
        <v>0</v>
      </c>
      <c r="AM19" s="111"/>
      <c r="AN19" s="111"/>
      <c r="AO19" s="111"/>
      <c r="AP19" s="111"/>
      <c r="AQ19" s="111"/>
      <c r="AR19" s="118" t="str">
        <f t="shared" si="7"/>
        <v>正确</v>
      </c>
      <c r="AS19" s="118" t="str">
        <f>IF(SUMPRODUCT(N(E$1:E$18=E19))&gt;1,"重复","不")</f>
        <v>不</v>
      </c>
      <c r="AT19" s="118" t="str">
        <f>IF(SUMPRODUCT(N(AO$1:AO$18=AO19))&gt;1,"重复","不")</f>
        <v>重复</v>
      </c>
    </row>
    <row r="20" s="13" customFormat="1" ht="18" customHeight="1" spans="1:46">
      <c r="A20" s="42"/>
      <c r="B20" s="43" t="s">
        <v>208</v>
      </c>
      <c r="C20" s="43"/>
      <c r="D20" s="44"/>
      <c r="E20" s="45"/>
      <c r="F20" s="46"/>
      <c r="G20" s="47"/>
      <c r="H20" s="46"/>
      <c r="I20" s="74"/>
      <c r="J20" s="75"/>
      <c r="K20" s="74"/>
      <c r="L20" s="76">
        <f>SUM(L4:L19)</f>
        <v>177852.57</v>
      </c>
      <c r="M20" s="76">
        <f t="shared" ref="M20:AL20" si="10">SUM(M4:M19)</f>
        <v>4880.58</v>
      </c>
      <c r="N20" s="76">
        <f t="shared" si="10"/>
        <v>1228.84</v>
      </c>
      <c r="O20" s="76">
        <f t="shared" si="10"/>
        <v>193.21</v>
      </c>
      <c r="P20" s="76">
        <f t="shared" si="10"/>
        <v>3079.06</v>
      </c>
      <c r="Q20" s="76">
        <f t="shared" si="10"/>
        <v>9381.69</v>
      </c>
      <c r="R20" s="76">
        <f t="shared" si="10"/>
        <v>0</v>
      </c>
      <c r="S20" s="76">
        <f t="shared" si="10"/>
        <v>435266.2</v>
      </c>
      <c r="T20" s="76">
        <f t="shared" si="10"/>
        <v>215000</v>
      </c>
      <c r="U20" s="76">
        <f t="shared" si="10"/>
        <v>25310.77</v>
      </c>
      <c r="V20" s="76">
        <f t="shared" si="10"/>
        <v>8000</v>
      </c>
      <c r="W20" s="76">
        <f t="shared" si="10"/>
        <v>5000</v>
      </c>
      <c r="X20" s="76">
        <f t="shared" si="10"/>
        <v>21000</v>
      </c>
      <c r="Y20" s="76">
        <f t="shared" si="10"/>
        <v>19500</v>
      </c>
      <c r="Z20" s="76">
        <f t="shared" si="10"/>
        <v>5200</v>
      </c>
      <c r="AA20" s="76">
        <f t="shared" si="10"/>
        <v>0</v>
      </c>
      <c r="AB20" s="76">
        <f t="shared" si="10"/>
        <v>58700</v>
      </c>
      <c r="AC20" s="76">
        <f t="shared" si="10"/>
        <v>0</v>
      </c>
      <c r="AD20" s="76">
        <f t="shared" si="10"/>
        <v>136255.43</v>
      </c>
      <c r="AE20" s="76">
        <f t="shared" si="10"/>
        <v>4987.56</v>
      </c>
      <c r="AF20" s="76">
        <f t="shared" si="10"/>
        <v>2611.56</v>
      </c>
      <c r="AG20" s="76">
        <f t="shared" si="10"/>
        <v>2539.95</v>
      </c>
      <c r="AH20" s="76">
        <f t="shared" si="10"/>
        <v>165930.93</v>
      </c>
      <c r="AI20" s="76">
        <f t="shared" si="10"/>
        <v>0</v>
      </c>
      <c r="AJ20" s="76">
        <f t="shared" si="10"/>
        <v>165930.93</v>
      </c>
      <c r="AK20" s="76">
        <f t="shared" si="10"/>
        <v>0</v>
      </c>
      <c r="AL20" s="76">
        <f t="shared" si="10"/>
        <v>168470.88</v>
      </c>
      <c r="AM20" s="112"/>
      <c r="AN20" s="112"/>
      <c r="AO20" s="112"/>
      <c r="AP20" s="112"/>
      <c r="AQ20" s="112"/>
      <c r="AR20" s="46"/>
      <c r="AS20" s="46"/>
      <c r="AT20" s="120"/>
    </row>
    <row r="23" spans="30:30">
      <c r="AD23" s="103"/>
    </row>
    <row r="24" ht="18.75" customHeight="1" spans="2:30">
      <c r="B24" s="48" t="s">
        <v>175</v>
      </c>
      <c r="C24" s="48" t="s">
        <v>209</v>
      </c>
      <c r="D24" s="48" t="s">
        <v>22</v>
      </c>
      <c r="E24" s="48" t="s">
        <v>23</v>
      </c>
      <c r="AD24" s="10"/>
    </row>
    <row r="25" ht="18.75" customHeight="1" spans="2:5">
      <c r="B25" s="49">
        <f>AJ20</f>
        <v>165930.93</v>
      </c>
      <c r="C25" s="49">
        <f>AG20</f>
        <v>2539.95</v>
      </c>
      <c r="D25" s="49">
        <f>AK20</f>
        <v>0</v>
      </c>
      <c r="E25" s="49">
        <f>B25+C25+D25</f>
        <v>168470.88</v>
      </c>
    </row>
    <row r="26" spans="2:5">
      <c r="B26" s="50"/>
      <c r="C26" s="50"/>
      <c r="D26" s="50"/>
      <c r="E26" s="50"/>
    </row>
    <row r="27" s="14" customFormat="1" spans="1:35">
      <c r="A27" s="52" t="s">
        <v>210</v>
      </c>
      <c r="B27" s="53" t="s">
        <v>211</v>
      </c>
      <c r="C27" s="51"/>
      <c r="D27" s="51"/>
      <c r="E27" s="51"/>
      <c r="G27" s="54"/>
      <c r="J27" s="77"/>
      <c r="M27" s="78"/>
      <c r="AI27" s="114"/>
    </row>
    <row r="28" s="14" customFormat="1" spans="1:35">
      <c r="A28" s="55"/>
      <c r="B28" s="56" t="s">
        <v>212</v>
      </c>
      <c r="C28" s="51"/>
      <c r="D28" s="51"/>
      <c r="E28" s="51"/>
      <c r="G28" s="54"/>
      <c r="J28" s="77"/>
      <c r="M28" s="78"/>
      <c r="AI28" s="114"/>
    </row>
    <row r="29" s="14" customFormat="1" spans="1:35">
      <c r="A29" s="53"/>
      <c r="B29" s="56" t="s">
        <v>213</v>
      </c>
      <c r="C29" s="57"/>
      <c r="D29" s="57"/>
      <c r="E29" s="57"/>
      <c r="F29" s="57"/>
      <c r="G29" s="57"/>
      <c r="H29" s="57"/>
      <c r="I29" s="57"/>
      <c r="J29" s="79"/>
      <c r="K29" s="57"/>
      <c r="L29" s="57"/>
      <c r="M29" s="80"/>
      <c r="N29" s="57"/>
      <c r="O29" s="57"/>
      <c r="P29" s="57"/>
      <c r="AI29" s="114"/>
    </row>
    <row r="30" s="14" customFormat="1" customHeight="1" spans="1:35">
      <c r="A30" s="56"/>
      <c r="B30" s="56" t="s">
        <v>214</v>
      </c>
      <c r="C30" s="58"/>
      <c r="D30" s="58"/>
      <c r="E30" s="58"/>
      <c r="F30" s="58"/>
      <c r="G30" s="58"/>
      <c r="H30" s="58"/>
      <c r="I30" s="81"/>
      <c r="J30" s="82"/>
      <c r="K30" s="81"/>
      <c r="L30" s="81"/>
      <c r="M30" s="83"/>
      <c r="N30" s="81"/>
      <c r="O30" s="81"/>
      <c r="P30" s="81"/>
      <c r="AI30" s="114"/>
    </row>
    <row r="31" s="14" customFormat="1" customHeight="1" spans="1:35">
      <c r="A31" s="56"/>
      <c r="B31" s="56" t="s">
        <v>215</v>
      </c>
      <c r="C31" s="58"/>
      <c r="D31" s="58"/>
      <c r="E31" s="58"/>
      <c r="F31" s="58"/>
      <c r="G31" s="58"/>
      <c r="H31" s="58"/>
      <c r="I31" s="58"/>
      <c r="J31" s="84"/>
      <c r="K31" s="58"/>
      <c r="L31" s="81"/>
      <c r="M31" s="83"/>
      <c r="N31" s="81"/>
      <c r="O31" s="81"/>
      <c r="P31" s="81"/>
      <c r="AI31" s="114"/>
    </row>
    <row r="32" s="14" customFormat="1" customHeight="1" spans="1:35">
      <c r="A32" s="56"/>
      <c r="B32" s="56" t="s">
        <v>216</v>
      </c>
      <c r="C32" s="58"/>
      <c r="D32" s="58"/>
      <c r="E32" s="58"/>
      <c r="F32" s="58"/>
      <c r="G32" s="58"/>
      <c r="H32" s="58"/>
      <c r="I32" s="81"/>
      <c r="J32" s="82"/>
      <c r="K32" s="81"/>
      <c r="L32" s="81"/>
      <c r="M32" s="83"/>
      <c r="N32" s="81"/>
      <c r="O32" s="81"/>
      <c r="P32" s="81"/>
      <c r="AI32" s="114"/>
    </row>
    <row r="34" ht="11.25" customHeight="1" spans="2:2">
      <c r="B34" s="59" t="s">
        <v>217</v>
      </c>
    </row>
    <row r="35" spans="2:2">
      <c r="B35" s="60" t="s">
        <v>218</v>
      </c>
    </row>
    <row r="36" spans="2:2">
      <c r="B36" s="60" t="s">
        <v>219</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50"/>
    <pageSetUpPr fitToPage="1"/>
  </sheetPr>
  <dimension ref="A1:AT29"/>
  <sheetViews>
    <sheetView workbookViewId="0">
      <pane xSplit="6" ySplit="3" topLeftCell="U4" activePane="bottomRight" state="frozen"/>
      <selection/>
      <selection pane="topRight"/>
      <selection pane="bottomLeft"/>
      <selection pane="bottomRight" activeCell="K13" sqref="K13"/>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194</v>
      </c>
      <c r="C4" s="37" t="s">
        <v>43</v>
      </c>
      <c r="D4" s="37" t="s">
        <v>195</v>
      </c>
      <c r="E4" s="37" t="s">
        <v>44</v>
      </c>
      <c r="F4" s="38" t="s">
        <v>196</v>
      </c>
      <c r="G4" s="41">
        <v>18035163638</v>
      </c>
      <c r="H4" s="40"/>
      <c r="I4" s="40"/>
      <c r="J4" s="70"/>
      <c r="K4" s="40"/>
      <c r="L4" s="73">
        <v>10560</v>
      </c>
      <c r="M4" s="72">
        <v>283.84</v>
      </c>
      <c r="N4" s="72">
        <v>66</v>
      </c>
      <c r="O4" s="72">
        <v>10.64</v>
      </c>
      <c r="P4" s="72">
        <v>180</v>
      </c>
      <c r="Q4" s="91">
        <f t="shared" ref="Q4:Q11" si="0">ROUND(SUM(M4:P4),2)</f>
        <v>540.48</v>
      </c>
      <c r="R4" s="73">
        <v>0</v>
      </c>
      <c r="S4" s="92">
        <f>L4+IFERROR(VLOOKUP($E:$E,'（居民）工资表-8月'!$E:$S,15,0),0)</f>
        <v>31350</v>
      </c>
      <c r="T4" s="93">
        <f>5000+IFERROR(VLOOKUP($E:$E,'（居民）工资表-8月'!$E:$T,16,0),0)</f>
        <v>15000</v>
      </c>
      <c r="U4" s="93">
        <f>Q4+IFERROR(VLOOKUP($E:$E,'（居民）工资表-8月'!$E:$U,17,0),0)</f>
        <v>1744.92</v>
      </c>
      <c r="V4" s="73">
        <v>9000</v>
      </c>
      <c r="X4" s="73"/>
      <c r="Y4" s="73">
        <v>9000</v>
      </c>
      <c r="Z4" s="73">
        <v>3600</v>
      </c>
      <c r="AA4" s="73"/>
      <c r="AB4" s="92">
        <f t="shared" ref="AB4:AB11" si="1">ROUND(SUM(V4:AA4),2)</f>
        <v>21600</v>
      </c>
      <c r="AC4" s="92">
        <f>R4+IFERROR(VLOOKUP($E:$E,'（居民）工资表-8月'!$E:$AC,25,0),0)</f>
        <v>0</v>
      </c>
      <c r="AD4" s="97">
        <f t="shared" ref="AD4:AD11" si="2">ROUND(S4-T4-U4-AB4-AC4,2)</f>
        <v>-6994.92</v>
      </c>
      <c r="AE4" s="98">
        <f>ROUND(MAX((AD4)*{0.03;0.1;0.2;0.25;0.3;0.35;0.45}-{0;2520;16920;31920;52920;85920;181920},0),2)</f>
        <v>0</v>
      </c>
      <c r="AF4" s="99">
        <f>IFERROR(VLOOKUP(E:E,'（居民）工资表-8月'!E:AF,28,0)+VLOOKUP(E:E,'（居民）工资表-8月'!E:AG,29,0),0)</f>
        <v>0</v>
      </c>
      <c r="AG4" s="99">
        <f>AE4-AF4</f>
        <v>0</v>
      </c>
      <c r="AH4" s="109">
        <f t="shared" ref="AH4:AH11" si="3">ROUND(IF((L4-Q4-AG4)&lt;0,0,(L4-Q4-AG4)),2)</f>
        <v>10019.52</v>
      </c>
      <c r="AI4" s="110"/>
      <c r="AJ4" s="109">
        <f t="shared" ref="AJ4:AJ11" si="4">AH4+AI4</f>
        <v>10019.52</v>
      </c>
      <c r="AK4" s="111"/>
      <c r="AL4" s="109">
        <f t="shared" ref="AL4:AL11" si="5">AJ4+AG4+AK4</f>
        <v>10019.52</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IF(SUMPRODUCT(N(E$1:E$8=E4))&gt;1,"重复","不")</f>
        <v>不</v>
      </c>
      <c r="AT4" s="118" t="str">
        <f>IF(SUMPRODUCT(N(AO$1:AO$8=AO4))&gt;1,"重复","不")</f>
        <v>重复</v>
      </c>
    </row>
    <row r="5" s="12" customFormat="1" ht="18" customHeight="1" spans="1:46">
      <c r="A5" s="36">
        <v>2</v>
      </c>
      <c r="B5" s="37" t="s">
        <v>194</v>
      </c>
      <c r="C5" s="37" t="s">
        <v>61</v>
      </c>
      <c r="D5" s="37" t="s">
        <v>195</v>
      </c>
      <c r="E5" s="37" t="s">
        <v>62</v>
      </c>
      <c r="F5" s="38" t="s">
        <v>196</v>
      </c>
      <c r="G5" s="41">
        <v>13944441728</v>
      </c>
      <c r="H5" s="40"/>
      <c r="I5" s="40"/>
      <c r="J5" s="70"/>
      <c r="K5" s="40"/>
      <c r="L5" s="73">
        <v>7000</v>
      </c>
      <c r="M5" s="72">
        <v>268.81</v>
      </c>
      <c r="N5" s="72">
        <v>72.06</v>
      </c>
      <c r="O5" s="72">
        <v>10.08</v>
      </c>
      <c r="P5" s="72">
        <v>82</v>
      </c>
      <c r="Q5" s="91">
        <f t="shared" si="0"/>
        <v>432.95</v>
      </c>
      <c r="R5" s="73">
        <v>0</v>
      </c>
      <c r="S5" s="92">
        <f>L5+IFERROR(VLOOKUP($E:$E,'（居民）工资表-8月'!$E:$S,15,0),0)</f>
        <v>67000</v>
      </c>
      <c r="T5" s="93">
        <f>5000+IFERROR(VLOOKUP($E:$E,'（居民）工资表-8月'!$E:$T,16,0),0)</f>
        <v>45000</v>
      </c>
      <c r="U5" s="93">
        <f>Q5+IFERROR(VLOOKUP($E:$E,'（居民）工资表-8月'!$E:$U,17,0),0)</f>
        <v>4780.04</v>
      </c>
      <c r="V5" s="73"/>
      <c r="W5" s="73"/>
      <c r="X5" s="73"/>
      <c r="Y5" s="73"/>
      <c r="Z5" s="73"/>
      <c r="AA5" s="73"/>
      <c r="AB5" s="92">
        <f t="shared" si="1"/>
        <v>0</v>
      </c>
      <c r="AC5" s="92">
        <f>R5+IFERROR(VLOOKUP($E:$E,'（居民）工资表-8月'!$E:$AC,25,0),0)</f>
        <v>0</v>
      </c>
      <c r="AD5" s="97">
        <f t="shared" si="2"/>
        <v>17219.96</v>
      </c>
      <c r="AE5" s="98">
        <f>ROUND(MAX((AD5)*{0.03;0.1;0.2;0.25;0.3;0.35;0.45}-{0;2520;16920;31920;52920;85920;181920},0),2)</f>
        <v>516.6</v>
      </c>
      <c r="AF5" s="99">
        <f>IFERROR(VLOOKUP(E:E,'（居民）工资表-8月'!E:AF,28,0)+VLOOKUP(E:E,'（居民）工资表-8月'!E:AG,29,0),0)</f>
        <v>375.56</v>
      </c>
      <c r="AG5" s="99">
        <f t="shared" ref="AG5:AG11" si="6">AE5-AF5</f>
        <v>141.04</v>
      </c>
      <c r="AH5" s="109">
        <f t="shared" si="3"/>
        <v>6426.01</v>
      </c>
      <c r="AI5" s="110"/>
      <c r="AJ5" s="109">
        <f t="shared" si="4"/>
        <v>6426.01</v>
      </c>
      <c r="AK5" s="111"/>
      <c r="AL5" s="109">
        <f t="shared" si="5"/>
        <v>6567.05</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IF(SUMPRODUCT(N(E$1:E$8=E5))&gt;1,"重复","不")</f>
        <v>不</v>
      </c>
      <c r="AT5" s="118" t="str">
        <f>IF(SUMPRODUCT(N(AO$1:AO$8=AO5))&gt;1,"重复","不")</f>
        <v>重复</v>
      </c>
    </row>
    <row r="6" s="12" customFormat="1" ht="18" customHeight="1" spans="1:46">
      <c r="A6" s="36">
        <v>3</v>
      </c>
      <c r="B6" s="37" t="s">
        <v>194</v>
      </c>
      <c r="C6" s="37" t="s">
        <v>101</v>
      </c>
      <c r="D6" s="37" t="s">
        <v>195</v>
      </c>
      <c r="E6" s="37" t="s">
        <v>102</v>
      </c>
      <c r="F6" s="38" t="s">
        <v>198</v>
      </c>
      <c r="G6" s="41">
        <v>15360550807</v>
      </c>
      <c r="H6" s="40"/>
      <c r="I6" s="40"/>
      <c r="J6" s="70"/>
      <c r="K6" s="40"/>
      <c r="L6" s="73">
        <v>5700</v>
      </c>
      <c r="M6" s="72">
        <v>367.04</v>
      </c>
      <c r="N6" s="72">
        <v>144.28</v>
      </c>
      <c r="O6" s="72">
        <v>4.6</v>
      </c>
      <c r="P6" s="72">
        <v>115</v>
      </c>
      <c r="Q6" s="91">
        <f t="shared" si="0"/>
        <v>630.92</v>
      </c>
      <c r="R6" s="73">
        <v>0</v>
      </c>
      <c r="S6" s="92">
        <f>L6+IFERROR(VLOOKUP($E:$E,'（居民）工资表-8月'!$E:$S,15,0),0)</f>
        <v>51300</v>
      </c>
      <c r="T6" s="93">
        <f>5000+IFERROR(VLOOKUP($E:$E,'（居民）工资表-8月'!$E:$T,16,0),0)</f>
        <v>45000</v>
      </c>
      <c r="U6" s="93">
        <f>Q6+IFERROR(VLOOKUP($E:$E,'（居民）工资表-8月'!$E:$U,17,0),0)</f>
        <v>5493.48</v>
      </c>
      <c r="V6" s="73"/>
      <c r="W6" s="73"/>
      <c r="X6" s="73"/>
      <c r="Y6" s="73"/>
      <c r="Z6" s="73"/>
      <c r="AA6" s="73"/>
      <c r="AB6" s="92">
        <f t="shared" si="1"/>
        <v>0</v>
      </c>
      <c r="AC6" s="92">
        <f>R6+IFERROR(VLOOKUP($E:$E,'（居民）工资表-8月'!$E:$AC,25,0),0)</f>
        <v>0</v>
      </c>
      <c r="AD6" s="97">
        <f t="shared" si="2"/>
        <v>806.52</v>
      </c>
      <c r="AE6" s="98">
        <f>ROUND(MAX((AD6)*{0.03;0.1;0.2;0.25;0.3;0.35;0.45}-{0;2520;16920;31920;52920;85920;181920},0),2)</f>
        <v>24.2</v>
      </c>
      <c r="AF6" s="99">
        <f>IFERROR(VLOOKUP(E:E,'（居民）工资表-8月'!E:AF,28,0)+VLOOKUP(E:E,'（居民）工资表-8月'!E:AG,29,0),0)</f>
        <v>17.98</v>
      </c>
      <c r="AG6" s="99">
        <f t="shared" si="6"/>
        <v>6.22</v>
      </c>
      <c r="AH6" s="109">
        <f t="shared" si="3"/>
        <v>5062.86</v>
      </c>
      <c r="AI6" s="110"/>
      <c r="AJ6" s="109">
        <f t="shared" si="4"/>
        <v>5062.86</v>
      </c>
      <c r="AK6" s="111"/>
      <c r="AL6" s="109">
        <f t="shared" si="5"/>
        <v>5069.08</v>
      </c>
      <c r="AM6" s="111"/>
      <c r="AN6" s="111"/>
      <c r="AO6" s="111"/>
      <c r="AP6" s="111"/>
      <c r="AQ6" s="111"/>
      <c r="AR6" s="11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IF(SUMPRODUCT(N(E$1:E$8=E6))&gt;1,"重复","不")</f>
        <v>不</v>
      </c>
      <c r="AT6" s="118" t="str">
        <f>IF(SUMPRODUCT(N(AO$1:AO$8=AO6))&gt;1,"重复","不")</f>
        <v>重复</v>
      </c>
    </row>
    <row r="7" s="12" customFormat="1" ht="19" customHeight="1" spans="1:46">
      <c r="A7" s="36">
        <v>4</v>
      </c>
      <c r="B7" s="37" t="s">
        <v>194</v>
      </c>
      <c r="C7" s="37" t="s">
        <v>245</v>
      </c>
      <c r="D7" s="37" t="s">
        <v>195</v>
      </c>
      <c r="E7" s="381" t="s">
        <v>246</v>
      </c>
      <c r="F7" s="38" t="s">
        <v>196</v>
      </c>
      <c r="G7" s="41" t="s">
        <v>203</v>
      </c>
      <c r="H7" s="40"/>
      <c r="I7" s="40"/>
      <c r="J7" s="70"/>
      <c r="K7" s="40"/>
      <c r="L7" s="73">
        <v>4069.57</v>
      </c>
      <c r="M7" s="72">
        <v>0</v>
      </c>
      <c r="N7" s="72">
        <v>0</v>
      </c>
      <c r="O7" s="72">
        <v>0</v>
      </c>
      <c r="P7" s="72">
        <v>0</v>
      </c>
      <c r="Q7" s="91">
        <f t="shared" si="0"/>
        <v>0</v>
      </c>
      <c r="R7" s="73">
        <v>0</v>
      </c>
      <c r="S7" s="92">
        <f>L7+IFERROR(VLOOKUP($E:$E,'（居民）工资表-8月'!$E:$S,15,0),0)</f>
        <v>11277.2</v>
      </c>
      <c r="T7" s="93">
        <f>5000+IFERROR(VLOOKUP($E:$E,'（居民）工资表-8月'!$E:$T,16,0),0)</f>
        <v>15000</v>
      </c>
      <c r="U7" s="93">
        <f>Q7+IFERROR(VLOOKUP($E:$E,'（居民）工资表-8月'!$E:$U,17,0),0)</f>
        <v>1327.95</v>
      </c>
      <c r="V7" s="73"/>
      <c r="W7" s="73"/>
      <c r="X7" s="73"/>
      <c r="Y7" s="73"/>
      <c r="Z7" s="73"/>
      <c r="AA7" s="73"/>
      <c r="AB7" s="92">
        <f t="shared" si="1"/>
        <v>0</v>
      </c>
      <c r="AC7" s="92">
        <f>R7+IFERROR(VLOOKUP($E:$E,'（居民）工资表-8月'!$E:$AC,25,0),0)</f>
        <v>0</v>
      </c>
      <c r="AD7" s="97">
        <f t="shared" si="2"/>
        <v>-5050.75</v>
      </c>
      <c r="AE7" s="98">
        <f>ROUND(MAX((AD7)*{0.03;0.1;0.2;0.25;0.3;0.35;0.45}-{0;2520;16920;31920;52920;85920;181920},0),2)</f>
        <v>0</v>
      </c>
      <c r="AF7" s="99">
        <f>IFERROR(VLOOKUP(E:E,'（居民）工资表-8月'!E:AF,28,0)+VLOOKUP(E:E,'（居民）工资表-8月'!E:AG,29,0),0)</f>
        <v>0</v>
      </c>
      <c r="AG7" s="99">
        <f t="shared" si="6"/>
        <v>0</v>
      </c>
      <c r="AH7" s="109">
        <f t="shared" si="3"/>
        <v>4069.57</v>
      </c>
      <c r="AI7" s="110"/>
      <c r="AJ7" s="109">
        <f t="shared" si="4"/>
        <v>4069.57</v>
      </c>
      <c r="AK7" s="111"/>
      <c r="AL7" s="109">
        <f t="shared" si="5"/>
        <v>4069.57</v>
      </c>
      <c r="AM7" s="111"/>
      <c r="AN7" s="111"/>
      <c r="AO7" s="111"/>
      <c r="AP7" s="111"/>
      <c r="AQ7" s="111"/>
      <c r="AR7" s="11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8" t="str">
        <f>IF(SUMPRODUCT(N(E$1:E$8=E7))&gt;1,"重复","不")</f>
        <v>不</v>
      </c>
      <c r="AT7" s="118" t="str">
        <f>IF(SUMPRODUCT(N(AO$1:AO$8=AO7))&gt;1,"重复","不")</f>
        <v>重复</v>
      </c>
    </row>
    <row r="8" s="12" customFormat="1" ht="19" customHeight="1" spans="1:46">
      <c r="A8" s="36">
        <v>5</v>
      </c>
      <c r="B8" s="37" t="s">
        <v>194</v>
      </c>
      <c r="C8" s="37" t="s">
        <v>112</v>
      </c>
      <c r="D8" s="37" t="s">
        <v>195</v>
      </c>
      <c r="E8" s="381" t="s">
        <v>113</v>
      </c>
      <c r="F8" s="38" t="s">
        <v>196</v>
      </c>
      <c r="G8" s="41" t="s">
        <v>201</v>
      </c>
      <c r="H8" s="40"/>
      <c r="I8" s="40"/>
      <c r="J8" s="70"/>
      <c r="K8" s="40"/>
      <c r="L8" s="73">
        <v>4142.27</v>
      </c>
      <c r="M8" s="72">
        <v>274.4</v>
      </c>
      <c r="N8" s="72">
        <v>76.6</v>
      </c>
      <c r="O8" s="72">
        <v>17.15</v>
      </c>
      <c r="P8" s="72">
        <v>75</v>
      </c>
      <c r="Q8" s="91">
        <f t="shared" si="0"/>
        <v>443.15</v>
      </c>
      <c r="R8" s="73">
        <v>0</v>
      </c>
      <c r="S8" s="92">
        <f>L8+IFERROR(VLOOKUP($E:$E,'（居民）工资表-8月'!$E:$S,15,0),0)</f>
        <v>4370.84</v>
      </c>
      <c r="T8" s="93">
        <f>5000+IFERROR(VLOOKUP($E:$E,'（居民）工资表-8月'!$E:$T,16,0),0)</f>
        <v>10000</v>
      </c>
      <c r="U8" s="93">
        <f>Q8+IFERROR(VLOOKUP($E:$E,'（居民）工资表-8月'!$E:$U,17,0),0)</f>
        <v>671.72</v>
      </c>
      <c r="V8" s="73"/>
      <c r="W8" s="73"/>
      <c r="X8" s="73"/>
      <c r="Y8" s="73"/>
      <c r="Z8" s="73"/>
      <c r="AA8" s="73"/>
      <c r="AB8" s="92">
        <f t="shared" si="1"/>
        <v>0</v>
      </c>
      <c r="AC8" s="92">
        <f>R8+IFERROR(VLOOKUP($E:$E,'（居民）工资表-8月'!$E:$AC,25,0),0)</f>
        <v>0</v>
      </c>
      <c r="AD8" s="97">
        <f t="shared" si="2"/>
        <v>-6300.88</v>
      </c>
      <c r="AE8" s="98">
        <f>ROUND(MAX((AD8)*{0.03;0.1;0.2;0.25;0.3;0.35;0.45}-{0;2520;16920;31920;52920;85920;181920},0),2)</f>
        <v>0</v>
      </c>
      <c r="AF8" s="99">
        <f>IFERROR(VLOOKUP(E:E,'（居民）工资表-8月'!E:AF,28,0)+VLOOKUP(E:E,'（居民）工资表-8月'!E:AG,29,0),0)</f>
        <v>0</v>
      </c>
      <c r="AG8" s="99">
        <f t="shared" si="6"/>
        <v>0</v>
      </c>
      <c r="AH8" s="109">
        <f t="shared" si="3"/>
        <v>3699.12</v>
      </c>
      <c r="AI8" s="110"/>
      <c r="AJ8" s="109">
        <f t="shared" si="4"/>
        <v>3699.12</v>
      </c>
      <c r="AK8" s="111"/>
      <c r="AL8" s="109">
        <f t="shared" si="5"/>
        <v>3699.12</v>
      </c>
      <c r="AM8" s="111"/>
      <c r="AN8" s="111"/>
      <c r="AO8" s="111"/>
      <c r="AP8" s="111"/>
      <c r="AQ8" s="111"/>
      <c r="AR8" s="118"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8" t="str">
        <f>IF(SUMPRODUCT(N(E$1:E$8=E8))&gt;1,"重复","不")</f>
        <v>不</v>
      </c>
      <c r="AT8" s="118" t="str">
        <f>IF(SUMPRODUCT(N(AO$1:AO$8=AO8))&gt;1,"重复","不")</f>
        <v>重复</v>
      </c>
    </row>
    <row r="9" s="12" customFormat="1" ht="19" customHeight="1" spans="1:46">
      <c r="A9" s="36">
        <v>6</v>
      </c>
      <c r="B9" s="37" t="s">
        <v>194</v>
      </c>
      <c r="C9" s="37" t="s">
        <v>119</v>
      </c>
      <c r="D9" s="37" t="s">
        <v>195</v>
      </c>
      <c r="E9" s="381" t="s">
        <v>120</v>
      </c>
      <c r="F9" s="38" t="s">
        <v>196</v>
      </c>
      <c r="G9" s="41">
        <v>19356875630</v>
      </c>
      <c r="H9" s="40"/>
      <c r="I9" s="40"/>
      <c r="J9" s="70"/>
      <c r="K9" s="40"/>
      <c r="L9" s="73">
        <v>4973.92</v>
      </c>
      <c r="M9" s="72">
        <v>823.2</v>
      </c>
      <c r="N9" s="72">
        <v>223.8</v>
      </c>
      <c r="O9" s="72">
        <v>51.45</v>
      </c>
      <c r="P9" s="72">
        <v>510</v>
      </c>
      <c r="Q9" s="91">
        <f t="shared" si="0"/>
        <v>1608.45</v>
      </c>
      <c r="R9" s="73">
        <v>0</v>
      </c>
      <c r="S9" s="92">
        <f>L9+IFERROR(VLOOKUP($E:$E,'（居民）工资表-8月'!$E:$S,15,0),0)</f>
        <v>4973.92</v>
      </c>
      <c r="T9" s="93">
        <f>5000+IFERROR(VLOOKUP($E:$E,'（居民）工资表-8月'!$E:$T,16,0),0)</f>
        <v>5000</v>
      </c>
      <c r="U9" s="93">
        <f>Q9+IFERROR(VLOOKUP($E:$E,'（居民）工资表-8月'!$E:$U,17,0),0)</f>
        <v>1608.45</v>
      </c>
      <c r="V9" s="73"/>
      <c r="W9" s="73"/>
      <c r="X9" s="73"/>
      <c r="Y9" s="73"/>
      <c r="Z9" s="73"/>
      <c r="AA9" s="73"/>
      <c r="AB9" s="92">
        <f t="shared" si="1"/>
        <v>0</v>
      </c>
      <c r="AC9" s="92">
        <f>R9+IFERROR(VLOOKUP($E:$E,'（居民）工资表-8月'!$E:$AC,25,0),0)</f>
        <v>0</v>
      </c>
      <c r="AD9" s="97">
        <f t="shared" si="2"/>
        <v>-1634.53</v>
      </c>
      <c r="AE9" s="98">
        <f>ROUND(MAX((AD9)*{0.03;0.1;0.2;0.25;0.3;0.35;0.45}-{0;2520;16920;31920;52920;85920;181920},0),2)</f>
        <v>0</v>
      </c>
      <c r="AF9" s="99">
        <f>IFERROR(VLOOKUP(E:E,'（居民）工资表-8月'!E:AF,28,0)+VLOOKUP(E:E,'（居民）工资表-8月'!E:AG,29,0),0)</f>
        <v>0</v>
      </c>
      <c r="AG9" s="99">
        <f t="shared" si="6"/>
        <v>0</v>
      </c>
      <c r="AH9" s="109">
        <f t="shared" si="3"/>
        <v>3365.47</v>
      </c>
      <c r="AI9" s="110"/>
      <c r="AJ9" s="109">
        <f t="shared" si="4"/>
        <v>3365.47</v>
      </c>
      <c r="AK9" s="111"/>
      <c r="AL9" s="109">
        <f t="shared" si="5"/>
        <v>3365.47</v>
      </c>
      <c r="AM9" s="111"/>
      <c r="AN9" s="111"/>
      <c r="AO9" s="111"/>
      <c r="AP9" s="111"/>
      <c r="AQ9" s="111"/>
      <c r="AR9" s="118"/>
      <c r="AS9" s="118"/>
      <c r="AT9" s="118"/>
    </row>
    <row r="10" s="12" customFormat="1" ht="19" customHeight="1" spans="1:46">
      <c r="A10" s="36">
        <v>7</v>
      </c>
      <c r="B10" s="37" t="s">
        <v>194</v>
      </c>
      <c r="C10" s="37" t="s">
        <v>131</v>
      </c>
      <c r="D10" s="37" t="s">
        <v>195</v>
      </c>
      <c r="E10" s="381" t="s">
        <v>132</v>
      </c>
      <c r="F10" s="38" t="s">
        <v>196</v>
      </c>
      <c r="G10" s="41">
        <v>13973652684</v>
      </c>
      <c r="H10" s="40"/>
      <c r="I10" s="40"/>
      <c r="J10" s="70"/>
      <c r="K10" s="40"/>
      <c r="L10" s="73">
        <v>3617.39</v>
      </c>
      <c r="M10" s="72">
        <v>576.64</v>
      </c>
      <c r="N10" s="72">
        <v>147.04</v>
      </c>
      <c r="O10" s="72">
        <v>21.62</v>
      </c>
      <c r="P10" s="72">
        <v>200</v>
      </c>
      <c r="Q10" s="91">
        <f t="shared" si="0"/>
        <v>945.3</v>
      </c>
      <c r="R10" s="73">
        <v>0</v>
      </c>
      <c r="S10" s="92">
        <f>L10+IFERROR(VLOOKUP($E:$E,'（居民）工资表-8月'!$E:$S,15,0),0)</f>
        <v>3617.39</v>
      </c>
      <c r="T10" s="93">
        <f>5000+IFERROR(VLOOKUP($E:$E,'（居民）工资表-8月'!$E:$T,16,0),0)</f>
        <v>5000</v>
      </c>
      <c r="U10" s="93">
        <f>Q10+IFERROR(VLOOKUP($E:$E,'（居民）工资表-8月'!$E:$U,17,0),0)</f>
        <v>945.3</v>
      </c>
      <c r="V10" s="73"/>
      <c r="W10" s="73"/>
      <c r="X10" s="73"/>
      <c r="Y10" s="73"/>
      <c r="Z10" s="73"/>
      <c r="AA10" s="73"/>
      <c r="AB10" s="92">
        <f t="shared" si="1"/>
        <v>0</v>
      </c>
      <c r="AC10" s="92">
        <f>R10+IFERROR(VLOOKUP($E:$E,'（居民）工资表-8月'!$E:$AC,25,0),0)</f>
        <v>0</v>
      </c>
      <c r="AD10" s="97">
        <f t="shared" si="2"/>
        <v>-2327.91</v>
      </c>
      <c r="AE10" s="98">
        <f>ROUND(MAX((AD10)*{0.03;0.1;0.2;0.25;0.3;0.35;0.45}-{0;2520;16920;31920;52920;85920;181920},0),2)</f>
        <v>0</v>
      </c>
      <c r="AF10" s="99">
        <f>IFERROR(VLOOKUP(E:E,'（居民）工资表-8月'!E:AF,28,0)+VLOOKUP(E:E,'（居民）工资表-8月'!E:AG,29,0),0)</f>
        <v>0</v>
      </c>
      <c r="AG10" s="99">
        <f t="shared" si="6"/>
        <v>0</v>
      </c>
      <c r="AH10" s="109">
        <f t="shared" si="3"/>
        <v>2672.09</v>
      </c>
      <c r="AI10" s="110"/>
      <c r="AJ10" s="109">
        <f t="shared" si="4"/>
        <v>2672.09</v>
      </c>
      <c r="AK10" s="111"/>
      <c r="AL10" s="109">
        <f t="shared" si="5"/>
        <v>2672.09</v>
      </c>
      <c r="AM10" s="111"/>
      <c r="AN10" s="111"/>
      <c r="AO10" s="111"/>
      <c r="AP10" s="111"/>
      <c r="AQ10" s="111"/>
      <c r="AR10" s="118"/>
      <c r="AS10" s="118"/>
      <c r="AT10" s="118"/>
    </row>
    <row r="11" s="12" customFormat="1" ht="19" customHeight="1" spans="1:46">
      <c r="A11" s="36">
        <v>8</v>
      </c>
      <c r="B11" s="37" t="s">
        <v>194</v>
      </c>
      <c r="C11" s="37" t="s">
        <v>108</v>
      </c>
      <c r="D11" s="37" t="s">
        <v>195</v>
      </c>
      <c r="E11" s="381" t="s">
        <v>109</v>
      </c>
      <c r="F11" s="38" t="s">
        <v>196</v>
      </c>
      <c r="G11" s="41" t="s">
        <v>199</v>
      </c>
      <c r="H11" s="40"/>
      <c r="I11" s="40"/>
      <c r="J11" s="70"/>
      <c r="K11" s="40"/>
      <c r="L11" s="73">
        <v>19565.22</v>
      </c>
      <c r="M11" s="72">
        <v>1043.2</v>
      </c>
      <c r="N11" s="72">
        <v>260.8</v>
      </c>
      <c r="O11" s="72">
        <v>65.2</v>
      </c>
      <c r="P11" s="72">
        <v>362.6</v>
      </c>
      <c r="Q11" s="91">
        <f t="shared" si="0"/>
        <v>1731.8</v>
      </c>
      <c r="R11" s="73">
        <v>0</v>
      </c>
      <c r="S11" s="92">
        <f>L11+IFERROR(VLOOKUP($E:$E,'（居民）工资表-8月'!$E:$S,15,0),0)</f>
        <v>19565.22</v>
      </c>
      <c r="T11" s="93">
        <f>5000+IFERROR(VLOOKUP($E:$E,'（居民）工资表-8月'!$E:$T,16,0),0)</f>
        <v>5000</v>
      </c>
      <c r="U11" s="93">
        <f>Q11+IFERROR(VLOOKUP($E:$E,'（居民）工资表-8月'!$E:$U,17,0),0)</f>
        <v>1731.8</v>
      </c>
      <c r="V11" s="73"/>
      <c r="W11" s="73"/>
      <c r="X11" s="73"/>
      <c r="Y11" s="73"/>
      <c r="Z11" s="73"/>
      <c r="AA11" s="73"/>
      <c r="AB11" s="92">
        <f t="shared" si="1"/>
        <v>0</v>
      </c>
      <c r="AC11" s="92">
        <f>R11+IFERROR(VLOOKUP($E:$E,'（居民）工资表-8月'!$E:$AC,25,0),0)</f>
        <v>0</v>
      </c>
      <c r="AD11" s="97">
        <f t="shared" si="2"/>
        <v>12833.42</v>
      </c>
      <c r="AE11" s="98">
        <f>ROUND(MAX((AD11)*{0.03;0.1;0.2;0.25;0.3;0.35;0.45}-{0;2520;16920;31920;52920;85920;181920},0),2)</f>
        <v>385</v>
      </c>
      <c r="AF11" s="99">
        <f>IFERROR(VLOOKUP(E:E,'（居民）工资表-8月'!E:AF,28,0)+VLOOKUP(E:E,'（居民）工资表-8月'!E:AG,29,0),0)</f>
        <v>0</v>
      </c>
      <c r="AG11" s="99">
        <f t="shared" si="6"/>
        <v>385</v>
      </c>
      <c r="AH11" s="109">
        <f t="shared" si="3"/>
        <v>17448.42</v>
      </c>
      <c r="AI11" s="110"/>
      <c r="AJ11" s="109">
        <f t="shared" si="4"/>
        <v>17448.42</v>
      </c>
      <c r="AK11" s="111"/>
      <c r="AL11" s="109">
        <f t="shared" si="5"/>
        <v>17833.42</v>
      </c>
      <c r="AM11" s="111"/>
      <c r="AN11" s="111"/>
      <c r="AO11" s="111"/>
      <c r="AP11" s="111"/>
      <c r="AQ11" s="111"/>
      <c r="AR11" s="118"/>
      <c r="AS11" s="118"/>
      <c r="AT11" s="118"/>
    </row>
    <row r="12" s="12" customFormat="1" ht="19" customHeight="1" spans="1:46">
      <c r="A12" s="36"/>
      <c r="B12" s="37"/>
      <c r="C12" s="37"/>
      <c r="D12" s="37"/>
      <c r="E12" s="37"/>
      <c r="F12" s="38"/>
      <c r="G12" s="41"/>
      <c r="H12" s="40"/>
      <c r="I12" s="40"/>
      <c r="J12" s="70"/>
      <c r="K12" s="40"/>
      <c r="L12" s="73"/>
      <c r="M12" s="72"/>
      <c r="N12" s="72"/>
      <c r="O12" s="72"/>
      <c r="P12" s="72"/>
      <c r="Q12" s="91"/>
      <c r="R12" s="73"/>
      <c r="S12" s="92"/>
      <c r="T12" s="93"/>
      <c r="U12" s="93"/>
      <c r="V12" s="73"/>
      <c r="W12" s="73"/>
      <c r="X12" s="73"/>
      <c r="Y12" s="73"/>
      <c r="Z12" s="73"/>
      <c r="AA12" s="73"/>
      <c r="AB12" s="92"/>
      <c r="AC12" s="92"/>
      <c r="AD12" s="97"/>
      <c r="AE12" s="98"/>
      <c r="AF12" s="99"/>
      <c r="AG12" s="99"/>
      <c r="AH12" s="109"/>
      <c r="AI12" s="110"/>
      <c r="AJ12" s="109"/>
      <c r="AK12" s="111"/>
      <c r="AL12" s="109"/>
      <c r="AM12" s="111"/>
      <c r="AN12" s="111"/>
      <c r="AO12" s="111"/>
      <c r="AP12" s="111"/>
      <c r="AQ12" s="111"/>
      <c r="AR12" s="118"/>
      <c r="AS12" s="118"/>
      <c r="AT12" s="118"/>
    </row>
    <row r="13" s="13" customFormat="1" ht="19" customHeight="1" spans="1:46">
      <c r="A13" s="42"/>
      <c r="B13" s="43" t="s">
        <v>208</v>
      </c>
      <c r="C13" s="43"/>
      <c r="D13" s="44"/>
      <c r="E13" s="45"/>
      <c r="F13" s="46"/>
      <c r="G13" s="47"/>
      <c r="H13" s="46"/>
      <c r="I13" s="74"/>
      <c r="J13" s="75"/>
      <c r="K13" s="74"/>
      <c r="L13" s="76">
        <f>SUM(L4:L12)</f>
        <v>59628.37</v>
      </c>
      <c r="M13" s="76">
        <f t="shared" ref="M13:AL13" si="7">SUM(M4:M12)</f>
        <v>3637.13</v>
      </c>
      <c r="N13" s="76">
        <f t="shared" si="7"/>
        <v>990.58</v>
      </c>
      <c r="O13" s="76">
        <f t="shared" si="7"/>
        <v>180.74</v>
      </c>
      <c r="P13" s="76">
        <f t="shared" si="7"/>
        <v>1524.6</v>
      </c>
      <c r="Q13" s="76">
        <f t="shared" si="7"/>
        <v>6333.05</v>
      </c>
      <c r="R13" s="76">
        <f t="shared" si="7"/>
        <v>0</v>
      </c>
      <c r="S13" s="76">
        <f t="shared" si="7"/>
        <v>193454.57</v>
      </c>
      <c r="T13" s="76">
        <f t="shared" si="7"/>
        <v>145000</v>
      </c>
      <c r="U13" s="76">
        <f t="shared" si="7"/>
        <v>18303.66</v>
      </c>
      <c r="V13" s="76">
        <f t="shared" si="7"/>
        <v>9000</v>
      </c>
      <c r="W13" s="76">
        <f t="shared" si="7"/>
        <v>0</v>
      </c>
      <c r="X13" s="76">
        <f t="shared" si="7"/>
        <v>0</v>
      </c>
      <c r="Y13" s="76">
        <f t="shared" si="7"/>
        <v>9000</v>
      </c>
      <c r="Z13" s="76">
        <f t="shared" si="7"/>
        <v>3600</v>
      </c>
      <c r="AA13" s="76">
        <f t="shared" si="7"/>
        <v>0</v>
      </c>
      <c r="AB13" s="76">
        <f t="shared" si="7"/>
        <v>21600</v>
      </c>
      <c r="AC13" s="76">
        <f t="shared" si="7"/>
        <v>0</v>
      </c>
      <c r="AD13" s="76">
        <f t="shared" si="7"/>
        <v>8550.91</v>
      </c>
      <c r="AE13" s="76">
        <f t="shared" si="7"/>
        <v>925.8</v>
      </c>
      <c r="AF13" s="76">
        <f t="shared" si="7"/>
        <v>393.54</v>
      </c>
      <c r="AG13" s="76">
        <f t="shared" si="7"/>
        <v>532.26</v>
      </c>
      <c r="AH13" s="76">
        <f t="shared" si="7"/>
        <v>52763.06</v>
      </c>
      <c r="AI13" s="76">
        <f t="shared" si="7"/>
        <v>0</v>
      </c>
      <c r="AJ13" s="76">
        <f t="shared" si="7"/>
        <v>52763.06</v>
      </c>
      <c r="AK13" s="76">
        <f t="shared" si="7"/>
        <v>0</v>
      </c>
      <c r="AL13" s="76">
        <f t="shared" si="7"/>
        <v>53295.32</v>
      </c>
      <c r="AM13" s="112"/>
      <c r="AN13" s="112"/>
      <c r="AO13" s="112"/>
      <c r="AP13" s="112"/>
      <c r="AQ13" s="112"/>
      <c r="AR13" s="46"/>
      <c r="AS13" s="46"/>
      <c r="AT13" s="120"/>
    </row>
    <row r="14" ht="19" customHeight="1"/>
    <row r="15" ht="19" customHeight="1"/>
    <row r="16" ht="19" customHeight="1" spans="30:30">
      <c r="AD16" s="103"/>
    </row>
    <row r="17" ht="19" customHeight="1" spans="2:30">
      <c r="B17" s="48" t="s">
        <v>175</v>
      </c>
      <c r="C17" s="48" t="s">
        <v>209</v>
      </c>
      <c r="D17" s="48" t="s">
        <v>22</v>
      </c>
      <c r="E17" s="48" t="s">
        <v>23</v>
      </c>
      <c r="AD17" s="10"/>
    </row>
    <row r="18" ht="19" customHeight="1" spans="2:5">
      <c r="B18" s="49">
        <f>AJ13</f>
        <v>52763.06</v>
      </c>
      <c r="C18" s="49">
        <f>AG13</f>
        <v>532.26</v>
      </c>
      <c r="D18" s="49">
        <f>AK13</f>
        <v>0</v>
      </c>
      <c r="E18" s="49">
        <f>B18+C18+D18</f>
        <v>53295.32</v>
      </c>
    </row>
    <row r="19" ht="19" customHeight="1" spans="2:5">
      <c r="B19" s="50"/>
      <c r="C19" s="50"/>
      <c r="D19" s="50"/>
      <c r="E19" s="50"/>
    </row>
    <row r="20" s="14" customFormat="1" ht="19" customHeight="1" spans="1:35">
      <c r="A20" s="52" t="s">
        <v>210</v>
      </c>
      <c r="B20" s="53" t="s">
        <v>211</v>
      </c>
      <c r="C20" s="51"/>
      <c r="D20" s="51"/>
      <c r="E20" s="51"/>
      <c r="G20" s="54"/>
      <c r="J20" s="77"/>
      <c r="M20" s="78"/>
      <c r="AI20" s="114"/>
    </row>
    <row r="21" s="14" customFormat="1" ht="19" customHeight="1" spans="1:35">
      <c r="A21" s="55"/>
      <c r="B21" s="56" t="s">
        <v>212</v>
      </c>
      <c r="C21" s="51"/>
      <c r="D21" s="51"/>
      <c r="E21" s="51"/>
      <c r="G21" s="54"/>
      <c r="J21" s="77"/>
      <c r="M21" s="78"/>
      <c r="AI21" s="114"/>
    </row>
    <row r="22" s="14" customFormat="1" spans="1:35">
      <c r="A22" s="53"/>
      <c r="B22" s="56" t="s">
        <v>213</v>
      </c>
      <c r="C22" s="57"/>
      <c r="D22" s="57"/>
      <c r="E22" s="57"/>
      <c r="F22" s="57"/>
      <c r="G22" s="57"/>
      <c r="H22" s="57"/>
      <c r="I22" s="57"/>
      <c r="J22" s="79"/>
      <c r="K22" s="57"/>
      <c r="L22" s="57"/>
      <c r="M22" s="80"/>
      <c r="N22" s="57"/>
      <c r="O22" s="57"/>
      <c r="P22" s="57"/>
      <c r="AI22" s="114"/>
    </row>
    <row r="23" s="14" customFormat="1" customHeight="1" spans="1:35">
      <c r="A23" s="56"/>
      <c r="B23" s="56" t="s">
        <v>214</v>
      </c>
      <c r="C23" s="58"/>
      <c r="D23" s="58"/>
      <c r="E23" s="58"/>
      <c r="F23" s="58"/>
      <c r="G23" s="58"/>
      <c r="H23" s="58"/>
      <c r="I23" s="81"/>
      <c r="J23" s="82"/>
      <c r="K23" s="81"/>
      <c r="L23" s="81"/>
      <c r="M23" s="83"/>
      <c r="N23" s="81"/>
      <c r="O23" s="81"/>
      <c r="P23" s="81"/>
      <c r="AI23" s="114"/>
    </row>
    <row r="24" s="14" customFormat="1" customHeight="1" spans="1:35">
      <c r="A24" s="56"/>
      <c r="B24" s="56" t="s">
        <v>215</v>
      </c>
      <c r="C24" s="58"/>
      <c r="D24" s="58"/>
      <c r="E24" s="58"/>
      <c r="F24" s="58"/>
      <c r="G24" s="58"/>
      <c r="H24" s="58"/>
      <c r="I24" s="58"/>
      <c r="J24" s="84"/>
      <c r="K24" s="58"/>
      <c r="L24" s="81"/>
      <c r="M24" s="83"/>
      <c r="N24" s="81"/>
      <c r="O24" s="81"/>
      <c r="P24" s="81"/>
      <c r="AI24" s="114"/>
    </row>
    <row r="25" s="14" customFormat="1" customHeight="1" spans="1:35">
      <c r="A25" s="56"/>
      <c r="B25" s="56" t="s">
        <v>216</v>
      </c>
      <c r="C25" s="58"/>
      <c r="D25" s="58"/>
      <c r="E25" s="58"/>
      <c r="F25" s="58"/>
      <c r="G25" s="58"/>
      <c r="H25" s="58"/>
      <c r="I25" s="81"/>
      <c r="J25" s="82"/>
      <c r="K25" s="81"/>
      <c r="L25" s="81"/>
      <c r="M25" s="83"/>
      <c r="N25" s="81"/>
      <c r="O25" s="81"/>
      <c r="P25" s="81"/>
      <c r="AI25" s="114"/>
    </row>
    <row r="27" ht="11.25" customHeight="1" spans="2:2">
      <c r="B27" s="59" t="s">
        <v>217</v>
      </c>
    </row>
    <row r="28" spans="2:2">
      <c r="B28" s="60" t="s">
        <v>218</v>
      </c>
    </row>
    <row r="29" spans="2:2">
      <c r="B29" s="60" t="s">
        <v>219</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B050"/>
    <pageSetUpPr fitToPage="1"/>
  </sheetPr>
  <dimension ref="A1:AW28"/>
  <sheetViews>
    <sheetView workbookViewId="0">
      <pane xSplit="6" ySplit="3" topLeftCell="AE4" activePane="bottomRight" state="frozen"/>
      <selection/>
      <selection pane="topRight"/>
      <selection pane="bottomLeft"/>
      <selection pane="bottomRight" activeCell="AV4" sqref="AV4:AW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47" width="9" style="15" hidden="1" customWidth="1"/>
    <col min="48" max="16384" width="9" style="15"/>
  </cols>
  <sheetData>
    <row r="1" s="10" customFormat="1" ht="29.25" customHeight="1" spans="1:45">
      <c r="A1" s="20" t="s">
        <v>147</v>
      </c>
      <c r="B1" s="21"/>
      <c r="C1" s="22"/>
      <c r="D1" s="23"/>
      <c r="E1" s="24"/>
      <c r="F1" s="24"/>
      <c r="G1" s="25"/>
      <c r="J1" s="61"/>
      <c r="L1" s="62"/>
      <c r="M1" s="63" t="s">
        <v>148</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149</v>
      </c>
      <c r="C2" s="28" t="s">
        <v>150</v>
      </c>
      <c r="D2" s="28" t="s">
        <v>151</v>
      </c>
      <c r="E2" s="29" t="s">
        <v>152</v>
      </c>
      <c r="F2" s="30" t="s">
        <v>153</v>
      </c>
      <c r="G2" s="29" t="s">
        <v>154</v>
      </c>
      <c r="H2" s="29" t="s">
        <v>155</v>
      </c>
      <c r="I2" s="29" t="s">
        <v>156</v>
      </c>
      <c r="J2" s="64" t="s">
        <v>157</v>
      </c>
      <c r="K2" s="29" t="s">
        <v>158</v>
      </c>
      <c r="L2" s="29" t="s">
        <v>159</v>
      </c>
      <c r="M2" s="65" t="s">
        <v>160</v>
      </c>
      <c r="N2" s="66"/>
      <c r="O2" s="66"/>
      <c r="P2" s="67"/>
      <c r="Q2" s="30" t="s">
        <v>161</v>
      </c>
      <c r="R2" s="29" t="s">
        <v>162</v>
      </c>
      <c r="S2" s="30" t="s">
        <v>163</v>
      </c>
      <c r="T2" s="86" t="s">
        <v>164</v>
      </c>
      <c r="U2" s="30" t="s">
        <v>165</v>
      </c>
      <c r="V2" s="87" t="s">
        <v>166</v>
      </c>
      <c r="W2" s="88"/>
      <c r="X2" s="88"/>
      <c r="Y2" s="88"/>
      <c r="Z2" s="88"/>
      <c r="AA2" s="96"/>
      <c r="AB2" s="30" t="s">
        <v>167</v>
      </c>
      <c r="AC2" s="30" t="s">
        <v>168</v>
      </c>
      <c r="AD2" s="86" t="s">
        <v>169</v>
      </c>
      <c r="AE2" s="86" t="s">
        <v>170</v>
      </c>
      <c r="AF2" s="86" t="s">
        <v>171</v>
      </c>
      <c r="AG2" s="86" t="s">
        <v>172</v>
      </c>
      <c r="AH2" s="105" t="s">
        <v>173</v>
      </c>
      <c r="AI2" s="106" t="s">
        <v>174</v>
      </c>
      <c r="AJ2" s="105" t="s">
        <v>175</v>
      </c>
      <c r="AK2" s="28" t="s">
        <v>22</v>
      </c>
      <c r="AL2" s="105" t="s">
        <v>176</v>
      </c>
      <c r="AM2" s="29" t="s">
        <v>177</v>
      </c>
      <c r="AN2" s="29" t="s">
        <v>178</v>
      </c>
      <c r="AO2" s="116" t="s">
        <v>179</v>
      </c>
      <c r="AP2" s="29" t="s">
        <v>180</v>
      </c>
      <c r="AQ2" s="29" t="s">
        <v>181</v>
      </c>
      <c r="AR2" s="30" t="s">
        <v>182</v>
      </c>
      <c r="AS2" s="30" t="s">
        <v>183</v>
      </c>
      <c r="AT2" s="30" t="s">
        <v>184</v>
      </c>
    </row>
    <row r="3" s="11" customFormat="1" ht="27" customHeight="1" spans="1:46">
      <c r="A3" s="31"/>
      <c r="B3" s="32"/>
      <c r="C3" s="33"/>
      <c r="D3" s="33"/>
      <c r="E3" s="34"/>
      <c r="F3" s="35"/>
      <c r="G3" s="34"/>
      <c r="H3" s="34"/>
      <c r="I3" s="34"/>
      <c r="J3" s="68"/>
      <c r="K3" s="34"/>
      <c r="L3" s="34"/>
      <c r="M3" s="69" t="s">
        <v>185</v>
      </c>
      <c r="N3" s="69" t="s">
        <v>186</v>
      </c>
      <c r="O3" s="69" t="s">
        <v>187</v>
      </c>
      <c r="P3" s="69" t="s">
        <v>37</v>
      </c>
      <c r="Q3" s="35"/>
      <c r="R3" s="34"/>
      <c r="S3" s="35"/>
      <c r="T3" s="89"/>
      <c r="U3" s="35"/>
      <c r="V3" s="90" t="s">
        <v>188</v>
      </c>
      <c r="W3" s="90" t="s">
        <v>189</v>
      </c>
      <c r="X3" s="90" t="s">
        <v>190</v>
      </c>
      <c r="Y3" s="90" t="s">
        <v>191</v>
      </c>
      <c r="Z3" s="90" t="s">
        <v>192</v>
      </c>
      <c r="AA3" s="90" t="s">
        <v>193</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194</v>
      </c>
      <c r="C4" s="37" t="s">
        <v>43</v>
      </c>
      <c r="D4" s="37" t="s">
        <v>195</v>
      </c>
      <c r="E4" s="37" t="s">
        <v>44</v>
      </c>
      <c r="F4" s="38" t="s">
        <v>196</v>
      </c>
      <c r="G4" s="41">
        <v>18035163638</v>
      </c>
      <c r="H4" s="40"/>
      <c r="I4" s="40"/>
      <c r="J4" s="70"/>
      <c r="K4" s="40"/>
      <c r="L4" s="73">
        <v>10560</v>
      </c>
      <c r="M4" s="72">
        <v>283.84</v>
      </c>
      <c r="N4" s="72">
        <v>115.6</v>
      </c>
      <c r="O4" s="72">
        <v>10.64</v>
      </c>
      <c r="P4" s="72">
        <v>180</v>
      </c>
      <c r="Q4" s="91">
        <f t="shared" ref="Q4:Q11" si="0">ROUND(SUM(M4:P4),2)</f>
        <v>590.08</v>
      </c>
      <c r="R4" s="73">
        <v>0</v>
      </c>
      <c r="S4" s="92">
        <f>L4+IFERROR(VLOOKUP($E:$E,'（居民）工资表-9月'!$E:$S,15,0),0)</f>
        <v>41910</v>
      </c>
      <c r="T4" s="93">
        <f>5000+IFERROR(VLOOKUP($E:$E,'（居民）工资表-9月'!$E:$T,16,0),0)</f>
        <v>20000</v>
      </c>
      <c r="U4" s="93">
        <f>Q4+IFERROR(VLOOKUP($E:$E,'（居民）工资表-9月'!$E:$U,17,0),0)</f>
        <v>2335</v>
      </c>
      <c r="V4" s="73">
        <v>10000</v>
      </c>
      <c r="W4" s="73"/>
      <c r="X4" s="73">
        <v>10000</v>
      </c>
      <c r="Y4" s="73"/>
      <c r="Z4" s="73">
        <v>4000</v>
      </c>
      <c r="AA4" s="73"/>
      <c r="AB4" s="92">
        <f t="shared" ref="AB4:AB11" si="1">ROUND(SUM(V4:AA4),2)</f>
        <v>24000</v>
      </c>
      <c r="AC4" s="92">
        <f>R4+IFERROR(VLOOKUP($E:$E,'（居民）工资表-9月'!$E:$AC,25,0),0)</f>
        <v>0</v>
      </c>
      <c r="AD4" s="97">
        <f t="shared" ref="AD4:AD11" si="2">ROUND(S4-T4-U4-AB4-AC4,2)</f>
        <v>-4425</v>
      </c>
      <c r="AE4" s="98">
        <f>ROUND(MAX((AD4)*{0.03;0.1;0.2;0.25;0.3;0.35;0.45}-{0;2520;16920;31920;52920;85920;181920},0),2)</f>
        <v>0</v>
      </c>
      <c r="AF4" s="99">
        <f>IFERROR(VLOOKUP(E:E,'（居民）工资表-9月'!E:AF,28,0)+VLOOKUP(E:E,'（居民）工资表-9月'!E:AG,29,0),0)</f>
        <v>0</v>
      </c>
      <c r="AG4" s="99">
        <f t="shared" ref="AG4:AG11" si="3">IF((AE4-AF4)&lt;0,0,AE4-AF4)</f>
        <v>0</v>
      </c>
      <c r="AH4" s="109">
        <f t="shared" ref="AH4:AH11" si="4">ROUND(IF((L4-Q4-AG4)&lt;0,0,(L4-Q4-AG4)),2)</f>
        <v>9969.92</v>
      </c>
      <c r="AI4" s="110"/>
      <c r="AJ4" s="109">
        <f t="shared" ref="AJ4:AJ11" si="5">AH4+AI4</f>
        <v>9969.92</v>
      </c>
      <c r="AK4" s="111"/>
      <c r="AL4" s="109">
        <f t="shared" ref="AL4:AL11" si="6">AJ4+AG4+AK4</f>
        <v>9969.92</v>
      </c>
      <c r="AM4" s="111"/>
      <c r="AN4" s="111"/>
      <c r="AO4" s="111"/>
      <c r="AP4" s="111"/>
      <c r="AQ4" s="111"/>
      <c r="AR4" s="118"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1" si="8">IF(SUMPRODUCT(N(E$1:E$7=E4))&gt;1,"重复","不")</f>
        <v>不</v>
      </c>
      <c r="AT4" s="118" t="str">
        <f t="shared" ref="AT4:AT11" si="9">IF(SUMPRODUCT(N(AO$1:AO$7=AO4))&gt;1,"重复","不")</f>
        <v>重复</v>
      </c>
      <c r="AV4" s="12" t="s">
        <v>40</v>
      </c>
    </row>
    <row r="5" s="12" customFormat="1" ht="18" customHeight="1" spans="1:49">
      <c r="A5" s="36">
        <v>2</v>
      </c>
      <c r="B5" s="37" t="s">
        <v>194</v>
      </c>
      <c r="C5" s="37" t="s">
        <v>61</v>
      </c>
      <c r="D5" s="37" t="s">
        <v>195</v>
      </c>
      <c r="E5" s="37" t="s">
        <v>62</v>
      </c>
      <c r="F5" s="38" t="s">
        <v>196</v>
      </c>
      <c r="G5" s="41">
        <v>13944441728</v>
      </c>
      <c r="H5" s="40"/>
      <c r="I5" s="40"/>
      <c r="J5" s="70"/>
      <c r="K5" s="40"/>
      <c r="L5" s="73">
        <v>7000</v>
      </c>
      <c r="M5" s="72">
        <v>378.59</v>
      </c>
      <c r="N5" s="72">
        <v>144.12</v>
      </c>
      <c r="O5" s="72">
        <v>14.2</v>
      </c>
      <c r="P5" s="72">
        <v>82</v>
      </c>
      <c r="Q5" s="91">
        <f t="shared" si="0"/>
        <v>618.91</v>
      </c>
      <c r="R5" s="73">
        <v>0</v>
      </c>
      <c r="S5" s="92">
        <f>L5+IFERROR(VLOOKUP($E:$E,'（居民）工资表-9月'!$E:$S,15,0),0)</f>
        <v>74000</v>
      </c>
      <c r="T5" s="93">
        <f>5000+IFERROR(VLOOKUP($E:$E,'（居民）工资表-9月'!$E:$T,16,0),0)</f>
        <v>50000</v>
      </c>
      <c r="U5" s="93">
        <f>Q5+IFERROR(VLOOKUP($E:$E,'（居民）工资表-9月'!$E:$U,17,0),0)</f>
        <v>5398.95</v>
      </c>
      <c r="V5" s="73"/>
      <c r="W5" s="73"/>
      <c r="X5" s="73"/>
      <c r="Y5" s="73"/>
      <c r="Z5" s="73"/>
      <c r="AA5" s="73"/>
      <c r="AB5" s="92">
        <f t="shared" si="1"/>
        <v>0</v>
      </c>
      <c r="AC5" s="92">
        <f>R5+IFERROR(VLOOKUP($E:$E,'（居民）工资表-9月'!$E:$AC,25,0),0)</f>
        <v>0</v>
      </c>
      <c r="AD5" s="97">
        <f t="shared" si="2"/>
        <v>18601.05</v>
      </c>
      <c r="AE5" s="98">
        <f>ROUND(MAX((AD5)*{0.03;0.1;0.2;0.25;0.3;0.35;0.45}-{0;2520;16920;31920;52920;85920;181920},0),2)</f>
        <v>558.03</v>
      </c>
      <c r="AF5" s="99">
        <f>IFERROR(VLOOKUP(E:E,'（居民）工资表-9月'!E:AF,28,0)+VLOOKUP(E:E,'（居民）工资表-9月'!E:AG,29,0),0)</f>
        <v>516.6</v>
      </c>
      <c r="AG5" s="99">
        <f t="shared" si="3"/>
        <v>41.4299999999999</v>
      </c>
      <c r="AH5" s="109">
        <f t="shared" si="4"/>
        <v>6339.66</v>
      </c>
      <c r="AI5" s="110"/>
      <c r="AJ5" s="109">
        <f t="shared" si="5"/>
        <v>6339.66</v>
      </c>
      <c r="AK5" s="111"/>
      <c r="AL5" s="109">
        <f t="shared" si="6"/>
        <v>6381.09</v>
      </c>
      <c r="AM5" s="111"/>
      <c r="AN5" s="111"/>
      <c r="AO5" s="111"/>
      <c r="AP5" s="111"/>
      <c r="AQ5" s="111"/>
      <c r="AR5" s="118" t="str">
        <f t="shared" si="7"/>
        <v>正确</v>
      </c>
      <c r="AS5" s="118" t="str">
        <f t="shared" si="8"/>
        <v>不</v>
      </c>
      <c r="AT5" s="118" t="str">
        <f t="shared" si="9"/>
        <v>重复</v>
      </c>
      <c r="AV5" s="12" t="s">
        <v>197</v>
      </c>
      <c r="AW5" s="12" t="s">
        <v>51</v>
      </c>
    </row>
    <row r="6" s="12" customFormat="1" ht="18" customHeight="1" spans="1:49">
      <c r="A6" s="36">
        <v>3</v>
      </c>
      <c r="B6" s="37" t="s">
        <v>194</v>
      </c>
      <c r="C6" s="37" t="s">
        <v>101</v>
      </c>
      <c r="D6" s="37" t="s">
        <v>195</v>
      </c>
      <c r="E6" s="37" t="s">
        <v>102</v>
      </c>
      <c r="F6" s="38" t="s">
        <v>198</v>
      </c>
      <c r="G6" s="41">
        <v>15360550807</v>
      </c>
      <c r="H6" s="40"/>
      <c r="I6" s="40"/>
      <c r="J6" s="70"/>
      <c r="K6" s="40"/>
      <c r="L6" s="73">
        <v>5700</v>
      </c>
      <c r="M6" s="72">
        <v>367.04</v>
      </c>
      <c r="N6" s="72">
        <v>144.28</v>
      </c>
      <c r="O6" s="72">
        <v>4.6</v>
      </c>
      <c r="P6" s="72">
        <v>115</v>
      </c>
      <c r="Q6" s="91">
        <f t="shared" si="0"/>
        <v>630.92</v>
      </c>
      <c r="R6" s="73">
        <v>0</v>
      </c>
      <c r="S6" s="92">
        <f>L6+IFERROR(VLOOKUP($E:$E,'（居民）工资表-9月'!$E:$S,15,0),0)</f>
        <v>57000</v>
      </c>
      <c r="T6" s="93">
        <f>5000+IFERROR(VLOOKUP($E:$E,'（居民）工资表-9月'!$E:$T,16,0),0)</f>
        <v>50000</v>
      </c>
      <c r="U6" s="93">
        <f>Q6+IFERROR(VLOOKUP($E:$E,'（居民）工资表-9月'!$E:$U,17,0),0)</f>
        <v>6124.4</v>
      </c>
      <c r="V6" s="73"/>
      <c r="W6" s="73"/>
      <c r="X6" s="73"/>
      <c r="Y6" s="73"/>
      <c r="Z6" s="73"/>
      <c r="AA6" s="73"/>
      <c r="AB6" s="92">
        <f t="shared" si="1"/>
        <v>0</v>
      </c>
      <c r="AC6" s="92">
        <f>R6+IFERROR(VLOOKUP($E:$E,'（居民）工资表-9月'!$E:$AC,25,0),0)</f>
        <v>0</v>
      </c>
      <c r="AD6" s="97">
        <f t="shared" si="2"/>
        <v>875.6</v>
      </c>
      <c r="AE6" s="98">
        <f>ROUND(MAX((AD6)*{0.03;0.1;0.2;0.25;0.3;0.35;0.45}-{0;2520;16920;31920;52920;85920;181920},0),2)</f>
        <v>26.27</v>
      </c>
      <c r="AF6" s="99">
        <f>IFERROR(VLOOKUP(E:E,'（居民）工资表-9月'!E:AF,28,0)+VLOOKUP(E:E,'（居民）工资表-9月'!E:AG,29,0),0)</f>
        <v>24.2</v>
      </c>
      <c r="AG6" s="99">
        <f t="shared" si="3"/>
        <v>2.07</v>
      </c>
      <c r="AH6" s="109">
        <f t="shared" si="4"/>
        <v>5067.01</v>
      </c>
      <c r="AI6" s="110"/>
      <c r="AJ6" s="109">
        <f t="shared" si="5"/>
        <v>5067.01</v>
      </c>
      <c r="AK6" s="111"/>
      <c r="AL6" s="109">
        <f t="shared" si="6"/>
        <v>5069.08</v>
      </c>
      <c r="AM6" s="111"/>
      <c r="AN6" s="111"/>
      <c r="AO6" s="111"/>
      <c r="AP6" s="111"/>
      <c r="AQ6" s="111"/>
      <c r="AR6" s="118" t="str">
        <f t="shared" si="7"/>
        <v>正确</v>
      </c>
      <c r="AS6" s="118" t="str">
        <f t="shared" si="8"/>
        <v>不</v>
      </c>
      <c r="AT6" s="118" t="str">
        <f t="shared" si="9"/>
        <v>重复</v>
      </c>
      <c r="AV6" s="12" t="s">
        <v>50</v>
      </c>
      <c r="AW6" s="12" t="s">
        <v>51</v>
      </c>
    </row>
    <row r="7" s="12" customFormat="1" ht="18" customHeight="1" spans="1:49">
      <c r="A7" s="36">
        <v>4</v>
      </c>
      <c r="B7" s="37" t="s">
        <v>194</v>
      </c>
      <c r="C7" s="37" t="s">
        <v>108</v>
      </c>
      <c r="D7" s="37" t="s">
        <v>195</v>
      </c>
      <c r="E7" s="381" t="s">
        <v>109</v>
      </c>
      <c r="F7" s="38" t="s">
        <v>196</v>
      </c>
      <c r="G7" s="41" t="s">
        <v>199</v>
      </c>
      <c r="H7" s="40"/>
      <c r="I7" s="40"/>
      <c r="J7" s="70"/>
      <c r="K7" s="40"/>
      <c r="L7" s="73">
        <v>30060</v>
      </c>
      <c r="M7" s="72">
        <v>521.6</v>
      </c>
      <c r="N7" s="72">
        <v>130.4</v>
      </c>
      <c r="O7" s="72">
        <v>32.6</v>
      </c>
      <c r="P7" s="72">
        <v>181.3</v>
      </c>
      <c r="Q7" s="91">
        <f t="shared" si="0"/>
        <v>865.9</v>
      </c>
      <c r="R7" s="73">
        <v>0</v>
      </c>
      <c r="S7" s="92">
        <f>L7+IFERROR(VLOOKUP($E:$E,'（居民）工资表-9月'!$E:$S,15,0),0)</f>
        <v>49625.22</v>
      </c>
      <c r="T7" s="93">
        <f>5000+IFERROR(VLOOKUP($E:$E,'（居民）工资表-9月'!$E:$T,16,0),0)</f>
        <v>10000</v>
      </c>
      <c r="U7" s="93">
        <f>Q7+IFERROR(VLOOKUP($E:$E,'（居民）工资表-9月'!$E:$U,17,0),0)</f>
        <v>2597.7</v>
      </c>
      <c r="V7" s="73"/>
      <c r="W7" s="73"/>
      <c r="X7" s="73"/>
      <c r="Y7" s="73"/>
      <c r="Z7" s="73"/>
      <c r="AA7" s="73"/>
      <c r="AB7" s="92">
        <f t="shared" si="1"/>
        <v>0</v>
      </c>
      <c r="AC7" s="92">
        <f>R7+IFERROR(VLOOKUP($E:$E,'（居民）工资表-9月'!$E:$AC,25,0),0)</f>
        <v>0</v>
      </c>
      <c r="AD7" s="97">
        <f t="shared" si="2"/>
        <v>37027.52</v>
      </c>
      <c r="AE7" s="98">
        <f>ROUND(MAX((AD7)*{0.03;0.1;0.2;0.25;0.3;0.35;0.45}-{0;2520;16920;31920;52920;85920;181920},0),2)</f>
        <v>1182.75</v>
      </c>
      <c r="AF7" s="99">
        <f>IFERROR(VLOOKUP(E:E,'（居民）工资表-9月'!E:AF,28,0)+VLOOKUP(E:E,'（居民）工资表-9月'!E:AG,29,0),0)</f>
        <v>385</v>
      </c>
      <c r="AG7" s="99">
        <f t="shared" si="3"/>
        <v>797.75</v>
      </c>
      <c r="AH7" s="109">
        <f t="shared" si="4"/>
        <v>28396.35</v>
      </c>
      <c r="AI7" s="110"/>
      <c r="AJ7" s="109">
        <f t="shared" si="5"/>
        <v>28396.35</v>
      </c>
      <c r="AK7" s="111"/>
      <c r="AL7" s="109">
        <f t="shared" si="6"/>
        <v>29194.1</v>
      </c>
      <c r="AM7" s="111"/>
      <c r="AN7" s="111"/>
      <c r="AO7" s="111"/>
      <c r="AP7" s="111"/>
      <c r="AQ7" s="111"/>
      <c r="AR7" s="118" t="str">
        <f t="shared" si="7"/>
        <v>正确</v>
      </c>
      <c r="AS7" s="118" t="str">
        <f t="shared" si="8"/>
        <v>不</v>
      </c>
      <c r="AT7" s="118" t="str">
        <f t="shared" si="9"/>
        <v>重复</v>
      </c>
      <c r="AV7" s="12" t="s">
        <v>107</v>
      </c>
      <c r="AW7" s="12" t="s">
        <v>200</v>
      </c>
    </row>
    <row r="8" s="12" customFormat="1" ht="18" customHeight="1" spans="1:49">
      <c r="A8" s="36">
        <v>5</v>
      </c>
      <c r="B8" s="37" t="s">
        <v>194</v>
      </c>
      <c r="C8" s="37" t="s">
        <v>112</v>
      </c>
      <c r="D8" s="37" t="s">
        <v>195</v>
      </c>
      <c r="E8" s="381" t="s">
        <v>113</v>
      </c>
      <c r="F8" s="38" t="s">
        <v>196</v>
      </c>
      <c r="G8" s="41" t="s">
        <v>201</v>
      </c>
      <c r="H8" s="40"/>
      <c r="I8" s="40"/>
      <c r="J8" s="70"/>
      <c r="K8" s="40"/>
      <c r="L8" s="73">
        <v>4800</v>
      </c>
      <c r="M8" s="72">
        <v>274.4</v>
      </c>
      <c r="N8" s="72">
        <v>76.6</v>
      </c>
      <c r="O8" s="72">
        <v>17.15</v>
      </c>
      <c r="P8" s="72">
        <v>75</v>
      </c>
      <c r="Q8" s="91">
        <f t="shared" si="0"/>
        <v>443.15</v>
      </c>
      <c r="R8" s="73">
        <v>0</v>
      </c>
      <c r="S8" s="92">
        <f>L8+IFERROR(VLOOKUP($E:$E,'（居民）工资表-9月'!$E:$S,15,0),0)</f>
        <v>9170.84</v>
      </c>
      <c r="T8" s="93">
        <f>5000+IFERROR(VLOOKUP($E:$E,'（居民）工资表-9月'!$E:$T,16,0),0)</f>
        <v>15000</v>
      </c>
      <c r="U8" s="93">
        <f>Q8+IFERROR(VLOOKUP($E:$E,'（居民）工资表-9月'!$E:$U,17,0),0)</f>
        <v>1114.87</v>
      </c>
      <c r="V8" s="73"/>
      <c r="W8" s="73"/>
      <c r="X8" s="73"/>
      <c r="Y8" s="73"/>
      <c r="Z8" s="73"/>
      <c r="AA8" s="73"/>
      <c r="AB8" s="92">
        <f t="shared" si="1"/>
        <v>0</v>
      </c>
      <c r="AC8" s="92">
        <f>R8+IFERROR(VLOOKUP($E:$E,'（居民）工资表-9月'!$E:$AC,25,0),0)</f>
        <v>0</v>
      </c>
      <c r="AD8" s="97">
        <f t="shared" si="2"/>
        <v>-6944.03</v>
      </c>
      <c r="AE8" s="98">
        <f>ROUND(MAX((AD8)*{0.03;0.1;0.2;0.25;0.3;0.35;0.45}-{0;2520;16920;31920;52920;85920;181920},0),2)</f>
        <v>0</v>
      </c>
      <c r="AF8" s="99">
        <f>IFERROR(VLOOKUP(E:E,'（居民）工资表-9月'!E:AF,28,0)+VLOOKUP(E:E,'（居民）工资表-9月'!E:AG,29,0),0)</f>
        <v>0</v>
      </c>
      <c r="AG8" s="99">
        <f t="shared" si="3"/>
        <v>0</v>
      </c>
      <c r="AH8" s="109">
        <f t="shared" si="4"/>
        <v>4356.85</v>
      </c>
      <c r="AI8" s="110"/>
      <c r="AJ8" s="109">
        <f t="shared" si="5"/>
        <v>4356.85</v>
      </c>
      <c r="AK8" s="111"/>
      <c r="AL8" s="109">
        <f t="shared" si="6"/>
        <v>4356.85</v>
      </c>
      <c r="AM8" s="111"/>
      <c r="AN8" s="111"/>
      <c r="AO8" s="111"/>
      <c r="AP8" s="111"/>
      <c r="AQ8" s="111"/>
      <c r="AR8" s="118" t="str">
        <f t="shared" si="7"/>
        <v>正确</v>
      </c>
      <c r="AS8" s="118" t="str">
        <f t="shared" si="8"/>
        <v>不</v>
      </c>
      <c r="AT8" s="118" t="str">
        <f t="shared" si="9"/>
        <v>重复</v>
      </c>
      <c r="AV8" s="12" t="s">
        <v>144</v>
      </c>
      <c r="AW8" s="12" t="s">
        <v>51</v>
      </c>
    </row>
    <row r="9" s="12" customFormat="1" ht="18" customHeight="1" spans="1:49">
      <c r="A9" s="36">
        <v>6</v>
      </c>
      <c r="B9" s="37" t="s">
        <v>194</v>
      </c>
      <c r="C9" s="37" t="s">
        <v>119</v>
      </c>
      <c r="D9" s="37" t="s">
        <v>195</v>
      </c>
      <c r="E9" s="381" t="s">
        <v>120</v>
      </c>
      <c r="F9" s="38" t="s">
        <v>196</v>
      </c>
      <c r="G9" s="41">
        <v>19356875630</v>
      </c>
      <c r="H9" s="40"/>
      <c r="I9" s="40"/>
      <c r="J9" s="70"/>
      <c r="K9" s="40"/>
      <c r="L9" s="73">
        <v>5200</v>
      </c>
      <c r="M9" s="72">
        <v>274.4</v>
      </c>
      <c r="N9" s="72">
        <v>74.6</v>
      </c>
      <c r="O9" s="72">
        <v>17.15</v>
      </c>
      <c r="P9" s="72">
        <v>170</v>
      </c>
      <c r="Q9" s="91">
        <f t="shared" si="0"/>
        <v>536.15</v>
      </c>
      <c r="R9" s="73">
        <v>0</v>
      </c>
      <c r="S9" s="92">
        <f>L9+IFERROR(VLOOKUP($E:$E,'（居民）工资表-9月'!$E:$S,15,0),0)</f>
        <v>10173.92</v>
      </c>
      <c r="T9" s="93">
        <f>5000+IFERROR(VLOOKUP($E:$E,'（居民）工资表-9月'!$E:$T,16,0),0)</f>
        <v>10000</v>
      </c>
      <c r="U9" s="93">
        <f>Q9+IFERROR(VLOOKUP($E:$E,'（居民）工资表-9月'!$E:$U,17,0),0)</f>
        <v>2144.6</v>
      </c>
      <c r="V9" s="73"/>
      <c r="W9" s="73"/>
      <c r="X9" s="73"/>
      <c r="Y9" s="73"/>
      <c r="Z9" s="73"/>
      <c r="AA9" s="73"/>
      <c r="AB9" s="92">
        <f t="shared" si="1"/>
        <v>0</v>
      </c>
      <c r="AC9" s="92">
        <f>R9+IFERROR(VLOOKUP($E:$E,'（居民）工资表-9月'!$E:$AC,25,0),0)</f>
        <v>0</v>
      </c>
      <c r="AD9" s="97">
        <f t="shared" si="2"/>
        <v>-1970.68</v>
      </c>
      <c r="AE9" s="98">
        <f>ROUND(MAX((AD9)*{0.03;0.1;0.2;0.25;0.3;0.35;0.45}-{0;2520;16920;31920;52920;85920;181920},0),2)</f>
        <v>0</v>
      </c>
      <c r="AF9" s="99">
        <f>IFERROR(VLOOKUP(E:E,'（居民）工资表-9月'!E:AF,28,0)+VLOOKUP(E:E,'（居民）工资表-9月'!E:AG,29,0),0)</f>
        <v>0</v>
      </c>
      <c r="AG9" s="99">
        <f t="shared" si="3"/>
        <v>0</v>
      </c>
      <c r="AH9" s="109">
        <f t="shared" si="4"/>
        <v>4663.85</v>
      </c>
      <c r="AI9" s="110"/>
      <c r="AJ9" s="109">
        <f t="shared" si="5"/>
        <v>4663.85</v>
      </c>
      <c r="AK9" s="111"/>
      <c r="AL9" s="109">
        <f t="shared" si="6"/>
        <v>4663.85</v>
      </c>
      <c r="AM9" s="111"/>
      <c r="AN9" s="111"/>
      <c r="AO9" s="111"/>
      <c r="AP9" s="111"/>
      <c r="AQ9" s="111"/>
      <c r="AR9" s="118" t="str">
        <f t="shared" si="7"/>
        <v>正确</v>
      </c>
      <c r="AS9" s="118" t="str">
        <f t="shared" si="8"/>
        <v>不</v>
      </c>
      <c r="AT9" s="118" t="str">
        <f t="shared" si="9"/>
        <v>重复</v>
      </c>
      <c r="AV9" s="12" t="s">
        <v>144</v>
      </c>
      <c r="AW9" s="12" t="s">
        <v>51</v>
      </c>
    </row>
    <row r="10" s="12" customFormat="1" ht="18" customHeight="1" spans="1:49">
      <c r="A10" s="36">
        <v>7</v>
      </c>
      <c r="B10" s="37" t="s">
        <v>194</v>
      </c>
      <c r="C10" s="37" t="s">
        <v>131</v>
      </c>
      <c r="D10" s="37" t="s">
        <v>195</v>
      </c>
      <c r="E10" s="381" t="s">
        <v>132</v>
      </c>
      <c r="F10" s="38" t="s">
        <v>196</v>
      </c>
      <c r="G10" s="41">
        <v>13973652684</v>
      </c>
      <c r="H10" s="40"/>
      <c r="I10" s="40"/>
      <c r="J10" s="70"/>
      <c r="K10" s="40"/>
      <c r="L10" s="73">
        <v>5200</v>
      </c>
      <c r="M10" s="72">
        <v>288.32</v>
      </c>
      <c r="N10" s="72">
        <v>73.52</v>
      </c>
      <c r="O10" s="72">
        <v>10.81</v>
      </c>
      <c r="P10" s="72">
        <v>100</v>
      </c>
      <c r="Q10" s="91">
        <f t="shared" si="0"/>
        <v>472.65</v>
      </c>
      <c r="R10" s="73">
        <v>0</v>
      </c>
      <c r="S10" s="92">
        <f>L10+IFERROR(VLOOKUP($E:$E,'（居民）工资表-9月'!$E:$S,15,0),0)</f>
        <v>8817.39</v>
      </c>
      <c r="T10" s="93">
        <f>5000+IFERROR(VLOOKUP($E:$E,'（居民）工资表-9月'!$E:$T,16,0),0)</f>
        <v>10000</v>
      </c>
      <c r="U10" s="93">
        <f>Q10+IFERROR(VLOOKUP($E:$E,'（居民）工资表-9月'!$E:$U,17,0),0)</f>
        <v>1417.95</v>
      </c>
      <c r="V10" s="73"/>
      <c r="W10" s="73"/>
      <c r="X10" s="73"/>
      <c r="Y10" s="73"/>
      <c r="Z10" s="73"/>
      <c r="AA10" s="73"/>
      <c r="AB10" s="92">
        <f t="shared" si="1"/>
        <v>0</v>
      </c>
      <c r="AC10" s="92">
        <f>R10+IFERROR(VLOOKUP($E:$E,'（居民）工资表-9月'!$E:$AC,25,0),0)</f>
        <v>0</v>
      </c>
      <c r="AD10" s="97">
        <f t="shared" si="2"/>
        <v>-2600.56</v>
      </c>
      <c r="AE10" s="98">
        <f>ROUND(MAX((AD10)*{0.03;0.1;0.2;0.25;0.3;0.35;0.45}-{0;2520;16920;31920;52920;85920;181920},0),2)</f>
        <v>0</v>
      </c>
      <c r="AF10" s="99">
        <f>IFERROR(VLOOKUP(E:E,'（居民）工资表-9月'!E:AF,28,0)+VLOOKUP(E:E,'（居民）工资表-9月'!E:AG,29,0),0)</f>
        <v>0</v>
      </c>
      <c r="AG10" s="99">
        <f t="shared" si="3"/>
        <v>0</v>
      </c>
      <c r="AH10" s="109">
        <f t="shared" si="4"/>
        <v>4727.35</v>
      </c>
      <c r="AI10" s="110"/>
      <c r="AJ10" s="109">
        <f t="shared" si="5"/>
        <v>4727.35</v>
      </c>
      <c r="AK10" s="111"/>
      <c r="AL10" s="109">
        <f t="shared" si="6"/>
        <v>4727.35</v>
      </c>
      <c r="AM10" s="111"/>
      <c r="AN10" s="111"/>
      <c r="AO10" s="111"/>
      <c r="AP10" s="111"/>
      <c r="AQ10" s="111"/>
      <c r="AR10" s="118" t="str">
        <f t="shared" si="7"/>
        <v>正确</v>
      </c>
      <c r="AS10" s="118" t="str">
        <f t="shared" si="8"/>
        <v>不</v>
      </c>
      <c r="AT10" s="118" t="str">
        <f t="shared" si="9"/>
        <v>重复</v>
      </c>
      <c r="AV10" s="12" t="s">
        <v>202</v>
      </c>
      <c r="AW10" s="12" t="s">
        <v>51</v>
      </c>
    </row>
    <row r="11" s="12" customFormat="1" ht="18" customHeight="1" spans="1:49">
      <c r="A11" s="36">
        <v>8</v>
      </c>
      <c r="B11" s="37" t="s">
        <v>194</v>
      </c>
      <c r="C11" s="144" t="s">
        <v>134</v>
      </c>
      <c r="D11" s="37" t="s">
        <v>195</v>
      </c>
      <c r="E11" s="37" t="s">
        <v>135</v>
      </c>
      <c r="F11" s="38" t="s">
        <v>196</v>
      </c>
      <c r="G11" s="41" t="s">
        <v>203</v>
      </c>
      <c r="H11" s="40"/>
      <c r="I11" s="40"/>
      <c r="J11" s="70"/>
      <c r="K11" s="40"/>
      <c r="L11" s="73">
        <v>5500</v>
      </c>
      <c r="M11" s="72">
        <v>295.92</v>
      </c>
      <c r="N11" s="72">
        <v>78.98</v>
      </c>
      <c r="O11" s="72">
        <v>18.5</v>
      </c>
      <c r="P11" s="72">
        <v>105</v>
      </c>
      <c r="Q11" s="91">
        <f t="shared" si="0"/>
        <v>498.4</v>
      </c>
      <c r="R11" s="73">
        <v>0</v>
      </c>
      <c r="S11" s="92">
        <f>L11+IFERROR(VLOOKUP($E:$E,'（居民）工资表-9月'!$E:$S,15,0),0)</f>
        <v>5500</v>
      </c>
      <c r="T11" s="93">
        <f>5000+IFERROR(VLOOKUP($E:$E,'（居民）工资表-9月'!$E:$T,16,0),0)</f>
        <v>5000</v>
      </c>
      <c r="U11" s="93">
        <f>Q11+IFERROR(VLOOKUP($E:$E,'（居民）工资表-9月'!$E:$U,17,0),0)</f>
        <v>498.4</v>
      </c>
      <c r="V11" s="73"/>
      <c r="W11" s="73"/>
      <c r="X11" s="73"/>
      <c r="Y11" s="73"/>
      <c r="Z11" s="73"/>
      <c r="AA11" s="73"/>
      <c r="AB11" s="92">
        <f t="shared" si="1"/>
        <v>0</v>
      </c>
      <c r="AC11" s="92">
        <f>R11+IFERROR(VLOOKUP($E:$E,'（居民）工资表-9月'!$E:$AC,25,0),0)</f>
        <v>0</v>
      </c>
      <c r="AD11" s="97">
        <f t="shared" si="2"/>
        <v>1.6</v>
      </c>
      <c r="AE11" s="98">
        <f>ROUND(MAX((AD11)*{0.03;0.1;0.2;0.25;0.3;0.35;0.45}-{0;2520;16920;31920;52920;85920;181920},0),2)</f>
        <v>0.05</v>
      </c>
      <c r="AF11" s="99">
        <f>IFERROR(VLOOKUP(E:E,'（居民）工资表-9月'!E:AF,28,0)+VLOOKUP(E:E,'（居民）工资表-9月'!E:AG,29,0),0)</f>
        <v>0</v>
      </c>
      <c r="AG11" s="99">
        <f t="shared" si="3"/>
        <v>0.05</v>
      </c>
      <c r="AH11" s="109">
        <f t="shared" si="4"/>
        <v>5001.55</v>
      </c>
      <c r="AI11" s="110"/>
      <c r="AJ11" s="109">
        <f t="shared" si="5"/>
        <v>5001.55</v>
      </c>
      <c r="AK11" s="111"/>
      <c r="AL11" s="109">
        <f t="shared" si="6"/>
        <v>5001.6</v>
      </c>
      <c r="AM11" s="111"/>
      <c r="AN11" s="111"/>
      <c r="AO11" s="111"/>
      <c r="AP11" s="111"/>
      <c r="AQ11" s="111"/>
      <c r="AR11" s="118" t="str">
        <f t="shared" si="7"/>
        <v>正确</v>
      </c>
      <c r="AS11" s="118" t="str">
        <f t="shared" si="8"/>
        <v>不</v>
      </c>
      <c r="AT11" s="118" t="str">
        <f t="shared" si="9"/>
        <v>重复</v>
      </c>
      <c r="AV11" s="12" t="s">
        <v>133</v>
      </c>
      <c r="AW11" s="12" t="s">
        <v>204</v>
      </c>
    </row>
    <row r="12" s="13" customFormat="1" ht="18" customHeight="1" spans="1:46">
      <c r="A12" s="42"/>
      <c r="B12" s="43" t="s">
        <v>208</v>
      </c>
      <c r="C12" s="43"/>
      <c r="D12" s="44"/>
      <c r="E12" s="45"/>
      <c r="F12" s="46"/>
      <c r="G12" s="47"/>
      <c r="H12" s="46"/>
      <c r="I12" s="74"/>
      <c r="J12" s="75"/>
      <c r="K12" s="74"/>
      <c r="L12" s="76">
        <f>SUM(L4:L11)</f>
        <v>74020</v>
      </c>
      <c r="M12" s="76">
        <f t="shared" ref="M12:AL12" si="10">SUM(M4:M11)</f>
        <v>2684.11</v>
      </c>
      <c r="N12" s="76">
        <f t="shared" si="10"/>
        <v>838.1</v>
      </c>
      <c r="O12" s="76">
        <f t="shared" si="10"/>
        <v>125.65</v>
      </c>
      <c r="P12" s="76">
        <f t="shared" si="10"/>
        <v>1008.3</v>
      </c>
      <c r="Q12" s="76">
        <f t="shared" si="10"/>
        <v>4656.16</v>
      </c>
      <c r="R12" s="76">
        <f t="shared" si="10"/>
        <v>0</v>
      </c>
      <c r="S12" s="76">
        <f t="shared" si="10"/>
        <v>256197.37</v>
      </c>
      <c r="T12" s="76">
        <f t="shared" si="10"/>
        <v>170000</v>
      </c>
      <c r="U12" s="76">
        <f t="shared" si="10"/>
        <v>21631.87</v>
      </c>
      <c r="V12" s="76">
        <f t="shared" si="10"/>
        <v>10000</v>
      </c>
      <c r="W12" s="76">
        <f t="shared" si="10"/>
        <v>0</v>
      </c>
      <c r="X12" s="76">
        <f t="shared" si="10"/>
        <v>10000</v>
      </c>
      <c r="Y12" s="76">
        <f t="shared" si="10"/>
        <v>0</v>
      </c>
      <c r="Z12" s="76">
        <f t="shared" si="10"/>
        <v>4000</v>
      </c>
      <c r="AA12" s="76">
        <f t="shared" si="10"/>
        <v>0</v>
      </c>
      <c r="AB12" s="76">
        <f t="shared" si="10"/>
        <v>24000</v>
      </c>
      <c r="AC12" s="76">
        <f t="shared" si="10"/>
        <v>0</v>
      </c>
      <c r="AD12" s="76">
        <f t="shared" si="10"/>
        <v>40565.5</v>
      </c>
      <c r="AE12" s="76">
        <f t="shared" si="10"/>
        <v>1767.1</v>
      </c>
      <c r="AF12" s="76">
        <f t="shared" si="10"/>
        <v>925.8</v>
      </c>
      <c r="AG12" s="76">
        <f t="shared" si="10"/>
        <v>841.3</v>
      </c>
      <c r="AH12" s="76">
        <f t="shared" si="10"/>
        <v>68522.54</v>
      </c>
      <c r="AI12" s="76">
        <f t="shared" si="10"/>
        <v>0</v>
      </c>
      <c r="AJ12" s="76">
        <f t="shared" si="10"/>
        <v>68522.54</v>
      </c>
      <c r="AK12" s="76">
        <f t="shared" si="10"/>
        <v>0</v>
      </c>
      <c r="AL12" s="76">
        <f t="shared" si="10"/>
        <v>69363.84</v>
      </c>
      <c r="AM12" s="112"/>
      <c r="AN12" s="112"/>
      <c r="AO12" s="112"/>
      <c r="AP12" s="112"/>
      <c r="AQ12" s="112"/>
      <c r="AR12" s="46"/>
      <c r="AS12" s="46"/>
      <c r="AT12" s="120"/>
    </row>
    <row r="15" spans="30:30">
      <c r="AD15" s="103"/>
    </row>
    <row r="16" ht="18.75" customHeight="1" spans="2:30">
      <c r="B16" s="48" t="s">
        <v>175</v>
      </c>
      <c r="C16" s="48" t="s">
        <v>209</v>
      </c>
      <c r="D16" s="48" t="s">
        <v>22</v>
      </c>
      <c r="E16" s="48" t="s">
        <v>23</v>
      </c>
      <c r="AD16" s="10"/>
    </row>
    <row r="17" ht="18.75" customHeight="1" spans="2:5">
      <c r="B17" s="49">
        <f>AJ12</f>
        <v>68522.54</v>
      </c>
      <c r="C17" s="49">
        <f>AG12</f>
        <v>841.3</v>
      </c>
      <c r="D17" s="49">
        <f>AK12</f>
        <v>0</v>
      </c>
      <c r="E17" s="49">
        <f>B17+C17+D17</f>
        <v>69363.84</v>
      </c>
    </row>
    <row r="18" spans="2:5">
      <c r="B18" s="50"/>
      <c r="C18" s="50"/>
      <c r="D18" s="50"/>
      <c r="E18" s="50"/>
    </row>
    <row r="19" s="14" customFormat="1" spans="1:35">
      <c r="A19" s="52" t="s">
        <v>210</v>
      </c>
      <c r="B19" s="53" t="s">
        <v>211</v>
      </c>
      <c r="C19" s="51"/>
      <c r="D19" s="51"/>
      <c r="E19" s="51"/>
      <c r="G19" s="54"/>
      <c r="J19" s="77"/>
      <c r="M19" s="78"/>
      <c r="AI19" s="114"/>
    </row>
    <row r="20" s="14" customFormat="1" spans="1:35">
      <c r="A20" s="55"/>
      <c r="B20" s="56" t="s">
        <v>212</v>
      </c>
      <c r="C20" s="51"/>
      <c r="D20" s="51"/>
      <c r="E20" s="51"/>
      <c r="G20" s="54"/>
      <c r="J20" s="77"/>
      <c r="M20" s="78"/>
      <c r="AI20" s="114"/>
    </row>
    <row r="21" s="14" customFormat="1" spans="1:35">
      <c r="A21" s="53"/>
      <c r="B21" s="56" t="s">
        <v>213</v>
      </c>
      <c r="C21" s="57"/>
      <c r="D21" s="57"/>
      <c r="E21" s="57"/>
      <c r="F21" s="57"/>
      <c r="G21" s="57"/>
      <c r="H21" s="57"/>
      <c r="I21" s="57"/>
      <c r="J21" s="79"/>
      <c r="K21" s="57"/>
      <c r="L21" s="57"/>
      <c r="M21" s="80"/>
      <c r="N21" s="57"/>
      <c r="O21" s="57"/>
      <c r="P21" s="57"/>
      <c r="AI21" s="114"/>
    </row>
    <row r="22" s="14" customFormat="1" customHeight="1" spans="1:35">
      <c r="A22" s="56"/>
      <c r="B22" s="56" t="s">
        <v>214</v>
      </c>
      <c r="C22" s="58"/>
      <c r="D22" s="58"/>
      <c r="E22" s="58"/>
      <c r="F22" s="58"/>
      <c r="G22" s="58"/>
      <c r="H22" s="58"/>
      <c r="I22" s="81"/>
      <c r="J22" s="82"/>
      <c r="K22" s="81"/>
      <c r="L22" s="81"/>
      <c r="M22" s="83"/>
      <c r="N22" s="81"/>
      <c r="O22" s="81"/>
      <c r="P22" s="81"/>
      <c r="AI22" s="114"/>
    </row>
    <row r="23" s="14" customFormat="1" customHeight="1" spans="1:35">
      <c r="A23" s="56"/>
      <c r="B23" s="56" t="s">
        <v>215</v>
      </c>
      <c r="C23" s="58"/>
      <c r="D23" s="58"/>
      <c r="E23" s="58"/>
      <c r="F23" s="58"/>
      <c r="G23" s="58"/>
      <c r="H23" s="58"/>
      <c r="I23" s="58"/>
      <c r="J23" s="84"/>
      <c r="K23" s="58"/>
      <c r="L23" s="81"/>
      <c r="M23" s="83"/>
      <c r="N23" s="81"/>
      <c r="O23" s="81"/>
      <c r="P23" s="81"/>
      <c r="AI23" s="114"/>
    </row>
    <row r="24" s="14" customFormat="1" customHeight="1" spans="1:35">
      <c r="A24" s="56"/>
      <c r="B24" s="56" t="s">
        <v>216</v>
      </c>
      <c r="C24" s="58"/>
      <c r="D24" s="58"/>
      <c r="E24" s="58"/>
      <c r="F24" s="58"/>
      <c r="G24" s="58"/>
      <c r="H24" s="58"/>
      <c r="I24" s="81"/>
      <c r="J24" s="82"/>
      <c r="K24" s="81"/>
      <c r="L24" s="81"/>
      <c r="M24" s="83"/>
      <c r="N24" s="81"/>
      <c r="O24" s="81"/>
      <c r="P24" s="81"/>
      <c r="AI24" s="114"/>
    </row>
    <row r="26" ht="11.25" customHeight="1" spans="2:2">
      <c r="B26" s="59" t="s">
        <v>217</v>
      </c>
    </row>
    <row r="27" spans="2:2">
      <c r="B27" s="60" t="s">
        <v>218</v>
      </c>
    </row>
    <row r="28" spans="2:2">
      <c r="B28" s="60" t="s">
        <v>219</v>
      </c>
    </row>
  </sheetData>
  <autoFilter ref="A3:AT1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C11">
    <cfRule type="duplicateValues" dxfId="3" priority="1"/>
  </conditionalFormatting>
  <conditionalFormatting sqref="B24">
    <cfRule type="duplicateValues" dxfId="3" priority="3" stopIfTrue="1"/>
  </conditionalFormatting>
  <conditionalFormatting sqref="B19:B23">
    <cfRule type="duplicateValues" dxfId="3" priority="4" stopIfTrue="1"/>
  </conditionalFormatting>
  <conditionalFormatting sqref="B27:B28">
    <cfRule type="duplicateValues" dxfId="3" priority="2" stopIfTrue="1"/>
  </conditionalFormatting>
  <conditionalFormatting sqref="C16:C18">
    <cfRule type="duplicateValues" dxfId="3" priority="5" stopIfTrue="1"/>
    <cfRule type="expression" dxfId="4" priority="6" stopIfTrue="1">
      <formula>AND(COUNTIF($B$12:$B$65448,C16)+COUNTIF($B$1:$B$3,C16)&gt;1,NOT(ISBLANK(C16)))</formula>
    </cfRule>
    <cfRule type="expression" dxfId="4" priority="7" stopIfTrue="1">
      <formula>AND(COUNTIF($B$23:$B$65399,C16)+COUNTIF($B$1:$B$22,C16)&gt;1,NOT(ISBLANK(C16)))</formula>
    </cfRule>
    <cfRule type="expression" dxfId="4" priority="8" stopIfTrue="1">
      <formula>AND(COUNTIF($B$12:$B$65437,C16)+COUNTIF($B$1:$B$3,C16)&gt;1,NOT(ISBLANK(C16)))</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0 " > < c o m m e n t   s : r e f = " F 1 "   r g b C l r = " E F C 7 5 4 " / > < c o m m e n t   s : r e f = " G 1 "   r g b C l r = " E F C 7 5 4 " / > < c o m m e n t   s : r e f = " H 1 "   r g b C l r = " E F C 7 5 4 " / > < c o m m e n t   s : r e f = " K 1 "   r g b C l r = " E F C 7 5 4 " / > < c o m m e n t   s : r e f = " F 1 8 "   r g b C l r = " E F C 7 5 4 " / > < c o m m e n t   s : r e f = " G 1 8 "   r g b C l r = " E F C 7 5 4 " / > < c o m m e n t   s : r e f = " J 1 8 "   r g b C l r = " E F C 7 5 4 " / > < c o m m e n t   s : r e f = " Q 1 8 "   r g b C l r = " E F C 7 5 4 " / > < c o m m e n t   s : r e f = " K 1 9 "   r g b C l r = " E F C 7 5 4 " / > < c o m m e n t   s : r e f = " R 1 9 "   r g b C l r = " E F C 7 5 4 " / > < / c o m m e n t L i s t > < c o m m e n t L i s t   s h e e t S t i d = " 2 9 " > < c o m m e n t   s : r e f = " E 1 "   r g b C l r = " B 3 C 8 8 8 " / > < c o m m e n t   s : r e f = " F 1 "   r g b C l r = " B 3 C 8 8 8 " / > < c o m m e n t   s : r e f = " G 1 "   r g b C l r = " B 3 C 8 8 8 " / > < c o m m e n t   s : r e f = " H 1 "   r g b C l r = " B 3 C 8 8 8 " / > < c o m m e n t   s : r e f = " O 1 "   r g b C l r = " B 3 C 8 8 8 " / > < c o m m e n t   s : r e f = " P 1 "   r g b C l r = " B 3 C 8 8 8 " / > < c o m m e n t   s : r e f = " S 1 "   r g b C l r = " B 3 C 8 8 8 " / > < c o m m e n t   s : r e f = " Z 1 "   r g b C l r = " B 3 C 8 8 8 " / > < c o m m e n t   s : r e f = " A L 1 "   r g b C l r = " B 3 C 8 8 8 " / > < c o m m e n t   s : r e f = " A M 1 "   r g b C l r = " B 3 C 8 8 8 " / > < c o m m e n t   s : r e f = " A N 1 "   r g b C l r = " B 3 C 8 8 8 " / > < c o m m e n t   s : r e f = " A O 1 "   r g b C l r = " B 3 C 8 8 8 " / > < c o m m e n t   s : r e f = " T 2 "   r g b C l r = " B 3 C 8 8 8 " / > < c o m m e n t   s : r e f = " A A 2 "   r g b C l r = " B 3 C 8 8 8 " / > < / c o m m e n t L i s t > < c o m m e n t L i s t   s h e e t S t i d = " 2 3 " / > < c o m m e n t L i s t   s h e e t S t i d = " 2 4 " / > < c o m m e n t L i s t   s h e e t S t i d = " 1 " / > < c o m m e n t L i s t   s h e e t S t i d = " 2 5 " / > < c o m m e n t L i s t   s h e e t S t i d = " 1 5 " / > < c o m m e n t L i s t   s h e e t S t i d = " 1 6 " / > < c o m m e n t L i s t   s h e e t S t i d = " 1 7 " / > < c o m m e n t L i s t   s h e e t S t i d = " 1 8 " / > < / 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16</vt:i4>
      </vt:variant>
    </vt:vector>
  </HeadingPairs>
  <TitlesOfParts>
    <vt:vector size="16" baseType="lpstr">
      <vt:lpstr>社保</vt:lpstr>
      <vt:lpstr>付款通知</vt:lpstr>
      <vt:lpstr>社保1</vt:lpstr>
      <vt:lpstr>（居民）工资表-5月</vt:lpstr>
      <vt:lpstr>（居民）工资表-6月</vt:lpstr>
      <vt:lpstr>（居民）工资表-7月</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客服-苏光远</cp:lastModifiedBy>
  <dcterms:created xsi:type="dcterms:W3CDTF">2018-08-01T08:19:00Z</dcterms:created>
  <cp:lastPrinted>2019-02-02T09:30:00Z</cp:lastPrinted>
  <dcterms:modified xsi:type="dcterms:W3CDTF">2023-06-01T10:04:07Z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2052-11.1.0.14309</vt:lpwstr>
  </property>
  <property fmtid="{D5CDD505-2E9C-101B-9397-08002B2CF9AE}" pid="4" name="ICV">
    <vt:lpwstr>BAAAEB3A37F248E48D2032AB646B39E1</vt:lpwstr>
  </property>
  <property fmtid="{D5CDD505-2E9C-101B-9397-08002B2CF9AE}" pid="5" name="KSOReadingLayout">
    <vt:bool>true</vt:bool>
  </property>
</Properties>
</file>