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tabRatio="617"/>
  </bookViews>
  <sheets>
    <sheet name="付款通知" sheetId="27" r:id="rId1"/>
    <sheet name="社保" sheetId="26" r:id="rId2"/>
    <sheet name="（居民）工资表-1月" sheetId="1" state="hidden" r:id="rId3"/>
    <sheet name="（居民）工资表-2月" sheetId="15" state="hidden" r:id="rId4"/>
    <sheet name="（居民）工资表-3月" sheetId="16" state="hidden" r:id="rId5"/>
    <sheet name="（居民）工资表-11月" sheetId="24" state="hidden" r:id="rId6"/>
    <sheet name="（居民）工资表-5月" sheetId="18" state="hidden" r:id="rId7"/>
    <sheet name="（居民）工资表-4月" sheetId="17" state="hidden" r:id="rId8"/>
    <sheet name="（居民）工资表-6月" sheetId="19" state="hidden" r:id="rId9"/>
    <sheet name="（居民）工资表-7月" sheetId="20" state="hidden" r:id="rId10"/>
    <sheet name="（居民）工资表-8月" sheetId="21" state="hidden" r:id="rId11"/>
    <sheet name="（居民）工资表-9月" sheetId="22" state="hidden" r:id="rId12"/>
    <sheet name="减" sheetId="28" state="hidden" r:id="rId13"/>
    <sheet name="（居民）工资表-10月" sheetId="23" state="hidden" r:id="rId14"/>
    <sheet name="（居民）工资表-12月" sheetId="25" state="hidden" r:id="rId15"/>
    <sheet name="Sheet1" sheetId="14" state="hidden" r:id="rId16"/>
  </sheets>
  <externalReferences>
    <externalReference r:id="rId18"/>
  </externalReferences>
  <definedNames>
    <definedName name="_xlnm._FilterDatabase" localSheetId="2" hidden="1">'（居民）工资表-1月'!$A$3:$AT$17</definedName>
    <definedName name="_xlnm._FilterDatabase" localSheetId="3" hidden="1">'（居民）工资表-2月'!$A$3:$AT$17</definedName>
    <definedName name="_xlnm._FilterDatabase" localSheetId="4" hidden="1">'（居民）工资表-3月'!$A$3:$AT$20</definedName>
    <definedName name="_xlnm._FilterDatabase" localSheetId="5" hidden="1">'（居民）工资表-11月'!$A$3:$AT$11</definedName>
    <definedName name="_xlnm._FilterDatabase" localSheetId="6" hidden="1">'（居民）工资表-5月'!$A$3:$AT$18</definedName>
    <definedName name="_xlnm._FilterDatabase" localSheetId="7" hidden="1">'（居民）工资表-4月'!$A$3:$AT$22</definedName>
    <definedName name="_xlnm._FilterDatabase" localSheetId="8" hidden="1">'（居民）工资表-6月'!$A$3:$AT$16</definedName>
    <definedName name="_xlnm._FilterDatabase" localSheetId="9" hidden="1">'（居民）工资表-7月'!$A$3:$AT$12</definedName>
    <definedName name="_xlnm._FilterDatabase" localSheetId="10" hidden="1">'（居民）工资表-8月'!$A$3:$AT$13</definedName>
    <definedName name="_xlnm._FilterDatabase" localSheetId="11" hidden="1">'（居民）工资表-9月'!$A$3:$AT$5</definedName>
    <definedName name="_xlnm._FilterDatabase" localSheetId="13" hidden="1">'（居民）工资表-10月'!$A$3:$AT$5</definedName>
    <definedName name="_xlnm._FilterDatabase" localSheetId="14" hidden="1">'（居民）工资表-12月'!$A$3:$AT$15</definedName>
    <definedName name="_xlnm.Print_Area" localSheetId="13">'（居民）工资表-10月'!$A$1:$AT$11</definedName>
    <definedName name="_xlnm.Print_Area" localSheetId="5">'（居民）工资表-11月'!$A$1:$AT$17</definedName>
    <definedName name="_xlnm.Print_Area" localSheetId="14">'（居民）工资表-12月'!$A$1:$AT$21</definedName>
    <definedName name="_xlnm.Print_Area" localSheetId="2">'（居民）工资表-1月'!$A$1:$AT$23</definedName>
    <definedName name="_xlnm.Print_Area" localSheetId="3">'（居民）工资表-2月'!$A$1:$AT$23</definedName>
    <definedName name="_xlnm.Print_Area" localSheetId="4">'（居民）工资表-3月'!$A$1:$AT$26</definedName>
    <definedName name="_xlnm.Print_Area" localSheetId="7">'（居民）工资表-4月'!$A$1:$AT$28</definedName>
    <definedName name="_xlnm.Print_Area" localSheetId="6">'（居民）工资表-5月'!$A$1:$AT$24</definedName>
    <definedName name="_xlnm.Print_Area" localSheetId="8">'（居民）工资表-6月'!$A$1:$AT$22</definedName>
    <definedName name="_xlnm.Print_Area" localSheetId="9">'（居民）工资表-7月'!$A$1:$AT$18</definedName>
    <definedName name="_xlnm.Print_Area" localSheetId="10">'（居民）工资表-8月'!$A$1:$AT$19</definedName>
    <definedName name="_xlnm.Print_Area" localSheetId="11">'（居民）工资表-9月'!$A$1:$AT$11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含补缴人数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kk</author>
    <author>Administrator</author>
  </authors>
  <commentList>
    <comment ref="E1" authorId="0">
      <text>
        <r>
          <rPr>
            <sz val="9"/>
            <rFont val="宋体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P1" authorId="0">
      <text>
        <r>
          <rPr>
            <sz val="9"/>
            <rFont val="Tahoma"/>
            <charset val="134"/>
          </rPr>
          <t>“</t>
        </r>
        <r>
          <rPr>
            <sz val="9"/>
            <rFont val="宋体"/>
            <charset val="134"/>
          </rPr>
          <t>本地</t>
        </r>
        <r>
          <rPr>
            <sz val="9"/>
            <rFont val="Tahoma"/>
            <charset val="134"/>
          </rPr>
          <t>”</t>
        </r>
        <r>
          <rPr>
            <sz val="9"/>
            <rFont val="宋体"/>
            <charset val="134"/>
          </rPr>
          <t>以社保缴纳地为准，本地城镇、本地农村、外地城镇、外地农村，请选择即可</t>
        </r>
      </text>
    </comment>
    <comment ref="Q1" authorId="0">
      <text>
        <r>
          <rPr>
            <sz val="9"/>
            <rFont val="宋体"/>
            <charset val="134"/>
          </rPr>
          <t>离职日期为员工实际离职日期，填写格式：</t>
        </r>
        <r>
          <rPr>
            <sz val="9"/>
            <rFont val="Tahoma"/>
            <charset val="134"/>
          </rPr>
          <t>20140416</t>
        </r>
        <r>
          <rPr>
            <sz val="9"/>
            <rFont val="宋体"/>
            <charset val="134"/>
          </rPr>
          <t>【</t>
        </r>
        <r>
          <rPr>
            <sz val="9"/>
            <rFont val="Tahoma"/>
            <charset val="134"/>
          </rPr>
          <t>YYYYMMDD</t>
        </r>
        <r>
          <rPr>
            <sz val="9"/>
            <rFont val="宋体"/>
            <charset val="134"/>
          </rPr>
          <t>】；</t>
        </r>
      </text>
    </comment>
    <comment ref="T1" authorId="0">
      <text>
        <r>
          <rPr>
            <sz val="9"/>
            <rFont val="宋体"/>
            <charset val="134"/>
          </rPr>
          <t>员工离职原因：辞职、合同主动解除、合同被动解除、合同到期终止、试用期解除、死亡、其他（必填），请选择即可；</t>
        </r>
      </text>
    </comment>
    <comment ref="X1" authorId="1">
      <text>
        <r>
          <rPr>
            <b/>
            <sz val="9"/>
            <rFont val="宋体"/>
            <charset val="134"/>
          </rPr>
          <t>只大连填写“福利停止月”（即最后缴费月再往后退一个月，例如：最后缴费月为7月，则福利停止月为8月）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kk</author>
    <author>qiqi</author>
  </authors>
  <commentList>
    <comment ref="B1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请填写客户全称</t>
        </r>
      </text>
    </comment>
    <comment ref="D1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以身份证为准，不要空格</t>
        </r>
      </text>
    </comment>
    <comment ref="E1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18</t>
        </r>
        <r>
          <rPr>
            <sz val="9"/>
            <rFont val="宋体"/>
            <charset val="134"/>
          </rPr>
          <t>位身份证号码，不要空格</t>
        </r>
      </text>
    </comment>
    <comment ref="AP1" authorId="1">
      <text>
        <r>
          <rPr>
            <sz val="9"/>
            <rFont val="宋体"/>
            <charset val="134"/>
          </rPr>
          <t>上海残障金=基数*0.016</t>
        </r>
      </text>
    </comment>
    <comment ref="AR2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养老保险公司汇缴+医疗保险公司汇缴+失业保险公司汇缴+生育保险公司汇缴+工伤保险公司汇缴+补充养老公司汇缴</t>
        </r>
      </text>
    </comment>
    <comment ref="AS2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 xml:space="preserve">养老保险个人汇缴+医疗保险个人汇缴+失业保险个人汇缴+补充养老个人汇缴
</t>
        </r>
      </text>
    </comment>
    <comment ref="AV2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 xml:space="preserve">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<sst xmlns="http://schemas.openxmlformats.org/spreadsheetml/2006/main" count="1519" uniqueCount="277">
  <si>
    <t>付款通知书</t>
  </si>
  <si>
    <t xml:space="preserve">尊敬的客户：北京创联致信科技有限公司 </t>
  </si>
  <si>
    <t>服务周期：</t>
  </si>
  <si>
    <t>根据贵公司与我公司所签订的服务协议，请贵公司在2023年6月2日之前按照下列表格内容支付相关款项.</t>
  </si>
  <si>
    <t>本 期 应 付 款 汇 总 结 算 明 细</t>
  </si>
  <si>
    <t>汇款信息：</t>
  </si>
  <si>
    <t>本期应付款合计（小写）：</t>
  </si>
  <si>
    <t>账户全称：北京易科赛斯信息技术有限公司</t>
  </si>
  <si>
    <t>本期应付款合计（大写）：</t>
  </si>
  <si>
    <t>开户银行：广发银行北京光华路支行</t>
  </si>
  <si>
    <t>本期款项合计：</t>
  </si>
  <si>
    <t>尾数调整：</t>
  </si>
  <si>
    <t>银行账号：9550880215395900189</t>
  </si>
  <si>
    <t>预收款(+)：</t>
  </si>
  <si>
    <t>工资保证金(+)：</t>
  </si>
  <si>
    <t>本期减免服务费(+)：</t>
  </si>
  <si>
    <t>上期预收款(-)：</t>
  </si>
  <si>
    <t>自划金额(-)：</t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</si>
  <si>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</si>
  <si>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</si>
  <si>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</si>
  <si>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</si>
  <si>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</si>
  <si>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</si>
  <si>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</si>
  <si>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人工成本</t>
  </si>
  <si>
    <t>工资(应税工资:实发+个税)</t>
  </si>
  <si>
    <t>-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</si>
  <si>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</si>
  <si>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</si>
  <si>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</si>
  <si>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</si>
  <si>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</si>
  <si>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</si>
  <si>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补收</t>
  </si>
  <si>
    <t>5月费用少打0.4元</t>
  </si>
  <si>
    <t>合计:</t>
  </si>
  <si>
    <t>开票金额:</t>
  </si>
  <si>
    <t>客户名称</t>
  </si>
  <si>
    <t>缴费城市</t>
  </si>
  <si>
    <t>员工姓名</t>
  </si>
  <si>
    <t>身份证号码</t>
  </si>
  <si>
    <t>户口性质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</si>
  <si>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</si>
  <si>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</si>
  <si>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</si>
  <si>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</si>
  <si>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</si>
  <si>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</si>
  <si>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</si>
  <si>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</si>
  <si>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</si>
  <si>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</si>
  <si>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补充养老保险</t>
  </si>
  <si>
    <t>其他（残障金）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</si>
  <si>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</si>
  <si>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</si>
  <si>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</si>
  <si>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</si>
  <si>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</si>
  <si>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</si>
  <si>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</si>
  <si>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</si>
  <si>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</si>
  <si>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</si>
  <si>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</si>
  <si>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</si>
  <si>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</si>
  <si>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</si>
  <si>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</si>
  <si>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</si>
  <si>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</si>
  <si>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1</t>
  </si>
  <si>
    <t xml:space="preserve">北京创联致信科技有限公司 </t>
  </si>
  <si>
    <t>北京</t>
  </si>
  <si>
    <t>郭建芳</t>
  </si>
  <si>
    <t>360421197603120026</t>
  </si>
  <si>
    <t>外地城镇</t>
  </si>
  <si>
    <t>202209</t>
  </si>
  <si>
    <t>202306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</si>
  <si>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</si>
  <si>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</si>
  <si>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</si>
  <si>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</si>
  <si>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</si>
  <si>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</si>
  <si>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</si>
  <si>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</si>
  <si>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</si>
  <si>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</si>
  <si>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</si>
  <si>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</si>
  <si>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</si>
  <si>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</si>
  <si>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</si>
  <si>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</si>
  <si>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</si>
  <si>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</si>
  <si>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</si>
  <si>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</si>
  <si>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</si>
  <si>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</si>
  <si>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</si>
  <si>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</si>
  <si>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</si>
  <si>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</si>
  <si>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</si>
  <si>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</si>
  <si>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</si>
  <si>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</si>
  <si>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</si>
  <si>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</si>
  <si>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</si>
  <si>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</si>
  <si>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</si>
  <si>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</si>
  <si>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</si>
  <si>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</si>
  <si>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</si>
  <si>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</si>
  <si>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</si>
  <si>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</si>
  <si>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</si>
  <si>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</si>
  <si>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</si>
  <si>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</si>
  <si>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</si>
  <si>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万物可爱</t>
  </si>
  <si>
    <t>梁欣宇</t>
  </si>
  <si>
    <t>身份证</t>
  </si>
  <si>
    <t>142402199911065429</t>
  </si>
  <si>
    <t>马延旭</t>
  </si>
  <si>
    <t>131002199810100016</t>
  </si>
  <si>
    <t>马千惠</t>
  </si>
  <si>
    <t>130984199402064522</t>
  </si>
  <si>
    <t>梁鹏</t>
  </si>
  <si>
    <t>141121199701200110</t>
  </si>
  <si>
    <t>李牧伦</t>
  </si>
  <si>
    <t>412824199706174736</t>
  </si>
  <si>
    <t>林展东</t>
  </si>
  <si>
    <t>23210319970706421X</t>
  </si>
  <si>
    <t>王涛</t>
  </si>
  <si>
    <t>370982199701098011</t>
  </si>
  <si>
    <t>吕智鹏</t>
  </si>
  <si>
    <t>220524199806163678</t>
  </si>
  <si>
    <t>李诗瑶</t>
  </si>
  <si>
    <t>330184199509130028</t>
  </si>
  <si>
    <t>施博文</t>
  </si>
  <si>
    <t>370782199906191112</t>
  </si>
  <si>
    <t>宋佳谕</t>
  </si>
  <si>
    <t>530103199502233760</t>
  </si>
  <si>
    <t>罗颖</t>
  </si>
  <si>
    <t>420102199906223524</t>
  </si>
  <si>
    <t>宋虹萱</t>
  </si>
  <si>
    <t>230124199702017043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</si>
  <si>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</si>
  <si>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</si>
  <si>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</si>
  <si>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</si>
  <si>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</si>
  <si>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</si>
  <si>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</si>
  <si>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</si>
  <si>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</si>
  <si>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</si>
  <si>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</si>
  <si>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</si>
  <si>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杨舒媛</t>
  </si>
  <si>
    <t>220204199802235425</t>
  </si>
  <si>
    <t>于慕琳</t>
  </si>
  <si>
    <t>230804199703190545</t>
  </si>
  <si>
    <t>周莹</t>
  </si>
  <si>
    <t>659001199304272424</t>
  </si>
  <si>
    <t>王德流芳</t>
  </si>
  <si>
    <t>372924199508090040</t>
  </si>
  <si>
    <t>由芮嘉</t>
  </si>
  <si>
    <t>210221199905136328</t>
  </si>
  <si>
    <t>李雪菲</t>
  </si>
  <si>
    <t>13100219980411282X</t>
  </si>
  <si>
    <t>头图时代</t>
  </si>
  <si>
    <t>6214831064503573</t>
  </si>
  <si>
    <t>招商银行北京分行西二旗支行</t>
  </si>
  <si>
    <t>6214831064504688</t>
  </si>
  <si>
    <t>招商银行北京常营分行</t>
  </si>
  <si>
    <t>6214830151050969</t>
  </si>
  <si>
    <t>招商银行望京西园</t>
  </si>
  <si>
    <t>刘恒</t>
  </si>
  <si>
    <t>370982199607277689</t>
  </si>
  <si>
    <t>6214831012519903</t>
  </si>
  <si>
    <t>招商银行北京望京融科支行</t>
  </si>
  <si>
    <t>6236681540004249640</t>
  </si>
  <si>
    <t>中国建设银行杭州经济技术开发区支行营业部</t>
  </si>
  <si>
    <t>6212260200136585524</t>
  </si>
  <si>
    <t>中国工商银行海淀金典支行</t>
  </si>
  <si>
    <t>李宛轩</t>
  </si>
  <si>
    <t>23052319980913152x</t>
  </si>
  <si>
    <t>6214831040575562</t>
  </si>
  <si>
    <t>招商银行北京常营支行</t>
  </si>
  <si>
    <t>付艺文</t>
  </si>
  <si>
    <t>130681199511251225</t>
  </si>
  <si>
    <t>季星星</t>
  </si>
  <si>
    <t>332522199411229681</t>
  </si>
  <si>
    <t>巴迪</t>
  </si>
  <si>
    <t>610431199703070023</t>
  </si>
  <si>
    <t>女</t>
  </si>
  <si>
    <t>郭子侨</t>
  </si>
  <si>
    <t>130821199506297987</t>
  </si>
  <si>
    <t>男</t>
  </si>
  <si>
    <t>汪慧</t>
  </si>
  <si>
    <t>110105199311015423</t>
  </si>
  <si>
    <t>创联致信</t>
  </si>
  <si>
    <t>报送时间</t>
  </si>
  <si>
    <t>成本中心</t>
  </si>
  <si>
    <t>所属公司</t>
  </si>
  <si>
    <t>使用供应商</t>
  </si>
  <si>
    <t>项目编号</t>
  </si>
  <si>
    <t>产品类型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</si>
  <si>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</si>
  <si>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</si>
  <si>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</si>
  <si>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</si>
  <si>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</si>
  <si>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</si>
  <si>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</si>
  <si>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社保最后缴费月</t>
  </si>
  <si>
    <t>公积金最后缴费月</t>
  </si>
  <si>
    <t>减员原因</t>
  </si>
  <si>
    <t>减员分析</t>
  </si>
  <si>
    <t>身份证校验</t>
  </si>
  <si>
    <t>福利停止月（仅大连地区填写）</t>
  </si>
  <si>
    <t>华北销售部</t>
  </si>
  <si>
    <t>北京易才博普奥</t>
  </si>
  <si>
    <t>北京头图时代网络科技有限公司</t>
  </si>
  <si>
    <t>刘成志</t>
  </si>
  <si>
    <t>231004199508150713</t>
  </si>
  <si>
    <t>7月</t>
  </si>
  <si>
    <t>调入</t>
  </si>
  <si>
    <t>离职</t>
  </si>
  <si>
    <t>杨晴</t>
  </si>
  <si>
    <t>130128199403031226</t>
  </si>
  <si>
    <t>外地农业</t>
  </si>
  <si>
    <t>张昕</t>
  </si>
  <si>
    <t>130702199705040928</t>
  </si>
  <si>
    <t>钱谦</t>
  </si>
  <si>
    <t>340823199902265321</t>
  </si>
  <si>
    <t>李宗阳</t>
  </si>
  <si>
    <t>21030419970327182X</t>
  </si>
  <si>
    <t>23052319980913152X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</si>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</sst>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[$-10432]yyyy/mm/dd;@"/>
    <numFmt numFmtId="178" formatCode="0_ "/>
    <numFmt numFmtId="179" formatCode="0.00_ "/>
    <numFmt numFmtId="180" formatCode="0.00_);[Red]\(0.00\)"/>
    <numFmt numFmtId="181" formatCode="#,##0_);[Red]\(#,##0\)"/>
    <numFmt numFmtId="182" formatCode="#,##0.00_);[Red]\(#,##0.00\)"/>
    <numFmt numFmtId="183" formatCode="0_);[Red]\(0\)"/>
    <numFmt numFmtId="184" formatCode="0.000_ "/>
    <numFmt numFmtId="185" formatCode="#,##0.00_ "/>
    <numFmt numFmtId="186" formatCode="&quot;$&quot;#,##0_ ;[Red]\-&quot;$&quot;#,##0_ "/>
    <numFmt numFmtId="187" formatCode="&quot;$&quot;0_ "/>
    <numFmt numFmtId="188" formatCode="General\ &quot;年&quot;"/>
    <numFmt numFmtId="189" formatCode="0.00_);\(0.00\)"/>
  </numFmts>
  <fonts count="10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PingFang SC"/>
      <charset val="134"/>
    </font>
    <font>
      <sz val="10"/>
      <color theme="1"/>
      <name val="苹方-简"/>
      <charset val="134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b/>
      <sz val="10"/>
      <name val="微软雅黑"/>
      <charset val="134"/>
    </font>
    <font>
      <b/>
      <sz val="10"/>
      <name val="宋体"/>
      <charset val="134"/>
      <scheme val="minor"/>
    </font>
    <font>
      <sz val="10"/>
      <color indexed="10"/>
      <name val="宋体"/>
      <charset val="134"/>
    </font>
    <font>
      <b/>
      <sz val="11"/>
      <color rgb="FFFF0000"/>
      <name val="宋体"/>
      <charset val="134"/>
    </font>
    <font>
      <sz val="11"/>
      <name val="微软雅黑"/>
      <charset val="134"/>
    </font>
    <font>
      <b/>
      <sz val="11"/>
      <name val="宋体"/>
      <charset val="134"/>
      <scheme val="major"/>
    </font>
    <font>
      <b/>
      <sz val="10"/>
      <name val="宋体"/>
      <charset val="134"/>
      <scheme val="major"/>
    </font>
    <font>
      <sz val="11"/>
      <name val="宋体"/>
      <charset val="134"/>
      <scheme val="minor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宋体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sz val="10"/>
      <name val="微软雅黑"/>
      <charset val="134"/>
    </font>
    <font>
      <sz val="10"/>
      <color indexed="0"/>
      <name val="微软雅黑"/>
      <charset val="134"/>
    </font>
    <font>
      <sz val="10"/>
      <color indexed="8"/>
      <name val="微软雅黑"/>
      <charset val="134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theme="1" tint="0.0499893185216834"/>
      <name val="微软雅黑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i/>
      <sz val="10"/>
      <color indexed="0"/>
      <name val="微软雅黑"/>
      <charset val="134"/>
    </font>
    <font>
      <b/>
      <sz val="10"/>
      <color indexed="0"/>
      <name val="微软雅黑"/>
      <charset val="134"/>
    </font>
    <font>
      <b/>
      <sz val="11"/>
      <name val="微软雅黑"/>
      <charset val="134"/>
    </font>
    <font>
      <sz val="10.5"/>
      <color theme="1"/>
      <name val="宋体"/>
      <charset val="134"/>
      <scheme val="minor"/>
    </font>
    <font>
      <b/>
      <sz val="10"/>
      <color rgb="FF000000"/>
      <name val="微软雅黑"/>
      <charset val="134"/>
    </font>
    <font>
      <sz val="11"/>
      <color theme="1"/>
      <name val="微软雅黑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Genev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b/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</fonts>
  <fills count="63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0" fillId="0" borderId="51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63" fillId="0" borderId="0">
      <alignment vertical="center"/>
    </xf>
    <xf numFmtId="0" fontId="64" fillId="13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0" fillId="0" borderId="51" applyNumberFormat="0" applyFill="0" applyAlignment="0" applyProtection="0">
      <alignment vertical="center"/>
    </xf>
    <xf numFmtId="0" fontId="66" fillId="15" borderId="54" applyNumberFormat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4" fillId="16" borderId="0" applyNumberFormat="0" applyBorder="0" applyAlignment="0" applyProtection="0">
      <alignment vertical="center"/>
    </xf>
    <xf numFmtId="0" fontId="67" fillId="14" borderId="5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8" fillId="0" borderId="0"/>
    <xf numFmtId="0" fontId="69" fillId="1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20" borderId="56" applyNumberFormat="0" applyFont="0" applyAlignment="0" applyProtection="0">
      <alignment vertical="center"/>
    </xf>
    <xf numFmtId="0" fontId="6" fillId="0" borderId="0">
      <alignment vertical="center"/>
    </xf>
    <xf numFmtId="0" fontId="61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21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8" fillId="0" borderId="58" applyNumberFormat="0" applyFill="0" applyAlignment="0" applyProtection="0">
      <alignment vertical="center"/>
    </xf>
    <xf numFmtId="0" fontId="79" fillId="0" borderId="0"/>
    <xf numFmtId="0" fontId="80" fillId="0" borderId="58" applyNumberFormat="0" applyFill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4" fillId="0" borderId="59" applyNumberFormat="0" applyFill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81" fillId="28" borderId="60" applyNumberFormat="0" applyAlignment="0" applyProtection="0">
      <alignment vertical="center"/>
    </xf>
    <xf numFmtId="177" fontId="0" fillId="0" borderId="0">
      <alignment vertical="center"/>
    </xf>
    <xf numFmtId="0" fontId="82" fillId="28" borderId="54" applyNumberFormat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3" fillId="29" borderId="61" applyNumberFormat="0" applyAlignment="0" applyProtection="0">
      <alignment vertical="center"/>
    </xf>
    <xf numFmtId="0" fontId="68" fillId="0" borderId="0">
      <alignment vertical="center"/>
    </xf>
    <xf numFmtId="0" fontId="64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84" fillId="0" borderId="62" applyNumberFormat="0" applyFill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5" fillId="0" borderId="63" applyNumberFormat="0" applyFill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87" fillId="36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8" fillId="0" borderId="0">
      <alignment vertical="center"/>
    </xf>
    <xf numFmtId="0" fontId="64" fillId="37" borderId="0" applyNumberFormat="0" applyBorder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68" fillId="0" borderId="0"/>
    <xf numFmtId="0" fontId="71" fillId="39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0" fillId="0" borderId="51" applyNumberFormat="0" applyFill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3" fillId="0" borderId="0"/>
    <xf numFmtId="0" fontId="64" fillId="41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0" fillId="0" borderId="51" applyNumberFormat="0" applyFill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71" fillId="53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3" fillId="0" borderId="0"/>
    <xf numFmtId="0" fontId="6" fillId="21" borderId="0" applyNumberFormat="0" applyBorder="0" applyAlignment="0" applyProtection="0">
      <alignment vertical="center"/>
    </xf>
    <xf numFmtId="0" fontId="63" fillId="0" borderId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1" fillId="54" borderId="0" applyNumberFormat="0" applyBorder="0" applyAlignment="0" applyProtection="0">
      <alignment vertical="center"/>
    </xf>
    <xf numFmtId="0" fontId="68" fillId="0" borderId="0">
      <alignment vertical="center"/>
    </xf>
    <xf numFmtId="0" fontId="63" fillId="0" borderId="0"/>
    <xf numFmtId="0" fontId="6" fillId="11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8" fillId="0" borderId="0"/>
    <xf numFmtId="0" fontId="6" fillId="0" borderId="0"/>
    <xf numFmtId="0" fontId="6" fillId="11" borderId="0" applyNumberFormat="0" applyBorder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/>
    <xf numFmtId="0" fontId="61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8" fillId="0" borderId="0"/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91" fillId="54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" fillId="0" borderId="0">
      <alignment vertical="center"/>
    </xf>
    <xf numFmtId="0" fontId="6" fillId="59" borderId="0" applyNumberFormat="0" applyBorder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67" fillId="14" borderId="55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0" borderId="0">
      <alignment vertical="center"/>
    </xf>
    <xf numFmtId="0" fontId="6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21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61" fillId="2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177" fontId="0" fillId="0" borderId="0">
      <alignment vertical="center"/>
    </xf>
    <xf numFmtId="0" fontId="61" fillId="32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" fillId="0" borderId="0">
      <alignment vertical="center"/>
    </xf>
    <xf numFmtId="0" fontId="61" fillId="18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79" fontId="6" fillId="0" borderId="0">
      <alignment vertical="center"/>
    </xf>
    <xf numFmtId="0" fontId="91" fillId="54" borderId="0" applyNumberFormat="0" applyBorder="0" applyAlignment="0" applyProtection="0">
      <alignment vertical="center"/>
    </xf>
    <xf numFmtId="9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0" fontId="6" fillId="0" borderId="0">
      <alignment vertical="center"/>
    </xf>
    <xf numFmtId="177" fontId="0" fillId="0" borderId="0">
      <alignment vertical="center"/>
    </xf>
    <xf numFmtId="0" fontId="97" fillId="0" borderId="66" applyNumberFormat="0" applyFill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0" fontId="98" fillId="0" borderId="0"/>
    <xf numFmtId="0" fontId="90" fillId="0" borderId="67" applyNumberFormat="0" applyFill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43" fontId="68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91" fillId="54" borderId="0" applyNumberFormat="0" applyBorder="0" applyAlignment="0" applyProtection="0">
      <alignment vertical="center"/>
    </xf>
    <xf numFmtId="0" fontId="91" fillId="54" borderId="0" applyNumberFormat="0" applyBorder="0" applyAlignment="0" applyProtection="0">
      <alignment vertical="center"/>
    </xf>
    <xf numFmtId="0" fontId="91" fillId="54" borderId="0" applyNumberFormat="0" applyBorder="0" applyAlignment="0" applyProtection="0">
      <alignment vertical="center"/>
    </xf>
    <xf numFmtId="0" fontId="91" fillId="54" borderId="0" applyNumberFormat="0" applyBorder="0" applyAlignment="0" applyProtection="0">
      <alignment vertical="center"/>
    </xf>
    <xf numFmtId="176" fontId="0" fillId="0" borderId="0">
      <alignment vertical="center"/>
    </xf>
    <xf numFmtId="0" fontId="6" fillId="0" borderId="0">
      <alignment vertical="center"/>
    </xf>
    <xf numFmtId="0" fontId="68" fillId="0" borderId="0">
      <alignment vertical="center"/>
    </xf>
    <xf numFmtId="0" fontId="6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1" fillId="6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24" borderId="57" applyNumberFormat="0" applyFont="0" applyAlignment="0" applyProtection="0">
      <alignment vertical="center"/>
    </xf>
    <xf numFmtId="177" fontId="0" fillId="0" borderId="0">
      <alignment vertical="center"/>
    </xf>
    <xf numFmtId="0" fontId="14" fillId="0" borderId="0">
      <alignment vertical="center"/>
    </xf>
    <xf numFmtId="0" fontId="100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93" fillId="57" borderId="55" applyNumberFormat="0" applyAlignment="0" applyProtection="0">
      <alignment vertical="center"/>
    </xf>
    <xf numFmtId="0" fontId="14" fillId="0" borderId="0">
      <alignment vertical="center"/>
    </xf>
    <xf numFmtId="0" fontId="93" fillId="57" borderId="55" applyNumberFormat="0" applyAlignment="0" applyProtection="0">
      <alignment vertical="center"/>
    </xf>
    <xf numFmtId="0" fontId="68" fillId="0" borderId="0">
      <alignment vertical="center"/>
    </xf>
    <xf numFmtId="0" fontId="15" fillId="0" borderId="0">
      <alignment vertical="center"/>
    </xf>
    <xf numFmtId="0" fontId="6" fillId="0" borderId="0"/>
    <xf numFmtId="0" fontId="93" fillId="57" borderId="55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61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61" fillId="32" borderId="0" applyNumberFormat="0" applyBorder="0" applyAlignment="0" applyProtection="0">
      <alignment vertical="center"/>
    </xf>
    <xf numFmtId="0" fontId="6" fillId="0" borderId="0"/>
    <xf numFmtId="0" fontId="61" fillId="32" borderId="0" applyNumberFormat="0" applyBorder="0" applyAlignment="0" applyProtection="0">
      <alignment vertical="center"/>
    </xf>
    <xf numFmtId="0" fontId="68" fillId="0" borderId="0"/>
    <xf numFmtId="0" fontId="61" fillId="32" borderId="0" applyNumberFormat="0" applyBorder="0" applyAlignment="0" applyProtection="0">
      <alignment vertical="center"/>
    </xf>
    <xf numFmtId="0" fontId="68" fillId="0" borderId="0"/>
    <xf numFmtId="0" fontId="68" fillId="0" borderId="0"/>
    <xf numFmtId="177" fontId="0" fillId="0" borderId="0">
      <alignment vertical="center"/>
    </xf>
    <xf numFmtId="0" fontId="6" fillId="24" borderId="57" applyNumberFormat="0" applyFont="0" applyAlignment="0" applyProtection="0">
      <alignment vertical="center"/>
    </xf>
    <xf numFmtId="177" fontId="0" fillId="0" borderId="0">
      <alignment vertical="center"/>
    </xf>
    <xf numFmtId="0" fontId="6" fillId="0" borderId="0">
      <alignment vertical="center"/>
    </xf>
    <xf numFmtId="177" fontId="0" fillId="0" borderId="0">
      <alignment vertical="center"/>
    </xf>
    <xf numFmtId="0" fontId="89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1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0" borderId="0"/>
    <xf numFmtId="0" fontId="68" fillId="0" borderId="0"/>
    <xf numFmtId="0" fontId="93" fillId="57" borderId="55" applyNumberFormat="0" applyAlignment="0" applyProtection="0">
      <alignment vertical="center"/>
    </xf>
    <xf numFmtId="0" fontId="6" fillId="0" borderId="0">
      <alignment vertical="center"/>
    </xf>
    <xf numFmtId="0" fontId="68" fillId="0" borderId="0"/>
    <xf numFmtId="0" fontId="61" fillId="62" borderId="0" applyNumberFormat="0" applyBorder="0" applyAlignment="0" applyProtection="0">
      <alignment vertical="center"/>
    </xf>
    <xf numFmtId="0" fontId="63" fillId="0" borderId="0">
      <alignment vertical="center"/>
    </xf>
    <xf numFmtId="0" fontId="0" fillId="0" borderId="0">
      <alignment vertical="center"/>
    </xf>
    <xf numFmtId="177" fontId="68" fillId="0" borderId="0"/>
    <xf numFmtId="0" fontId="61" fillId="61" borderId="0" applyNumberFormat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177" fontId="63" fillId="0" borderId="0"/>
    <xf numFmtId="0" fontId="6" fillId="24" borderId="57" applyNumberFormat="0" applyFon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8" fillId="0" borderId="0"/>
    <xf numFmtId="0" fontId="92" fillId="35" borderId="0" applyNumberFormat="0" applyBorder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62" fillId="0" borderId="52" applyNumberFormat="0" applyFill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0" fillId="0" borderId="51" applyNumberFormat="0" applyFill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0" fillId="0" borderId="51" applyNumberFormat="0" applyFill="0" applyAlignment="0" applyProtection="0">
      <alignment vertical="center"/>
    </xf>
    <xf numFmtId="0" fontId="60" fillId="0" borderId="51" applyNumberFormat="0" applyFill="0" applyAlignment="0" applyProtection="0">
      <alignment vertical="center"/>
    </xf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65" fillId="14" borderId="53" applyNumberFormat="0" applyAlignment="0" applyProtection="0">
      <alignment vertical="center"/>
    </xf>
    <xf numFmtId="0" fontId="79" fillId="0" borderId="0"/>
    <xf numFmtId="0" fontId="93" fillId="57" borderId="55" applyNumberFormat="0" applyAlignment="0" applyProtection="0">
      <alignment vertical="center"/>
    </xf>
    <xf numFmtId="0" fontId="79" fillId="0" borderId="0"/>
    <xf numFmtId="0" fontId="93" fillId="57" borderId="55" applyNumberFormat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93" fillId="57" borderId="55" applyNumberFormat="0" applyAlignment="0" applyProtection="0">
      <alignment vertical="center"/>
    </xf>
    <xf numFmtId="177" fontId="41" fillId="0" borderId="0">
      <alignment vertical="center"/>
    </xf>
    <xf numFmtId="177" fontId="101" fillId="0" borderId="0" applyNumberFormat="0" applyFill="0" applyBorder="0" applyAlignment="0" applyProtection="0">
      <alignment vertical="center"/>
    </xf>
    <xf numFmtId="38" fontId="68" fillId="0" borderId="0" applyFont="0" applyFill="0" applyBorder="0" applyAlignment="0" applyProtection="0">
      <alignment vertical="center"/>
    </xf>
    <xf numFmtId="0" fontId="102" fillId="0" borderId="0"/>
    <xf numFmtId="0" fontId="63" fillId="0" borderId="0"/>
    <xf numFmtId="0" fontId="79" fillId="0" borderId="0"/>
    <xf numFmtId="0" fontId="79" fillId="0" borderId="0"/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</cellStyleXfs>
  <cellXfs count="3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0" applyBorder="1">
      <alignment vertical="center"/>
    </xf>
    <xf numFmtId="0" fontId="7" fillId="0" borderId="0" xfId="310" applyNumberFormat="1" applyFont="1" applyFill="1" applyBorder="1" applyAlignment="1" applyProtection="1">
      <alignment horizontal="center" vertical="center"/>
    </xf>
    <xf numFmtId="0" fontId="6" fillId="0" borderId="0" xfId="310" applyFill="1">
      <alignment vertical="center"/>
    </xf>
    <xf numFmtId="0" fontId="6" fillId="0" borderId="0" xfId="310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0">
      <alignment vertical="center"/>
    </xf>
    <xf numFmtId="0" fontId="6" fillId="0" borderId="0" xfId="310" applyNumberFormat="1">
      <alignment vertical="center"/>
    </xf>
    <xf numFmtId="0" fontId="6" fillId="0" borderId="0" xfId="310" applyNumberFormat="1" applyAlignment="1">
      <alignment horizontal="center" vertical="center"/>
    </xf>
    <xf numFmtId="14" fontId="6" fillId="0" borderId="0" xfId="310" applyNumberFormat="1">
      <alignment vertical="center"/>
    </xf>
    <xf numFmtId="180" fontId="6" fillId="0" borderId="0" xfId="310" applyNumberFormat="1">
      <alignment vertical="center"/>
    </xf>
    <xf numFmtId="181" fontId="8" fillId="0" borderId="0" xfId="110" applyNumberFormat="1" applyFont="1" applyFill="1" applyBorder="1" applyAlignment="1" applyProtection="1">
      <alignment vertical="center"/>
    </xf>
    <xf numFmtId="181" fontId="9" fillId="0" borderId="0" xfId="110" applyNumberFormat="1" applyFont="1" applyFill="1" applyBorder="1" applyAlignment="1" applyProtection="1">
      <alignment vertical="center"/>
    </xf>
    <xf numFmtId="181" fontId="10" fillId="0" borderId="0" xfId="110" applyNumberFormat="1" applyFont="1" applyFill="1" applyBorder="1" applyAlignment="1" applyProtection="1">
      <alignment vertical="center"/>
    </xf>
    <xf numFmtId="181" fontId="10" fillId="0" borderId="0" xfId="110" applyNumberFormat="1" applyFont="1" applyFill="1" applyBorder="1" applyAlignment="1" applyProtection="1">
      <alignment horizontal="center" vertical="top"/>
    </xf>
    <xf numFmtId="0" fontId="6" fillId="0" borderId="0" xfId="310" applyNumberFormat="1" applyFont="1" applyFill="1" applyBorder="1" applyAlignment="1" applyProtection="1">
      <alignment horizontal="center" vertical="center"/>
    </xf>
    <xf numFmtId="0" fontId="6" fillId="0" borderId="0" xfId="310" applyNumberFormat="1" applyBorder="1" applyAlignment="1">
      <alignment horizontal="center" vertical="center"/>
    </xf>
    <xf numFmtId="181" fontId="11" fillId="3" borderId="5" xfId="110" applyNumberFormat="1" applyFont="1" applyFill="1" applyBorder="1" applyAlignment="1" applyProtection="1">
      <alignment horizontal="center" vertical="center"/>
    </xf>
    <xf numFmtId="181" fontId="8" fillId="3" borderId="5" xfId="110" applyNumberFormat="1" applyFont="1" applyFill="1" applyBorder="1" applyAlignment="1" applyProtection="1">
      <alignment horizontal="center" vertical="center"/>
    </xf>
    <xf numFmtId="0" fontId="8" fillId="3" borderId="5" xfId="110" applyNumberFormat="1" applyFont="1" applyFill="1" applyBorder="1" applyAlignment="1" applyProtection="1">
      <alignment horizontal="center" vertical="center" wrapText="1"/>
    </xf>
    <xf numFmtId="0" fontId="12" fillId="3" borderId="5" xfId="414" applyNumberFormat="1" applyFont="1" applyFill="1" applyBorder="1" applyAlignment="1" applyProtection="1">
      <alignment horizontal="center" vertical="center" wrapText="1"/>
    </xf>
    <xf numFmtId="0" fontId="13" fillId="3" borderId="5" xfId="414" applyNumberFormat="1" applyFont="1" applyFill="1" applyBorder="1" applyAlignment="1" applyProtection="1">
      <alignment horizontal="center" vertical="center" wrapText="1"/>
    </xf>
    <xf numFmtId="181" fontId="11" fillId="3" borderId="6" xfId="110" applyNumberFormat="1" applyFont="1" applyFill="1" applyBorder="1" applyAlignment="1" applyProtection="1">
      <alignment horizontal="center" vertical="center"/>
    </xf>
    <xf numFmtId="181" fontId="8" fillId="3" borderId="6" xfId="110" applyNumberFormat="1" applyFont="1" applyFill="1" applyBorder="1" applyAlignment="1" applyProtection="1">
      <alignment horizontal="center" vertical="center"/>
    </xf>
    <xf numFmtId="0" fontId="8" fillId="3" borderId="6" xfId="110" applyNumberFormat="1" applyFont="1" applyFill="1" applyBorder="1" applyAlignment="1" applyProtection="1">
      <alignment horizontal="center" vertical="center" wrapText="1"/>
    </xf>
    <xf numFmtId="0" fontId="12" fillId="3" borderId="6" xfId="414" applyNumberFormat="1" applyFont="1" applyFill="1" applyBorder="1" applyAlignment="1" applyProtection="1">
      <alignment horizontal="center" vertical="center" wrapText="1"/>
    </xf>
    <xf numFmtId="0" fontId="13" fillId="3" borderId="6" xfId="414" applyNumberFormat="1" applyFont="1" applyFill="1" applyBorder="1" applyAlignment="1" applyProtection="1">
      <alignment horizontal="center" vertical="center" wrapText="1"/>
    </xf>
    <xf numFmtId="181" fontId="14" fillId="0" borderId="6" xfId="310" applyNumberFormat="1" applyFont="1" applyFill="1" applyBorder="1" applyAlignment="1" applyProtection="1">
      <alignment horizontal="center" vertical="center"/>
    </xf>
    <xf numFmtId="0" fontId="15" fillId="0" borderId="7" xfId="310" applyFont="1" applyFill="1" applyBorder="1" applyAlignment="1">
      <alignment horizontal="center" vertical="center" wrapText="1"/>
    </xf>
    <xf numFmtId="49" fontId="16" fillId="4" borderId="8" xfId="310" applyNumberFormat="1" applyFont="1" applyFill="1" applyBorder="1" applyAlignment="1">
      <alignment horizontal="center" vertical="center" wrapText="1"/>
    </xf>
    <xf numFmtId="0" fontId="6" fillId="0" borderId="7" xfId="310" applyNumberFormat="1" applyFill="1" applyBorder="1" applyAlignment="1">
      <alignment horizontal="center" vertical="center"/>
    </xf>
    <xf numFmtId="0" fontId="6" fillId="0" borderId="8" xfId="310" applyFill="1" applyBorder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181" fontId="14" fillId="4" borderId="6" xfId="310" applyNumberFormat="1" applyFont="1" applyFill="1" applyBorder="1" applyAlignment="1" applyProtection="1">
      <alignment horizontal="center" vertical="center" shrinkToFit="1"/>
    </xf>
    <xf numFmtId="181" fontId="19" fillId="4" borderId="7" xfId="310" applyNumberFormat="1" applyFont="1" applyFill="1" applyBorder="1" applyAlignment="1" applyProtection="1">
      <alignment horizontal="center" vertical="center" shrinkToFit="1"/>
    </xf>
    <xf numFmtId="181" fontId="19" fillId="4" borderId="7" xfId="310" applyNumberFormat="1" applyFont="1" applyFill="1" applyBorder="1" applyAlignment="1" applyProtection="1">
      <alignment horizontal="center" vertical="top" shrinkToFit="1"/>
    </xf>
    <xf numFmtId="0" fontId="16" fillId="4" borderId="7" xfId="310" applyNumberFormat="1" applyFont="1" applyFill="1" applyBorder="1" applyAlignment="1">
      <alignment horizontal="center" vertical="center" shrinkToFit="1"/>
    </xf>
    <xf numFmtId="0" fontId="6" fillId="4" borderId="7" xfId="310" applyNumberFormat="1" applyFont="1" applyFill="1" applyBorder="1" applyAlignment="1" applyProtection="1">
      <alignment horizontal="center" vertical="center" shrinkToFit="1"/>
    </xf>
    <xf numFmtId="0" fontId="6" fillId="4" borderId="7" xfId="310" applyNumberFormat="1" applyFill="1" applyBorder="1" applyAlignment="1">
      <alignment horizontal="center" vertical="center" shrinkToFit="1"/>
    </xf>
    <xf numFmtId="0" fontId="6" fillId="3" borderId="7" xfId="310" applyFont="1" applyFill="1" applyBorder="1" applyAlignment="1">
      <alignment horizontal="center" vertical="center"/>
    </xf>
    <xf numFmtId="180" fontId="6" fillId="4" borderId="7" xfId="310" applyNumberFormat="1" applyFont="1" applyFill="1" applyBorder="1" applyAlignment="1">
      <alignment horizontal="center" vertical="center"/>
    </xf>
    <xf numFmtId="182" fontId="6" fillId="0" borderId="0" xfId="310" applyNumberFormat="1" applyFont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182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24" fillId="0" borderId="0" xfId="31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vertical="center"/>
    </xf>
    <xf numFmtId="14" fontId="6" fillId="0" borderId="0" xfId="310" applyNumberFormat="1" applyBorder="1">
      <alignment vertical="center"/>
    </xf>
    <xf numFmtId="181" fontId="10" fillId="0" borderId="0" xfId="110" applyNumberFormat="1" applyFont="1" applyFill="1" applyBorder="1" applyAlignment="1" applyProtection="1">
      <alignment horizontal="center" vertical="center"/>
    </xf>
    <xf numFmtId="179" fontId="26" fillId="5" borderId="0" xfId="310" applyNumberFormat="1" applyFont="1" applyFill="1" applyBorder="1" applyAlignment="1">
      <alignment horizontal="center" vertical="center"/>
    </xf>
    <xf numFmtId="14" fontId="12" fillId="3" borderId="5" xfId="414" applyNumberFormat="1" applyFont="1" applyFill="1" applyBorder="1" applyAlignment="1" applyProtection="1">
      <alignment horizontal="center" vertical="center" wrapText="1"/>
    </xf>
    <xf numFmtId="0" fontId="12" fillId="3" borderId="8" xfId="414" applyNumberFormat="1" applyFont="1" applyFill="1" applyBorder="1" applyAlignment="1" applyProtection="1">
      <alignment horizontal="center" vertical="center" wrapText="1"/>
    </xf>
    <xf numFmtId="0" fontId="12" fillId="3" borderId="9" xfId="414" applyNumberFormat="1" applyFont="1" applyFill="1" applyBorder="1" applyAlignment="1" applyProtection="1">
      <alignment horizontal="center" vertical="center" wrapText="1"/>
    </xf>
    <xf numFmtId="0" fontId="12" fillId="3" borderId="10" xfId="414" applyNumberFormat="1" applyFont="1" applyFill="1" applyBorder="1" applyAlignment="1" applyProtection="1">
      <alignment horizontal="center" vertical="center" wrapText="1"/>
    </xf>
    <xf numFmtId="14" fontId="12" fillId="3" borderId="6" xfId="414" applyNumberFormat="1" applyFont="1" applyFill="1" applyBorder="1" applyAlignment="1" applyProtection="1">
      <alignment horizontal="center" vertical="center" wrapText="1"/>
    </xf>
    <xf numFmtId="0" fontId="12" fillId="3" borderId="7" xfId="414" applyNumberFormat="1" applyFont="1" applyFill="1" applyBorder="1" applyAlignment="1" applyProtection="1">
      <alignment horizontal="center" vertical="center" wrapText="1"/>
    </xf>
    <xf numFmtId="31" fontId="18" fillId="0" borderId="7" xfId="0" applyNumberFormat="1" applyFont="1" applyFill="1" applyBorder="1" applyAlignment="1">
      <alignment horizontal="center" vertical="center"/>
    </xf>
    <xf numFmtId="179" fontId="14" fillId="0" borderId="7" xfId="310" applyNumberFormat="1" applyFont="1" applyFill="1" applyBorder="1">
      <alignment vertical="center"/>
    </xf>
    <xf numFmtId="179" fontId="14" fillId="0" borderId="7" xfId="310" applyNumberFormat="1" applyFont="1" applyFill="1" applyBorder="1" applyAlignment="1">
      <alignment horizontal="center" vertical="center"/>
    </xf>
    <xf numFmtId="0" fontId="6" fillId="4" borderId="8" xfId="310" applyNumberFormat="1" applyFont="1" applyFill="1" applyBorder="1" applyAlignment="1" applyProtection="1">
      <alignment horizontal="center" vertical="center" shrinkToFit="1"/>
    </xf>
    <xf numFmtId="14" fontId="6" fillId="4" borderId="8" xfId="310" applyNumberFormat="1" applyFont="1" applyFill="1" applyBorder="1" applyAlignment="1" applyProtection="1">
      <alignment horizontal="center" vertical="center" shrinkToFit="1"/>
    </xf>
    <xf numFmtId="182" fontId="19" fillId="4" borderId="7" xfId="310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3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3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3" fontId="6" fillId="0" borderId="0" xfId="0" applyNumberFormat="1" applyFont="1" applyFill="1" applyBorder="1" applyAlignment="1" applyProtection="1">
      <alignment vertical="center" wrapText="1"/>
    </xf>
    <xf numFmtId="14" fontId="23" fillId="0" borderId="0" xfId="0" applyNumberFormat="1" applyFont="1" applyFill="1" applyBorder="1" applyAlignment="1" applyProtection="1">
      <alignment vertical="center" wrapText="1"/>
    </xf>
    <xf numFmtId="179" fontId="0" fillId="0" borderId="0" xfId="310" applyNumberFormat="1" applyFont="1" applyFill="1" applyBorder="1" applyAlignment="1">
      <alignment horizontal="left" vertical="center"/>
    </xf>
    <xf numFmtId="180" fontId="13" fillId="3" borderId="5" xfId="414" applyNumberFormat="1" applyFont="1" applyFill="1" applyBorder="1" applyAlignment="1" applyProtection="1">
      <alignment horizontal="center" vertical="center" wrapText="1"/>
    </xf>
    <xf numFmtId="0" fontId="13" fillId="3" borderId="8" xfId="414" applyNumberFormat="1" applyFont="1" applyFill="1" applyBorder="1" applyAlignment="1" applyProtection="1">
      <alignment horizontal="center" vertical="center" wrapText="1"/>
    </xf>
    <xf numFmtId="0" fontId="13" fillId="3" borderId="9" xfId="414" applyNumberFormat="1" applyFont="1" applyFill="1" applyBorder="1" applyAlignment="1" applyProtection="1">
      <alignment horizontal="center" vertical="center" wrapText="1"/>
    </xf>
    <xf numFmtId="180" fontId="13" fillId="3" borderId="6" xfId="414" applyNumberFormat="1" applyFont="1" applyFill="1" applyBorder="1" applyAlignment="1" applyProtection="1">
      <alignment horizontal="center" vertical="center" wrapText="1"/>
    </xf>
    <xf numFmtId="0" fontId="13" fillId="3" borderId="7" xfId="414" applyNumberFormat="1" applyFont="1" applyFill="1" applyBorder="1" applyAlignment="1" applyProtection="1">
      <alignment horizontal="center" vertical="center" wrapText="1"/>
    </xf>
    <xf numFmtId="179" fontId="14" fillId="4" borderId="7" xfId="310" applyNumberFormat="1" applyFont="1" applyFill="1" applyBorder="1">
      <alignment vertical="center"/>
    </xf>
    <xf numFmtId="179" fontId="14" fillId="4" borderId="10" xfId="310" applyNumberFormat="1" applyFont="1" applyFill="1" applyBorder="1" applyAlignment="1">
      <alignment horizontal="center" vertical="center"/>
    </xf>
    <xf numFmtId="179" fontId="14" fillId="4" borderId="10" xfId="310" applyNumberFormat="1" applyFont="1" applyFill="1" applyBorder="1">
      <alignment vertical="center"/>
    </xf>
    <xf numFmtId="0" fontId="13" fillId="3" borderId="10" xfId="414" applyNumberFormat="1" applyFont="1" applyFill="1" applyBorder="1" applyAlignment="1" applyProtection="1">
      <alignment horizontal="center" vertical="center" wrapText="1"/>
    </xf>
    <xf numFmtId="182" fontId="14" fillId="4" borderId="10" xfId="310" applyNumberFormat="1" applyFont="1" applyFill="1" applyBorder="1" applyAlignment="1" applyProtection="1">
      <alignment horizontal="center" vertical="center"/>
    </xf>
    <xf numFmtId="180" fontId="22" fillId="4" borderId="7" xfId="293" applyNumberFormat="1" applyFont="1" applyFill="1" applyBorder="1" applyAlignment="1" applyProtection="1">
      <alignment horizontal="center" vertical="center"/>
    </xf>
    <xf numFmtId="180" fontId="27" fillId="4" borderId="7" xfId="414" applyNumberFormat="1" applyFont="1" applyFill="1" applyBorder="1" applyAlignment="1" applyProtection="1">
      <alignment horizontal="center" vertical="center"/>
    </xf>
    <xf numFmtId="182" fontId="14" fillId="0" borderId="0" xfId="310" applyNumberFormat="1" applyFont="1" applyFill="1" applyBorder="1" applyAlignment="1" applyProtection="1">
      <alignment horizontal="center" vertical="center"/>
    </xf>
    <xf numFmtId="180" fontId="10" fillId="0" borderId="0" xfId="110" applyNumberFormat="1" applyFont="1" applyFill="1" applyBorder="1" applyAlignment="1" applyProtection="1">
      <alignment horizontal="center" vertical="center" wrapText="1"/>
    </xf>
    <xf numFmtId="0" fontId="11" fillId="3" borderId="5" xfId="110" applyNumberFormat="1" applyFont="1" applyFill="1" applyBorder="1" applyAlignment="1" applyProtection="1">
      <alignment horizontal="center" vertical="center" wrapText="1"/>
    </xf>
    <xf numFmtId="180" fontId="8" fillId="3" borderId="5" xfId="110" applyNumberFormat="1" applyFont="1" applyFill="1" applyBorder="1" applyAlignment="1" applyProtection="1">
      <alignment horizontal="center" vertical="center" wrapText="1"/>
    </xf>
    <xf numFmtId="0" fontId="11" fillId="3" borderId="6" xfId="110" applyNumberFormat="1" applyFont="1" applyFill="1" applyBorder="1" applyAlignment="1" applyProtection="1">
      <alignment horizontal="center" vertical="center" wrapText="1"/>
    </xf>
    <xf numFmtId="180" fontId="8" fillId="3" borderId="6" xfId="110" applyNumberFormat="1" applyFont="1" applyFill="1" applyBorder="1" applyAlignment="1" applyProtection="1">
      <alignment horizontal="center" vertical="center" wrapText="1"/>
    </xf>
    <xf numFmtId="182" fontId="14" fillId="4" borderId="7" xfId="310" applyNumberFormat="1" applyFont="1" applyFill="1" applyBorder="1" applyAlignment="1" applyProtection="1">
      <alignment horizontal="center" vertical="center"/>
    </xf>
    <xf numFmtId="180" fontId="16" fillId="0" borderId="7" xfId="310" applyNumberFormat="1" applyFont="1" applyFill="1" applyBorder="1" applyAlignment="1">
      <alignment horizontal="center" vertical="center" wrapText="1"/>
    </xf>
    <xf numFmtId="182" fontId="14" fillId="0" borderId="7" xfId="310" applyNumberFormat="1" applyFont="1" applyFill="1" applyBorder="1" applyAlignment="1" applyProtection="1">
      <alignment horizontal="center" vertical="center"/>
    </xf>
    <xf numFmtId="180" fontId="19" fillId="4" borderId="7" xfId="310" applyNumberFormat="1" applyFont="1" applyFill="1" applyBorder="1" applyAlignment="1" applyProtection="1">
      <alignment horizontal="center" vertical="center" shrinkToFit="1"/>
    </xf>
    <xf numFmtId="182" fontId="14" fillId="4" borderId="7" xfId="310" applyNumberFormat="1" applyFont="1" applyFill="1" applyBorder="1" applyAlignment="1" applyProtection="1">
      <alignment horizontal="center" vertical="center" shrinkToFit="1"/>
    </xf>
    <xf numFmtId="180" fontId="6" fillId="0" borderId="0" xfId="0" applyNumberFormat="1" applyFont="1" applyFill="1" applyBorder="1" applyAlignment="1" applyProtection="1">
      <alignment vertical="center"/>
    </xf>
    <xf numFmtId="49" fontId="6" fillId="0" borderId="0" xfId="310" applyNumberFormat="1" applyFont="1" applyFill="1" applyBorder="1" applyAlignment="1" applyProtection="1">
      <alignment horizontal="center" vertical="center"/>
    </xf>
    <xf numFmtId="49" fontId="12" fillId="3" borderId="5" xfId="414" applyNumberFormat="1" applyFont="1" applyFill="1" applyBorder="1" applyAlignment="1" applyProtection="1">
      <alignment horizontal="center" vertical="center" wrapText="1"/>
    </xf>
    <xf numFmtId="49" fontId="12" fillId="3" borderId="6" xfId="414" applyNumberFormat="1" applyFont="1" applyFill="1" applyBorder="1" applyAlignment="1" applyProtection="1">
      <alignment horizontal="center" vertical="center" wrapText="1"/>
    </xf>
    <xf numFmtId="0" fontId="27" fillId="4" borderId="7" xfId="310" applyFont="1" applyFill="1" applyBorder="1" applyAlignment="1">
      <alignment horizontal="center" vertical="center"/>
    </xf>
    <xf numFmtId="0" fontId="27" fillId="4" borderId="7" xfId="310" applyFont="1" applyFill="1" applyBorder="1" applyAlignment="1">
      <alignment horizontal="center" vertical="center" shrinkToFit="1"/>
    </xf>
    <xf numFmtId="14" fontId="6" fillId="0" borderId="8" xfId="310" applyNumberFormat="1" applyFill="1" applyBorder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178" fontId="28" fillId="0" borderId="0" xfId="0" applyNumberFormat="1" applyFont="1" applyFill="1" applyAlignment="1" applyProtection="1">
      <alignment vertical="center"/>
      <protection locked="0"/>
    </xf>
    <xf numFmtId="0" fontId="29" fillId="2" borderId="5" xfId="411" applyNumberFormat="1" applyFont="1" applyFill="1" applyBorder="1" applyAlignment="1" applyProtection="1">
      <alignment horizontal="center" vertical="center" wrapText="1"/>
    </xf>
    <xf numFmtId="178" fontId="30" fillId="2" borderId="5" xfId="411" applyNumberFormat="1" applyFont="1" applyFill="1" applyBorder="1" applyAlignment="1" applyProtection="1">
      <alignment vertical="center" wrapText="1"/>
    </xf>
    <xf numFmtId="0" fontId="14" fillId="0" borderId="7" xfId="0" applyFont="1" applyFill="1" applyBorder="1" applyAlignment="1" applyProtection="1">
      <alignment horizontal="left" vertical="center"/>
      <protection locked="0"/>
    </xf>
    <xf numFmtId="14" fontId="14" fillId="0" borderId="7" xfId="0" applyNumberFormat="1" applyFont="1" applyFill="1" applyBorder="1" applyAlignment="1" applyProtection="1">
      <alignment horizontal="left" vertical="center"/>
      <protection locked="0"/>
    </xf>
    <xf numFmtId="49" fontId="31" fillId="3" borderId="7" xfId="0" applyNumberFormat="1" applyFont="1" applyFill="1" applyBorder="1" applyAlignment="1" applyProtection="1">
      <alignment horizontal="center" vertical="center"/>
    </xf>
    <xf numFmtId="49" fontId="31" fillId="3" borderId="7" xfId="0" applyNumberFormat="1" applyFont="1" applyFill="1" applyBorder="1" applyAlignment="1" applyProtection="1">
      <alignment horizontal="left" vertical="center"/>
    </xf>
    <xf numFmtId="183" fontId="14" fillId="0" borderId="7" xfId="0" applyNumberFormat="1" applyFont="1" applyFill="1" applyBorder="1" applyAlignment="1" applyProtection="1">
      <alignment horizontal="left" vertical="center"/>
      <protection locked="0"/>
    </xf>
    <xf numFmtId="49" fontId="27" fillId="0" borderId="7" xfId="211" applyNumberFormat="1" applyFont="1" applyFill="1" applyBorder="1" applyAlignment="1" applyProtection="1">
      <alignment vertical="center" wrapText="1"/>
    </xf>
    <xf numFmtId="0" fontId="29" fillId="2" borderId="5" xfId="411" applyNumberFormat="1" applyFont="1" applyFill="1" applyBorder="1" applyAlignment="1" applyProtection="1">
      <alignment vertical="center" wrapText="1"/>
    </xf>
    <xf numFmtId="0" fontId="29" fillId="6" borderId="5" xfId="411" applyNumberFormat="1" applyFont="1" applyFill="1" applyBorder="1" applyAlignment="1" applyProtection="1">
      <alignment vertical="center" wrapText="1"/>
    </xf>
    <xf numFmtId="0" fontId="29" fillId="7" borderId="5" xfId="411" applyNumberFormat="1" applyFont="1" applyFill="1" applyBorder="1" applyAlignment="1" applyProtection="1">
      <alignment vertical="center" wrapText="1"/>
    </xf>
    <xf numFmtId="0" fontId="32" fillId="3" borderId="7" xfId="0" applyFont="1" applyFill="1" applyBorder="1" applyAlignment="1" applyProtection="1">
      <alignment horizontal="center" vertical="center" wrapText="1"/>
    </xf>
    <xf numFmtId="177" fontId="14" fillId="0" borderId="7" xfId="0" applyNumberFormat="1" applyFont="1" applyFill="1" applyBorder="1" applyAlignment="1" applyProtection="1">
      <alignment horizontal="left" vertical="center"/>
      <protection locked="0"/>
    </xf>
    <xf numFmtId="49" fontId="31" fillId="0" borderId="7" xfId="0" applyNumberFormat="1" applyFont="1" applyFill="1" applyBorder="1" applyAlignment="1" applyProtection="1">
      <alignment horizontal="left" vertical="center"/>
    </xf>
    <xf numFmtId="0" fontId="6" fillId="0" borderId="8" xfId="310" applyNumberFormat="1" applyFill="1" applyBorder="1">
      <alignment vertical="center"/>
    </xf>
    <xf numFmtId="182" fontId="6" fillId="0" borderId="0" xfId="310" applyNumberFormat="1">
      <alignment vertical="center"/>
    </xf>
    <xf numFmtId="0" fontId="33" fillId="0" borderId="0" xfId="0" applyNumberFormat="1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177" fontId="34" fillId="8" borderId="11" xfId="0" applyNumberFormat="1" applyFont="1" applyFill="1" applyBorder="1" applyAlignment="1">
      <alignment horizontal="center" vertical="center" wrapText="1"/>
    </xf>
    <xf numFmtId="177" fontId="34" fillId="8" borderId="12" xfId="0" applyNumberFormat="1" applyFont="1" applyFill="1" applyBorder="1" applyAlignment="1">
      <alignment horizontal="center" vertical="center" wrapText="1"/>
    </xf>
    <xf numFmtId="49" fontId="34" fillId="8" borderId="12" xfId="0" applyNumberFormat="1" applyFont="1" applyFill="1" applyBorder="1" applyAlignment="1">
      <alignment horizontal="center" vertical="center" wrapText="1"/>
    </xf>
    <xf numFmtId="177" fontId="34" fillId="8" borderId="13" xfId="0" applyNumberFormat="1" applyFont="1" applyFill="1" applyBorder="1" applyAlignment="1">
      <alignment horizontal="center" vertical="center" wrapText="1"/>
    </xf>
    <xf numFmtId="177" fontId="34" fillId="8" borderId="7" xfId="0" applyNumberFormat="1" applyFont="1" applyFill="1" applyBorder="1" applyAlignment="1">
      <alignment horizontal="center" vertical="center"/>
    </xf>
    <xf numFmtId="177" fontId="34" fillId="8" borderId="7" xfId="0" applyNumberFormat="1" applyFont="1" applyFill="1" applyBorder="1" applyAlignment="1">
      <alignment horizontal="center" vertical="center" wrapText="1"/>
    </xf>
    <xf numFmtId="49" fontId="34" fillId="8" borderId="7" xfId="0" applyNumberFormat="1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49" fontId="27" fillId="0" borderId="7" xfId="211" applyNumberFormat="1" applyFont="1" applyFill="1" applyBorder="1" applyProtection="1">
      <alignment vertical="center"/>
    </xf>
    <xf numFmtId="177" fontId="16" fillId="0" borderId="7" xfId="0" applyNumberFormat="1" applyFont="1" applyFill="1" applyBorder="1" applyAlignment="1">
      <alignment horizontal="center" vertical="center"/>
    </xf>
    <xf numFmtId="49" fontId="16" fillId="0" borderId="14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27" fillId="0" borderId="5" xfId="211" applyNumberFormat="1" applyFont="1" applyFill="1" applyBorder="1" applyProtection="1">
      <alignment vertical="center"/>
    </xf>
    <xf numFmtId="49" fontId="27" fillId="0" borderId="5" xfId="211" applyNumberFormat="1" applyFont="1" applyFill="1" applyBorder="1" applyAlignment="1" applyProtection="1">
      <alignment vertical="center" wrapText="1"/>
    </xf>
    <xf numFmtId="177" fontId="16" fillId="0" borderId="5" xfId="0" applyNumberFormat="1" applyFont="1" applyFill="1" applyBorder="1" applyAlignment="1">
      <alignment horizontal="center" vertical="center"/>
    </xf>
    <xf numFmtId="0" fontId="35" fillId="8" borderId="15" xfId="0" applyNumberFormat="1" applyFont="1" applyFill="1" applyBorder="1" applyAlignment="1">
      <alignment horizontal="center" vertical="center"/>
    </xf>
    <xf numFmtId="0" fontId="35" fillId="8" borderId="16" xfId="0" applyNumberFormat="1" applyFont="1" applyFill="1" applyBorder="1" applyAlignment="1">
      <alignment horizontal="center" vertical="center"/>
    </xf>
    <xf numFmtId="177" fontId="33" fillId="0" borderId="0" xfId="0" applyNumberFormat="1" applyFont="1" applyFill="1" applyAlignment="1">
      <alignment horizontal="center" vertical="center"/>
    </xf>
    <xf numFmtId="179" fontId="34" fillId="8" borderId="7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7" xfId="361" applyNumberFormat="1" applyFont="1" applyFill="1" applyBorder="1" applyAlignment="1" applyProtection="1">
      <alignment horizontal="center" vertical="center"/>
    </xf>
    <xf numFmtId="0" fontId="16" fillId="0" borderId="7" xfId="311" applyNumberFormat="1" applyFont="1" applyFill="1" applyBorder="1" applyAlignment="1" applyProtection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5" xfId="361" applyNumberFormat="1" applyFont="1" applyFill="1" applyBorder="1" applyAlignment="1" applyProtection="1">
      <alignment horizontal="center" vertical="center"/>
    </xf>
    <xf numFmtId="0" fontId="16" fillId="0" borderId="5" xfId="311" applyNumberFormat="1" applyFont="1" applyFill="1" applyBorder="1" applyAlignment="1" applyProtection="1">
      <alignment horizontal="center" vertical="center"/>
    </xf>
    <xf numFmtId="179" fontId="33" fillId="0" borderId="0" xfId="0" applyNumberFormat="1" applyFont="1" applyFill="1" applyAlignment="1">
      <alignment horizontal="center" vertical="center"/>
    </xf>
    <xf numFmtId="184" fontId="16" fillId="0" borderId="7" xfId="273" applyNumberFormat="1" applyFont="1" applyFill="1" applyBorder="1" applyAlignment="1" applyProtection="1">
      <alignment horizontal="center" vertical="center"/>
    </xf>
    <xf numFmtId="184" fontId="16" fillId="0" borderId="7" xfId="385" applyNumberFormat="1" applyFont="1" applyFill="1" applyBorder="1" applyAlignment="1" applyProtection="1">
      <alignment horizontal="center" vertical="center"/>
    </xf>
    <xf numFmtId="4" fontId="16" fillId="0" borderId="7" xfId="0" applyNumberFormat="1" applyFont="1" applyFill="1" applyBorder="1" applyAlignment="1">
      <alignment horizontal="center" vertical="center" wrapText="1"/>
    </xf>
    <xf numFmtId="0" fontId="16" fillId="0" borderId="7" xfId="387" applyNumberFormat="1" applyFont="1" applyFill="1" applyBorder="1" applyAlignment="1" applyProtection="1">
      <alignment horizontal="center" vertical="center"/>
    </xf>
    <xf numFmtId="184" fontId="16" fillId="0" borderId="5" xfId="273" applyNumberFormat="1" applyFont="1" applyFill="1" applyBorder="1" applyAlignment="1" applyProtection="1">
      <alignment horizontal="center" vertical="center"/>
    </xf>
    <xf numFmtId="184" fontId="16" fillId="0" borderId="5" xfId="385" applyNumberFormat="1" applyFont="1" applyFill="1" applyBorder="1" applyAlignment="1" applyProtection="1">
      <alignment horizontal="center" vertical="center"/>
    </xf>
    <xf numFmtId="4" fontId="16" fillId="0" borderId="5" xfId="0" applyNumberFormat="1" applyFont="1" applyFill="1" applyBorder="1" applyAlignment="1">
      <alignment horizontal="center" vertical="center" wrapText="1"/>
    </xf>
    <xf numFmtId="0" fontId="16" fillId="0" borderId="5" xfId="387" applyNumberFormat="1" applyFont="1" applyFill="1" applyBorder="1" applyAlignment="1" applyProtection="1">
      <alignment horizontal="center" vertical="center"/>
    </xf>
    <xf numFmtId="0" fontId="16" fillId="0" borderId="7" xfId="49" applyNumberFormat="1" applyFont="1" applyFill="1" applyBorder="1" applyAlignment="1" applyProtection="1">
      <alignment horizontal="center" vertical="center"/>
    </xf>
    <xf numFmtId="0" fontId="16" fillId="0" borderId="7" xfId="388" applyNumberFormat="1" applyFont="1" applyFill="1" applyBorder="1" applyAlignment="1" applyProtection="1">
      <alignment horizontal="center" vertical="center"/>
    </xf>
    <xf numFmtId="0" fontId="16" fillId="0" borderId="5" xfId="49" applyNumberFormat="1" applyFont="1" applyFill="1" applyBorder="1" applyAlignment="1" applyProtection="1">
      <alignment horizontal="center" vertical="center"/>
    </xf>
    <xf numFmtId="0" fontId="16" fillId="0" borderId="5" xfId="388" applyNumberFormat="1" applyFont="1" applyFill="1" applyBorder="1" applyAlignment="1" applyProtection="1">
      <alignment horizontal="center" vertical="center"/>
    </xf>
    <xf numFmtId="184" fontId="16" fillId="0" borderId="7" xfId="389" applyNumberFormat="1" applyFont="1" applyFill="1" applyBorder="1" applyAlignment="1" applyProtection="1">
      <alignment horizontal="center" vertical="center"/>
    </xf>
    <xf numFmtId="0" fontId="16" fillId="0" borderId="7" xfId="389" applyNumberFormat="1" applyFont="1" applyFill="1" applyBorder="1" applyAlignment="1">
      <alignment horizontal="center" vertical="center" wrapText="1"/>
    </xf>
    <xf numFmtId="184" fontId="16" fillId="0" borderId="5" xfId="389" applyNumberFormat="1" applyFont="1" applyFill="1" applyBorder="1" applyAlignment="1" applyProtection="1">
      <alignment horizontal="center" vertical="center"/>
    </xf>
    <xf numFmtId="0" fontId="16" fillId="0" borderId="5" xfId="389" applyNumberFormat="1" applyFont="1" applyFill="1" applyBorder="1" applyAlignment="1">
      <alignment horizontal="center" vertical="center" wrapText="1"/>
    </xf>
    <xf numFmtId="180" fontId="34" fillId="8" borderId="7" xfId="0" applyNumberFormat="1" applyFont="1" applyFill="1" applyBorder="1" applyAlignment="1">
      <alignment horizontal="center" vertical="center" wrapText="1"/>
    </xf>
    <xf numFmtId="180" fontId="16" fillId="0" borderId="7" xfId="0" applyNumberFormat="1" applyFont="1" applyFill="1" applyBorder="1" applyAlignment="1">
      <alignment horizontal="center" vertical="center" wrapText="1"/>
    </xf>
    <xf numFmtId="180" fontId="16" fillId="0" borderId="5" xfId="0" applyNumberFormat="1" applyFont="1" applyFill="1" applyBorder="1" applyAlignment="1">
      <alignment horizontal="center" vertical="center" wrapText="1"/>
    </xf>
    <xf numFmtId="180" fontId="34" fillId="0" borderId="17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Alignment="1">
      <alignment horizontal="center" vertical="center"/>
    </xf>
    <xf numFmtId="180" fontId="34" fillId="0" borderId="18" xfId="0" applyNumberFormat="1" applyFont="1" applyFill="1" applyBorder="1" applyAlignment="1">
      <alignment horizontal="center" vertical="center"/>
    </xf>
    <xf numFmtId="180" fontId="16" fillId="0" borderId="18" xfId="0" applyNumberFormat="1" applyFont="1" applyFill="1" applyBorder="1" applyAlignment="1">
      <alignment horizontal="center" vertical="center"/>
    </xf>
    <xf numFmtId="177" fontId="36" fillId="0" borderId="0" xfId="0" applyNumberFormat="1" applyFont="1" applyFill="1" applyAlignment="1">
      <alignment vertical="center"/>
    </xf>
    <xf numFmtId="0" fontId="16" fillId="0" borderId="0" xfId="0" applyNumberFormat="1" applyFont="1" applyFill="1" applyAlignment="1">
      <alignment horizontal="center" vertical="center"/>
    </xf>
    <xf numFmtId="180" fontId="16" fillId="0" borderId="19" xfId="0" applyNumberFormat="1" applyFont="1" applyFill="1" applyBorder="1" applyAlignment="1">
      <alignment horizontal="center" vertical="center"/>
    </xf>
    <xf numFmtId="0" fontId="35" fillId="0" borderId="20" xfId="0" applyNumberFormat="1" applyFont="1" applyFill="1" applyBorder="1" applyAlignment="1">
      <alignment horizontal="center" vertical="center"/>
    </xf>
    <xf numFmtId="185" fontId="33" fillId="0" borderId="0" xfId="0" applyNumberFormat="1" applyFont="1" applyFill="1" applyAlignment="1">
      <alignment horizontal="center" vertical="center"/>
    </xf>
    <xf numFmtId="177" fontId="37" fillId="9" borderId="0" xfId="477" applyFont="1" applyFill="1" applyBorder="1" applyAlignment="1">
      <alignment horizontal="center" vertical="center"/>
    </xf>
    <xf numFmtId="177" fontId="38" fillId="9" borderId="0" xfId="477" applyNumberFormat="1" applyFont="1" applyFill="1" applyBorder="1" applyAlignment="1" applyProtection="1">
      <alignment horizontal="center" vertical="center"/>
      <protection locked="0"/>
    </xf>
    <xf numFmtId="177" fontId="38" fillId="9" borderId="0" xfId="477" applyNumberFormat="1" applyFont="1" applyFill="1" applyBorder="1" applyAlignment="1" applyProtection="1">
      <alignment horizontal="left" vertical="center"/>
      <protection locked="0"/>
    </xf>
    <xf numFmtId="177" fontId="39" fillId="9" borderId="0" xfId="477" applyNumberFormat="1" applyFont="1" applyFill="1" applyBorder="1" applyAlignment="1" applyProtection="1">
      <alignment horizontal="center" vertical="center"/>
      <protection locked="0"/>
    </xf>
    <xf numFmtId="177" fontId="40" fillId="9" borderId="0" xfId="477" applyNumberFormat="1" applyFont="1" applyFill="1" applyBorder="1" applyAlignment="1" applyProtection="1">
      <alignment horizontal="left" vertical="center"/>
      <protection locked="0"/>
    </xf>
    <xf numFmtId="177" fontId="41" fillId="9" borderId="0" xfId="0" applyNumberFormat="1" applyFont="1" applyFill="1" applyBorder="1" applyAlignment="1" applyProtection="1">
      <alignment horizontal="right" vertical="center"/>
      <protection locked="0"/>
    </xf>
    <xf numFmtId="49" fontId="42" fillId="9" borderId="0" xfId="479" applyNumberFormat="1" applyFont="1" applyFill="1" applyBorder="1" applyAlignment="1" applyProtection="1">
      <alignment horizontal="left" vertical="center"/>
      <protection locked="0"/>
    </xf>
    <xf numFmtId="177" fontId="43" fillId="9" borderId="0" xfId="0" applyNumberFormat="1" applyFont="1" applyFill="1" applyBorder="1" applyAlignment="1" applyProtection="1">
      <alignment horizontal="left" vertical="center"/>
      <protection locked="0"/>
    </xf>
    <xf numFmtId="177" fontId="44" fillId="9" borderId="0" xfId="477" applyFont="1" applyFill="1" applyBorder="1" applyAlignment="1">
      <alignment horizontal="right" vertical="center"/>
    </xf>
    <xf numFmtId="14" fontId="45" fillId="9" borderId="0" xfId="0" applyNumberFormat="1" applyFont="1" applyFill="1" applyBorder="1" applyAlignment="1" applyProtection="1">
      <alignment horizontal="left" vertical="center"/>
      <protection locked="0"/>
    </xf>
    <xf numFmtId="177" fontId="45" fillId="9" borderId="0" xfId="0" applyNumberFormat="1" applyFont="1" applyFill="1" applyBorder="1" applyAlignment="1" applyProtection="1">
      <alignment horizontal="right" vertical="center"/>
      <protection locked="0"/>
    </xf>
    <xf numFmtId="177" fontId="29" fillId="9" borderId="0" xfId="0" applyNumberFormat="1" applyFont="1" applyFill="1" applyBorder="1" applyAlignment="1">
      <alignment horizontal="left" vertical="center" wrapText="1"/>
    </xf>
    <xf numFmtId="177" fontId="29" fillId="9" borderId="0" xfId="0" applyNumberFormat="1" applyFont="1" applyFill="1" applyBorder="1" applyAlignment="1">
      <alignment horizontal="left" vertical="center"/>
    </xf>
    <xf numFmtId="177" fontId="46" fillId="9" borderId="0" xfId="0" applyNumberFormat="1" applyFont="1" applyFill="1" applyBorder="1" applyAlignment="1" applyProtection="1">
      <alignment horizontal="right" vertical="center"/>
      <protection locked="0"/>
    </xf>
    <xf numFmtId="177" fontId="40" fillId="9" borderId="0" xfId="477" applyNumberFormat="1" applyFont="1" applyFill="1" applyBorder="1" applyAlignment="1" applyProtection="1">
      <alignment horizontal="center" vertical="center"/>
      <protection locked="0"/>
    </xf>
    <xf numFmtId="177" fontId="29" fillId="9" borderId="0" xfId="0" applyNumberFormat="1" applyFont="1" applyFill="1" applyBorder="1" applyAlignment="1" applyProtection="1">
      <alignment horizontal="left" vertical="center"/>
      <protection locked="0"/>
    </xf>
    <xf numFmtId="177" fontId="46" fillId="9" borderId="0" xfId="0" applyNumberFormat="1" applyFont="1" applyFill="1" applyBorder="1" applyAlignment="1" applyProtection="1">
      <alignment horizontal="left" vertical="center"/>
      <protection locked="0"/>
    </xf>
    <xf numFmtId="177" fontId="47" fillId="9" borderId="0" xfId="477" applyNumberFormat="1" applyFont="1" applyFill="1" applyBorder="1" applyAlignment="1" applyProtection="1">
      <alignment horizontal="center" vertical="center"/>
      <protection locked="0"/>
    </xf>
    <xf numFmtId="187" fontId="45" fillId="9" borderId="0" xfId="479" applyNumberFormat="1" applyFont="1" applyFill="1" applyBorder="1" applyAlignment="1" applyProtection="1">
      <alignment horizontal="left" vertical="center"/>
      <protection locked="0"/>
    </xf>
    <xf numFmtId="187" fontId="46" fillId="9" borderId="0" xfId="479" applyNumberFormat="1" applyFont="1" applyFill="1" applyBorder="1" applyAlignment="1" applyProtection="1">
      <alignment horizontal="left" vertical="center"/>
      <protection locked="0"/>
    </xf>
    <xf numFmtId="177" fontId="29" fillId="9" borderId="21" xfId="0" applyNumberFormat="1" applyFont="1" applyFill="1" applyBorder="1" applyAlignment="1" applyProtection="1">
      <alignment horizontal="center" vertical="center"/>
      <protection locked="0"/>
    </xf>
    <xf numFmtId="177" fontId="29" fillId="9" borderId="22" xfId="0" applyNumberFormat="1" applyFont="1" applyFill="1" applyBorder="1" applyAlignment="1" applyProtection="1">
      <alignment horizontal="center" vertical="center"/>
      <protection locked="0"/>
    </xf>
    <xf numFmtId="177" fontId="29" fillId="9" borderId="23" xfId="0" applyNumberFormat="1" applyFont="1" applyFill="1" applyBorder="1" applyAlignment="1" applyProtection="1">
      <alignment horizontal="center" vertical="center"/>
      <protection locked="0"/>
    </xf>
    <xf numFmtId="177" fontId="29" fillId="9" borderId="24" xfId="478" applyNumberFormat="1" applyFont="1" applyFill="1" applyBorder="1" applyAlignment="1" applyProtection="1">
      <alignment horizontal="left" vertical="center"/>
      <protection locked="0"/>
    </xf>
    <xf numFmtId="177" fontId="29" fillId="9" borderId="9" xfId="478" applyNumberFormat="1" applyFont="1" applyFill="1" applyBorder="1" applyAlignment="1" applyProtection="1">
      <alignment horizontal="left" vertical="center"/>
      <protection locked="0"/>
    </xf>
    <xf numFmtId="177" fontId="29" fillId="9" borderId="10" xfId="478" applyNumberFormat="1" applyFont="1" applyFill="1" applyBorder="1" applyAlignment="1" applyProtection="1">
      <alignment horizontal="left" vertical="center"/>
      <protection locked="0"/>
    </xf>
    <xf numFmtId="43" fontId="29" fillId="9" borderId="8" xfId="0" applyNumberFormat="1" applyFont="1" applyFill="1" applyBorder="1" applyAlignment="1" applyProtection="1">
      <alignment horizontal="left" vertical="center" shrinkToFit="1"/>
    </xf>
    <xf numFmtId="43" fontId="29" fillId="9" borderId="9" xfId="0" applyNumberFormat="1" applyFont="1" applyFill="1" applyBorder="1" applyAlignment="1" applyProtection="1">
      <alignment horizontal="left" vertical="center" shrinkToFit="1"/>
    </xf>
    <xf numFmtId="43" fontId="29" fillId="9" borderId="25" xfId="0" applyNumberFormat="1" applyFont="1" applyFill="1" applyBorder="1" applyAlignment="1" applyProtection="1">
      <alignment horizontal="left" vertical="center" shrinkToFit="1"/>
    </xf>
    <xf numFmtId="177" fontId="29" fillId="9" borderId="26" xfId="478" applyNumberFormat="1" applyFont="1" applyFill="1" applyBorder="1" applyAlignment="1" applyProtection="1">
      <alignment horizontal="left" vertical="center"/>
      <protection locked="0"/>
    </xf>
    <xf numFmtId="177" fontId="29" fillId="9" borderId="27" xfId="478" applyNumberFormat="1" applyFont="1" applyFill="1" applyBorder="1" applyAlignment="1" applyProtection="1">
      <alignment horizontal="left" vertical="center"/>
      <protection locked="0"/>
    </xf>
    <xf numFmtId="177" fontId="29" fillId="9" borderId="28" xfId="478" applyNumberFormat="1" applyFont="1" applyFill="1" applyBorder="1" applyAlignment="1" applyProtection="1">
      <alignment horizontal="left" vertical="center"/>
      <protection locked="0"/>
    </xf>
    <xf numFmtId="177" fontId="29" fillId="9" borderId="29" xfId="0" applyNumberFormat="1" applyFont="1" applyFill="1" applyBorder="1" applyAlignment="1" applyProtection="1">
      <alignment horizontal="center" vertical="center" shrinkToFit="1"/>
    </xf>
    <xf numFmtId="177" fontId="29" fillId="9" borderId="27" xfId="0" applyNumberFormat="1" applyFont="1" applyFill="1" applyBorder="1" applyAlignment="1" applyProtection="1">
      <alignment horizontal="center" vertical="center" shrinkToFit="1"/>
    </xf>
    <xf numFmtId="177" fontId="29" fillId="9" borderId="30" xfId="0" applyNumberFormat="1" applyFont="1" applyFill="1" applyBorder="1" applyAlignment="1" applyProtection="1">
      <alignment horizontal="center" vertical="center" shrinkToFit="1"/>
    </xf>
    <xf numFmtId="177" fontId="46" fillId="9" borderId="31" xfId="479" applyNumberFormat="1" applyFont="1" applyFill="1" applyBorder="1" applyAlignment="1" applyProtection="1">
      <alignment horizontal="left" vertical="center"/>
      <protection locked="0"/>
    </xf>
    <xf numFmtId="177" fontId="46" fillId="9" borderId="32" xfId="479" applyNumberFormat="1" applyFont="1" applyFill="1" applyBorder="1" applyAlignment="1" applyProtection="1">
      <alignment horizontal="left" vertical="center"/>
      <protection locked="0"/>
    </xf>
    <xf numFmtId="43" fontId="46" fillId="9" borderId="6" xfId="0" applyNumberFormat="1" applyFont="1" applyFill="1" applyBorder="1" applyAlignment="1" applyProtection="1">
      <alignment horizontal="left" vertical="center" shrinkToFit="1"/>
    </xf>
    <xf numFmtId="177" fontId="46" fillId="9" borderId="33" xfId="479" applyNumberFormat="1" applyFont="1" applyFill="1" applyBorder="1" applyAlignment="1" applyProtection="1">
      <alignment horizontal="left" vertical="center"/>
      <protection locked="0"/>
    </xf>
    <xf numFmtId="177" fontId="46" fillId="9" borderId="34" xfId="479" applyNumberFormat="1" applyFont="1" applyFill="1" applyBorder="1" applyAlignment="1" applyProtection="1">
      <alignment horizontal="left" vertical="center"/>
      <protection locked="0"/>
    </xf>
    <xf numFmtId="43" fontId="46" fillId="9" borderId="35" xfId="0" applyNumberFormat="1" applyFont="1" applyFill="1" applyBorder="1" applyAlignment="1" applyProtection="1">
      <alignment horizontal="left" vertical="center" shrinkToFit="1"/>
      <protection locked="0"/>
    </xf>
    <xf numFmtId="177" fontId="48" fillId="9" borderId="24" xfId="164" applyNumberFormat="1" applyFont="1" applyFill="1" applyBorder="1" applyAlignment="1">
      <alignment vertical="center"/>
    </xf>
    <xf numFmtId="177" fontId="48" fillId="9" borderId="10" xfId="164" applyNumberFormat="1" applyFont="1" applyFill="1" applyBorder="1" applyAlignment="1">
      <alignment vertical="center"/>
    </xf>
    <xf numFmtId="43" fontId="46" fillId="9" borderId="7" xfId="0" applyNumberFormat="1" applyFont="1" applyFill="1" applyBorder="1" applyAlignment="1" applyProtection="1">
      <alignment horizontal="left" vertical="center" shrinkToFit="1"/>
      <protection locked="0"/>
    </xf>
    <xf numFmtId="177" fontId="48" fillId="9" borderId="8" xfId="164" applyNumberFormat="1" applyFont="1" applyFill="1" applyBorder="1" applyAlignment="1">
      <alignment horizontal="left" vertical="center"/>
    </xf>
    <xf numFmtId="177" fontId="48" fillId="9" borderId="9" xfId="164" applyNumberFormat="1" applyFont="1" applyFill="1" applyBorder="1" applyAlignment="1">
      <alignment horizontal="left" vertical="center"/>
    </xf>
    <xf numFmtId="177" fontId="48" fillId="9" borderId="10" xfId="164" applyNumberFormat="1" applyFont="1" applyFill="1" applyBorder="1" applyAlignment="1">
      <alignment horizontal="left" vertical="center"/>
    </xf>
    <xf numFmtId="43" fontId="46" fillId="9" borderId="36" xfId="0" applyNumberFormat="1" applyFont="1" applyFill="1" applyBorder="1" applyAlignment="1" applyProtection="1">
      <alignment horizontal="left" vertical="center" shrinkToFit="1"/>
      <protection locked="0"/>
    </xf>
    <xf numFmtId="177" fontId="48" fillId="9" borderId="37" xfId="164" applyNumberFormat="1" applyFont="1" applyFill="1" applyBorder="1" applyAlignment="1">
      <alignment vertical="center"/>
    </xf>
    <xf numFmtId="177" fontId="48" fillId="9" borderId="38" xfId="164" applyNumberFormat="1" applyFont="1" applyFill="1" applyBorder="1" applyAlignment="1">
      <alignment vertical="center"/>
    </xf>
    <xf numFmtId="43" fontId="46" fillId="9" borderId="39" xfId="479" applyNumberFormat="1" applyFont="1" applyFill="1" applyBorder="1" applyAlignment="1" applyProtection="1">
      <alignment horizontal="left" vertical="center" shrinkToFit="1"/>
      <protection locked="0"/>
    </xf>
    <xf numFmtId="186" fontId="46" fillId="9" borderId="40" xfId="479" applyNumberFormat="1" applyFont="1" applyFill="1" applyBorder="1" applyAlignment="1" applyProtection="1">
      <alignment horizontal="left" vertical="center"/>
      <protection locked="0"/>
    </xf>
    <xf numFmtId="186" fontId="46" fillId="9" borderId="41" xfId="479" applyNumberFormat="1" applyFont="1" applyFill="1" applyBorder="1" applyAlignment="1" applyProtection="1">
      <alignment horizontal="left" vertical="center"/>
      <protection locked="0"/>
    </xf>
    <xf numFmtId="186" fontId="46" fillId="9" borderId="38" xfId="479" applyNumberFormat="1" applyFont="1" applyFill="1" applyBorder="1" applyAlignment="1" applyProtection="1">
      <alignment horizontal="left" vertical="center"/>
      <protection locked="0"/>
    </xf>
    <xf numFmtId="43" fontId="46" fillId="9" borderId="42" xfId="479" applyNumberFormat="1" applyFont="1" applyFill="1" applyBorder="1" applyAlignment="1" applyProtection="1">
      <alignment horizontal="left" vertical="center" shrinkToFit="1"/>
      <protection locked="0"/>
    </xf>
    <xf numFmtId="188" fontId="49" fillId="9" borderId="0" xfId="479" applyNumberFormat="1" applyFont="1" applyFill="1" applyBorder="1" applyAlignment="1" applyProtection="1">
      <alignment horizontal="left" vertical="center"/>
      <protection locked="0"/>
    </xf>
    <xf numFmtId="177" fontId="50" fillId="0" borderId="43" xfId="408" applyFont="1" applyFill="1" applyBorder="1" applyAlignment="1">
      <alignment horizontal="center" vertical="center" wrapText="1"/>
    </xf>
    <xf numFmtId="177" fontId="50" fillId="0" borderId="44" xfId="408" applyFont="1" applyFill="1" applyBorder="1" applyAlignment="1">
      <alignment horizontal="center" vertical="center" wrapText="1"/>
    </xf>
    <xf numFmtId="177" fontId="50" fillId="0" borderId="45" xfId="408" applyFont="1" applyFill="1" applyBorder="1" applyAlignment="1">
      <alignment horizontal="center" vertical="center" wrapText="1"/>
    </xf>
    <xf numFmtId="177" fontId="50" fillId="0" borderId="46" xfId="408" applyFont="1" applyFill="1" applyBorder="1" applyAlignment="1">
      <alignment horizontal="center" vertical="center" wrapText="1"/>
    </xf>
    <xf numFmtId="183" fontId="50" fillId="0" borderId="44" xfId="408" applyNumberFormat="1" applyFont="1" applyFill="1" applyBorder="1" applyAlignment="1">
      <alignment horizontal="center" vertical="center" wrapText="1"/>
    </xf>
    <xf numFmtId="189" fontId="50" fillId="0" borderId="44" xfId="408" applyNumberFormat="1" applyFont="1" applyFill="1" applyBorder="1" applyAlignment="1">
      <alignment horizontal="center" vertical="center" wrapText="1"/>
    </xf>
    <xf numFmtId="177" fontId="50" fillId="0" borderId="47" xfId="408" applyFont="1" applyFill="1" applyBorder="1" applyAlignment="1">
      <alignment horizontal="center" vertical="center" wrapText="1"/>
    </xf>
    <xf numFmtId="0" fontId="46" fillId="0" borderId="48" xfId="408" applyNumberFormat="1" applyFont="1" applyFill="1" applyBorder="1" applyAlignment="1">
      <alignment horizontal="center" vertical="center"/>
    </xf>
    <xf numFmtId="177" fontId="46" fillId="0" borderId="5" xfId="408" applyFont="1" applyFill="1" applyBorder="1" applyAlignment="1">
      <alignment horizontal="center" vertical="center"/>
    </xf>
    <xf numFmtId="43" fontId="46" fillId="0" borderId="8" xfId="408" applyNumberFormat="1" applyFont="1" applyFill="1" applyBorder="1" applyAlignment="1">
      <alignment horizontal="left" vertical="center"/>
    </xf>
    <xf numFmtId="43" fontId="46" fillId="0" borderId="10" xfId="408" applyNumberFormat="1" applyFont="1" applyFill="1" applyBorder="1" applyAlignment="1">
      <alignment horizontal="left" vertical="center"/>
    </xf>
    <xf numFmtId="183" fontId="46" fillId="0" borderId="7" xfId="408" applyNumberFormat="1" applyFont="1" applyFill="1" applyBorder="1" applyAlignment="1">
      <alignment horizontal="center" vertical="center"/>
    </xf>
    <xf numFmtId="189" fontId="46" fillId="0" borderId="7" xfId="408" applyNumberFormat="1" applyFont="1" applyFill="1" applyBorder="1" applyAlignment="1">
      <alignment horizontal="right" vertical="center"/>
    </xf>
    <xf numFmtId="177" fontId="46" fillId="0" borderId="36" xfId="408" applyFont="1" applyFill="1" applyBorder="1" applyAlignment="1">
      <alignment horizontal="left" vertical="center"/>
    </xf>
    <xf numFmtId="177" fontId="46" fillId="0" borderId="49" xfId="408" applyFont="1" applyFill="1" applyBorder="1" applyAlignment="1">
      <alignment horizontal="center" vertical="center"/>
    </xf>
    <xf numFmtId="43" fontId="46" fillId="0" borderId="7" xfId="408" applyNumberFormat="1" applyFont="1" applyFill="1" applyBorder="1" applyAlignment="1">
      <alignment vertical="center"/>
    </xf>
    <xf numFmtId="43" fontId="46" fillId="0" borderId="7" xfId="408" applyNumberFormat="1" applyFont="1" applyFill="1" applyBorder="1" applyAlignment="1">
      <alignment horizontal="center" vertical="center"/>
    </xf>
    <xf numFmtId="177" fontId="46" fillId="0" borderId="36" xfId="408" applyFont="1" applyFill="1" applyBorder="1" applyAlignment="1">
      <alignment vertical="center" wrapText="1"/>
    </xf>
    <xf numFmtId="177" fontId="46" fillId="0" borderId="6" xfId="408" applyFont="1" applyFill="1" applyBorder="1" applyAlignment="1">
      <alignment horizontal="center" vertical="center"/>
    </xf>
    <xf numFmtId="43" fontId="51" fillId="0" borderId="8" xfId="408" applyNumberFormat="1" applyFont="1" applyFill="1" applyBorder="1" applyAlignment="1">
      <alignment horizontal="center" vertical="center"/>
    </xf>
    <xf numFmtId="43" fontId="51" fillId="0" borderId="10" xfId="408" applyNumberFormat="1" applyFont="1" applyFill="1" applyBorder="1" applyAlignment="1">
      <alignment horizontal="center" vertical="center"/>
    </xf>
    <xf numFmtId="183" fontId="52" fillId="0" borderId="7" xfId="408" applyNumberFormat="1" applyFont="1" applyFill="1" applyBorder="1" applyAlignment="1">
      <alignment horizontal="center" vertical="center"/>
    </xf>
    <xf numFmtId="189" fontId="51" fillId="0" borderId="7" xfId="408" applyNumberFormat="1" applyFont="1" applyFill="1" applyBorder="1" applyAlignment="1">
      <alignment horizontal="right" vertical="center"/>
    </xf>
    <xf numFmtId="177" fontId="46" fillId="0" borderId="36" xfId="408" applyFont="1" applyFill="1" applyBorder="1" applyAlignment="1">
      <alignment vertical="center"/>
    </xf>
    <xf numFmtId="177" fontId="46" fillId="0" borderId="7" xfId="408" applyFont="1" applyFill="1" applyBorder="1" applyAlignment="1">
      <alignment horizontal="center" vertical="center"/>
    </xf>
    <xf numFmtId="183" fontId="51" fillId="0" borderId="7" xfId="408" applyNumberFormat="1" applyFont="1" applyFill="1" applyBorder="1" applyAlignment="1">
      <alignment horizontal="center" vertical="center" wrapText="1"/>
    </xf>
    <xf numFmtId="0" fontId="46" fillId="0" borderId="24" xfId="408" applyNumberFormat="1" applyFont="1" applyFill="1" applyBorder="1" applyAlignment="1">
      <alignment horizontal="center" vertical="center"/>
    </xf>
    <xf numFmtId="177" fontId="46" fillId="0" borderId="9" xfId="408" applyFont="1" applyFill="1" applyBorder="1" applyAlignment="1">
      <alignment horizontal="center" vertical="center"/>
    </xf>
    <xf numFmtId="43" fontId="51" fillId="0" borderId="9" xfId="408" applyNumberFormat="1" applyFont="1" applyFill="1" applyBorder="1" applyAlignment="1">
      <alignment horizontal="center" vertical="center"/>
    </xf>
    <xf numFmtId="43" fontId="51" fillId="0" borderId="9" xfId="408" applyNumberFormat="1" applyFont="1" applyFill="1" applyBorder="1" applyAlignment="1">
      <alignment horizontal="center" vertical="center"/>
    </xf>
    <xf numFmtId="183" fontId="51" fillId="0" borderId="10" xfId="408" applyNumberFormat="1" applyFont="1" applyFill="1" applyBorder="1" applyAlignment="1">
      <alignment horizontal="center" vertical="center" wrapText="1"/>
    </xf>
    <xf numFmtId="177" fontId="29" fillId="10" borderId="24" xfId="408" applyFont="1" applyFill="1" applyBorder="1" applyAlignment="1">
      <alignment horizontal="center" vertical="center"/>
    </xf>
    <xf numFmtId="177" fontId="29" fillId="10" borderId="9" xfId="408" applyFont="1" applyFill="1" applyBorder="1" applyAlignment="1">
      <alignment horizontal="center" vertical="center"/>
    </xf>
    <xf numFmtId="177" fontId="29" fillId="10" borderId="10" xfId="408" applyFont="1" applyFill="1" applyBorder="1" applyAlignment="1">
      <alignment horizontal="center" vertical="center"/>
    </xf>
    <xf numFmtId="189" fontId="29" fillId="10" borderId="7" xfId="408" applyNumberFormat="1" applyFont="1" applyFill="1" applyBorder="1" applyAlignment="1">
      <alignment vertical="center"/>
    </xf>
    <xf numFmtId="177" fontId="46" fillId="10" borderId="36" xfId="408" applyFont="1" applyFill="1" applyBorder="1" applyAlignment="1">
      <alignment horizontal="left" vertical="center"/>
    </xf>
    <xf numFmtId="177" fontId="29" fillId="10" borderId="37" xfId="408" applyFont="1" applyFill="1" applyBorder="1" applyAlignment="1">
      <alignment horizontal="center" vertical="center"/>
    </xf>
    <xf numFmtId="177" fontId="29" fillId="10" borderId="41" xfId="408" applyFont="1" applyFill="1" applyBorder="1" applyAlignment="1">
      <alignment horizontal="center" vertical="center"/>
    </xf>
    <xf numFmtId="177" fontId="29" fillId="10" borderId="38" xfId="408" applyFont="1" applyFill="1" applyBorder="1" applyAlignment="1">
      <alignment horizontal="center" vertical="center"/>
    </xf>
    <xf numFmtId="189" fontId="29" fillId="10" borderId="39" xfId="408" applyNumberFormat="1" applyFont="1" applyFill="1" applyBorder="1" applyAlignment="1">
      <alignment vertical="center"/>
    </xf>
    <xf numFmtId="177" fontId="46" fillId="10" borderId="42" xfId="408" applyFont="1" applyFill="1" applyBorder="1" applyAlignment="1">
      <alignment horizontal="left" vertical="center"/>
    </xf>
    <xf numFmtId="187" fontId="45" fillId="9" borderId="0" xfId="479" applyNumberFormat="1" applyFont="1" applyFill="1" applyBorder="1" applyAlignment="1" applyProtection="1">
      <alignment horizontal="right" vertical="center"/>
      <protection locked="0"/>
    </xf>
    <xf numFmtId="177" fontId="53" fillId="9" borderId="0" xfId="0" applyNumberFormat="1" applyFont="1" applyFill="1" applyAlignment="1">
      <alignment vertical="center"/>
    </xf>
    <xf numFmtId="177" fontId="48" fillId="9" borderId="0" xfId="477" applyNumberFormat="1" applyFont="1" applyFill="1" applyBorder="1" applyAlignment="1" applyProtection="1">
      <alignment horizontal="center" vertical="center"/>
      <protection locked="0"/>
    </xf>
    <xf numFmtId="177" fontId="48" fillId="9" borderId="0" xfId="477" applyFont="1" applyFill="1" applyBorder="1" applyAlignment="1">
      <alignment horizontal="right" vertical="center"/>
    </xf>
    <xf numFmtId="14" fontId="46" fillId="9" borderId="0" xfId="0" applyNumberFormat="1" applyFont="1" applyFill="1" applyBorder="1" applyAlignment="1" applyProtection="1">
      <alignment horizontal="left" vertical="center"/>
      <protection locked="0"/>
    </xf>
    <xf numFmtId="49" fontId="46" fillId="9" borderId="0" xfId="479" applyNumberFormat="1" applyFont="1" applyFill="1" applyBorder="1" applyAlignment="1" applyProtection="1">
      <alignment horizontal="left" vertical="center"/>
      <protection locked="0"/>
    </xf>
    <xf numFmtId="187" fontId="46" fillId="9" borderId="0" xfId="479" applyNumberFormat="1" applyFont="1" applyFill="1" applyBorder="1" applyAlignment="1" applyProtection="1">
      <alignment horizontal="right" vertical="center"/>
      <protection locked="0"/>
    </xf>
    <xf numFmtId="177" fontId="54" fillId="9" borderId="0" xfId="477" applyNumberFormat="1" applyFont="1" applyFill="1" applyBorder="1" applyAlignment="1" applyProtection="1">
      <alignment horizontal="right" vertical="center"/>
      <protection locked="0"/>
    </xf>
    <xf numFmtId="177" fontId="55" fillId="9" borderId="0" xfId="477" applyNumberFormat="1" applyFont="1" applyFill="1" applyBorder="1" applyAlignment="1" applyProtection="1">
      <alignment horizontal="left" vertical="center"/>
      <protection locked="0"/>
    </xf>
    <xf numFmtId="177" fontId="56" fillId="9" borderId="50" xfId="477" applyNumberFormat="1" applyFont="1" applyFill="1" applyBorder="1" applyAlignment="1" applyProtection="1">
      <alignment horizontal="right" vertical="center"/>
      <protection locked="0"/>
    </xf>
    <xf numFmtId="177" fontId="56" fillId="9" borderId="0" xfId="477" applyNumberFormat="1" applyFont="1" applyFill="1" applyBorder="1" applyAlignment="1" applyProtection="1">
      <alignment horizontal="right" vertical="center"/>
      <protection locked="0"/>
    </xf>
    <xf numFmtId="177" fontId="33" fillId="9" borderId="0" xfId="477" applyNumberFormat="1" applyFont="1" applyFill="1" applyBorder="1" applyAlignment="1" applyProtection="1">
      <alignment horizontal="left" vertical="center"/>
      <protection locked="0"/>
    </xf>
    <xf numFmtId="177" fontId="56" fillId="9" borderId="0" xfId="477" applyNumberFormat="1" applyFont="1" applyFill="1" applyBorder="1" applyAlignment="1" applyProtection="1">
      <alignment horizontal="left" vertical="center"/>
      <protection locked="0"/>
    </xf>
    <xf numFmtId="177" fontId="57" fillId="0" borderId="0" xfId="0" applyNumberFormat="1" applyFont="1" applyFill="1" applyAlignment="1">
      <alignment vertical="center"/>
    </xf>
    <xf numFmtId="177" fontId="56" fillId="9" borderId="0" xfId="145" applyNumberFormat="1" applyFont="1" applyFill="1" applyBorder="1" applyAlignment="1">
      <alignment horizontal="left" vertical="center"/>
    </xf>
    <xf numFmtId="177" fontId="33" fillId="9" borderId="0" xfId="477" applyNumberFormat="1" applyFont="1" applyFill="1" applyBorder="1" applyAlignment="1" applyProtection="1">
      <alignment horizontal="right" vertical="center"/>
      <protection locked="0"/>
    </xf>
    <xf numFmtId="177" fontId="56" fillId="9" borderId="0" xfId="145" applyNumberFormat="1" applyFont="1" applyFill="1" applyBorder="1" applyAlignment="1">
      <alignment horizontal="left" vertical="center" wrapText="1"/>
    </xf>
    <xf numFmtId="49" fontId="48" fillId="9" borderId="0" xfId="477" applyNumberFormat="1" applyFont="1" applyFill="1" applyBorder="1" applyAlignment="1" applyProtection="1">
      <alignment horizontal="left" vertical="center"/>
      <protection locked="0"/>
    </xf>
    <xf numFmtId="49" fontId="58" fillId="0" borderId="0" xfId="0" applyNumberFormat="1" applyFont="1" applyFill="1" applyAlignment="1">
      <alignment horizontal="center" vertical="center"/>
    </xf>
    <xf numFmtId="177" fontId="46" fillId="9" borderId="0" xfId="0" applyNumberFormat="1" applyFont="1" applyFill="1" applyAlignment="1">
      <alignment vertical="center"/>
    </xf>
    <xf numFmtId="177" fontId="59" fillId="9" borderId="0" xfId="0" applyNumberFormat="1" applyFont="1" applyFill="1" applyAlignment="1">
      <alignment vertical="center"/>
    </xf>
    <xf numFmtId="177" fontId="53" fillId="9" borderId="0" xfId="0" applyNumberFormat="1" applyFont="1" applyFill="1" applyAlignment="1">
      <alignment horizontal="left" vertical="center" wrapText="1"/>
    </xf>
    <xf numFmtId="177" fontId="0" fillId="0" borderId="0" xfId="0" applyNumberFormat="1" applyFill="1" applyAlignment="1">
      <alignment vertical="center" wrapText="1"/>
    </xf>
    <xf numFmtId="0" fontId="15" fillId="0" borderId="7" xfId="310" applyFont="1" applyFill="1" applyBorder="1" applyAlignment="1" quotePrefix="1">
      <alignment horizontal="center" vertical="center" wrapText="1"/>
    </xf>
    <xf numFmtId="182" fontId="14" fillId="0" borderId="7" xfId="310" applyNumberFormat="1" applyFont="1" applyFill="1" applyBorder="1" applyAlignment="1" applyProtection="1" quotePrefix="1">
      <alignment horizontal="center" vertical="center"/>
    </xf>
    <xf numFmtId="0" fontId="14" fillId="0" borderId="7" xfId="0" applyFont="1" applyFill="1" applyBorder="1" applyAlignment="1" applyProtection="1" quotePrefix="1">
      <alignment horizontal="left" vertical="center"/>
      <protection locked="0"/>
    </xf>
    <xf numFmtId="49" fontId="27" fillId="0" borderId="7" xfId="211" applyNumberFormat="1" applyFont="1" applyFill="1" applyBorder="1" applyAlignment="1" applyProtection="1" quotePrefix="1">
      <alignment vertical="center" wrapText="1"/>
    </xf>
  </cellXfs>
  <cellStyles count="497">
    <cellStyle name="常规" xfId="0" builtinId="0"/>
    <cellStyle name="货币[0]" xfId="1" builtinId="7"/>
    <cellStyle name="链接单元格 3 2" xfId="2"/>
    <cellStyle name="20% - 强调文字颜色 1 2" xfId="3"/>
    <cellStyle name="强调文字颜色 2 5" xfId="4"/>
    <cellStyle name="汇总 4 2" xfId="5"/>
    <cellStyle name="_ET_STYLE_NoName_-01_ 3 3 3 2" xfId="6"/>
    <cellStyle name="20% - 强调文字颜色 3" xfId="7" builtinId="38"/>
    <cellStyle name="输出 3" xfId="8"/>
    <cellStyle name="链接单元格 5" xfId="9"/>
    <cellStyle name="输入" xfId="10" builtinId="20"/>
    <cellStyle name="强调文字颜色 2 3 2" xfId="11"/>
    <cellStyle name="货币" xfId="12" builtinId="4"/>
    <cellStyle name="千位分隔[0]" xfId="13" builtinId="6"/>
    <cellStyle name="常规 3 4 3" xfId="14"/>
    <cellStyle name="40% - 强调文字颜色 3" xfId="15" builtinId="39"/>
    <cellStyle name="计算 2" xfId="16"/>
    <cellStyle name="千位分隔" xfId="17" builtinId="3"/>
    <cellStyle name="常规 7 3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强调文字颜色 1 2 3" xfId="34"/>
    <cellStyle name="常规 5 2" xfId="35"/>
    <cellStyle name="60% - 强调文字颜色 2 2 2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常规 26" xfId="49"/>
    <cellStyle name="计算" xfId="50" builtinId="22"/>
    <cellStyle name="计算 3 2" xfId="51"/>
    <cellStyle name="40% - 强调文字颜色 4 2" xfId="52"/>
    <cellStyle name="检查单元格" xfId="53" builtinId="23"/>
    <cellStyle name="常规 8 3" xfId="54"/>
    <cellStyle name="20% - 强调文字颜色 6" xfId="55" builtinId="50"/>
    <cellStyle name="强调文字颜色 2" xfId="56" builtinId="33"/>
    <cellStyle name="注释 2 3" xfId="57"/>
    <cellStyle name="链接单元格" xfId="58" builtinId="24"/>
    <cellStyle name="60% - 强调文字颜色 4 2 3" xfId="59"/>
    <cellStyle name="40% - 强调文字颜色 6 5" xfId="60"/>
    <cellStyle name="汇总" xfId="61" builtinId="25"/>
    <cellStyle name="好" xfId="62" builtinId="26"/>
    <cellStyle name="输出 3 3" xfId="63"/>
    <cellStyle name="20% - 强调文字颜色 3 3" xfId="64"/>
    <cellStyle name="适中" xfId="65" builtinId="28"/>
    <cellStyle name="输出 5" xfId="66"/>
    <cellStyle name="常规 8 2" xfId="67"/>
    <cellStyle name="20% - 强调文字颜色 5" xfId="68" builtinId="46"/>
    <cellStyle name="检查单元格 3 2" xfId="69"/>
    <cellStyle name=" 3]_x000d__x000a_Zoomed=1_x000d__x000a_Row=128_x000d__x000a_Column=101_x000d__x000a_Height=300_x000d__x000a_Width=301_x000d__x000a_FontName=System_x000d__x000a_FontStyle=1_x000d__x000a_FontSize=12_x000d__x000a_PrtFontNa" xfId="70"/>
    <cellStyle name="强调文字颜色 1" xfId="71" builtinId="29"/>
    <cellStyle name="注释 2 3 3" xfId="72"/>
    <cellStyle name="链接单元格 3" xfId="73"/>
    <cellStyle name="20% - 强调文字颜色 1" xfId="74" builtinId="30"/>
    <cellStyle name="汇总 3 3" xfId="75"/>
    <cellStyle name="40% - 强调文字颜色 4 3 2" xfId="76"/>
    <cellStyle name="??&amp;O龡&amp;H?_x0008_??_x0007__x0001__x0001_" xfId="77"/>
    <cellStyle name="40% - 强调文字颜色 1" xfId="78" builtinId="31"/>
    <cellStyle name="输出 2" xfId="79"/>
    <cellStyle name="链接单元格 4" xfId="80"/>
    <cellStyle name="20% - 强调文字颜色 2" xfId="81" builtinId="34"/>
    <cellStyle name="40% - 强调文字颜色 2" xfId="82" builtinId="35"/>
    <cellStyle name="强调文字颜色 3" xfId="83" builtinId="37"/>
    <cellStyle name="强调文字颜色 4" xfId="84" builtinId="41"/>
    <cellStyle name="输出 4" xfId="85"/>
    <cellStyle name="汇总 3 2 2" xfId="86"/>
    <cellStyle name="20% - 强调文字颜色 4" xfId="87" builtinId="42"/>
    <cellStyle name="计算 3" xfId="88"/>
    <cellStyle name="40% - 强调文字颜色 4" xfId="89" builtinId="43"/>
    <cellStyle name="强调文字颜色 5" xfId="90" builtinId="45"/>
    <cellStyle name="计算 4" xfId="91"/>
    <cellStyle name="40% - 强调文字颜色 5" xfId="92" builtinId="47"/>
    <cellStyle name="注释 3 2 3" xfId="93"/>
    <cellStyle name="60% - 强调文字颜色 5" xfId="94" builtinId="48"/>
    <cellStyle name="强调文字颜色 6" xfId="95" builtinId="49"/>
    <cellStyle name="输出 3 3 2" xfId="96"/>
    <cellStyle name="适中 2" xfId="97"/>
    <cellStyle name="计算 5" xfId="98"/>
    <cellStyle name="20% - 强调文字颜色 3 3 2" xfId="99"/>
    <cellStyle name="40% - 强调文字颜色 6" xfId="100" builtinId="51"/>
    <cellStyle name="60% - 强调文字颜色 6" xfId="101" builtinId="52"/>
    <cellStyle name="标题 4 2 2" xfId="102"/>
    <cellStyle name="_ET_STYLE_NoName_00_" xfId="103"/>
    <cellStyle name="40% - 强调文字颜色 2 2" xfId="104"/>
    <cellStyle name="_ET_STYLE_NoName_00__南区长促工资1004_5" xfId="105"/>
    <cellStyle name="20% - 强调文字颜色 1 2 3" xfId="106"/>
    <cellStyle name="20% - 强调文字颜色 1 4" xfId="107"/>
    <cellStyle name="20% - 强调文字颜色 1 3" xfId="108"/>
    <cellStyle name="差 2 3" xfId="109"/>
    <cellStyle name="??_x005f_x0011_?_x005f_x0010_?" xfId="110"/>
    <cellStyle name="_ET_STYLE_NoName_00__北区长促工资1004_3" xfId="111"/>
    <cellStyle name="20% - 强调文字颜色 1 3 2" xfId="112"/>
    <cellStyle name="强调文字颜色 5 5" xfId="113"/>
    <cellStyle name="0,0_x000a__x000a_NA_x000a__x000a_" xfId="114"/>
    <cellStyle name="常规 2 3 2 3" xfId="115"/>
    <cellStyle name="20% - 强调文字颜色 1 2 2" xfId="116"/>
    <cellStyle name="好 2" xfId="117"/>
    <cellStyle name="20% - 强调文字颜色 1 5" xfId="118"/>
    <cellStyle name="输出 2 2" xfId="119"/>
    <cellStyle name="20% - 强调文字颜色 2 2" xfId="120"/>
    <cellStyle name="输出 2 2 2" xfId="121"/>
    <cellStyle name="20% - 强调文字颜色 2 2 2" xfId="122"/>
    <cellStyle name="输出 2 2 3" xfId="123"/>
    <cellStyle name="20% - 强调文字颜色 2 2 3" xfId="124"/>
    <cellStyle name="输出 2 3" xfId="125"/>
    <cellStyle name="20% - 强调文字颜色 2 3" xfId="126"/>
    <cellStyle name="输出 2 3 2" xfId="127"/>
    <cellStyle name="20% - 强调文字颜色 2 3 2" xfId="128"/>
    <cellStyle name="输出 2 4" xfId="129"/>
    <cellStyle name="20% - 强调文字颜色 2 4" xfId="130"/>
    <cellStyle name="输出 2 5" xfId="131"/>
    <cellStyle name="20% - 强调文字颜色 2 5" xfId="132"/>
    <cellStyle name="输出 3 2" xfId="133"/>
    <cellStyle name="20% - 强调文字颜色 3 2" xfId="134"/>
    <cellStyle name="输出 3 2 2" xfId="135"/>
    <cellStyle name="20% - 强调文字颜色 3 2 2" xfId="136"/>
    <cellStyle name="输出 3 2 3" xfId="137"/>
    <cellStyle name="20% - 强调文字颜色 3 2 3" xfId="138"/>
    <cellStyle name="输出 3 4" xfId="139"/>
    <cellStyle name="60% - 强调文字颜色 1 2" xfId="140"/>
    <cellStyle name="20% - 强调文字颜色 3 4" xfId="141"/>
    <cellStyle name="60% - 强调文字颜色 1 3" xfId="142"/>
    <cellStyle name="20% - 强调文字颜色 3 5" xfId="143"/>
    <cellStyle name="输出 4 2" xfId="144"/>
    <cellStyle name="常规 3" xfId="145"/>
    <cellStyle name="20% - 强调文字颜色 4 2" xfId="146"/>
    <cellStyle name="输出 4 2 2" xfId="147"/>
    <cellStyle name="常规 3 2" xfId="148"/>
    <cellStyle name="20% - 强调文字颜色 4 2 2" xfId="149"/>
    <cellStyle name="输入 4 2" xfId="150"/>
    <cellStyle name="常规 3 3" xfId="151"/>
    <cellStyle name="20% - 强调文字颜色 4 2 3" xfId="152"/>
    <cellStyle name="输出 4 3" xfId="153"/>
    <cellStyle name="常规 4" xfId="154"/>
    <cellStyle name="20% - 强调文字颜色 4 3" xfId="155"/>
    <cellStyle name="常规 4 2" xfId="156"/>
    <cellStyle name="20% - 强调文字颜色 4 3 2" xfId="157"/>
    <cellStyle name="常规 5" xfId="158"/>
    <cellStyle name="60% - 强调文字颜色 2 2" xfId="159"/>
    <cellStyle name="20% - 强调文字颜色 4 4" xfId="160"/>
    <cellStyle name="输出 5 2" xfId="161"/>
    <cellStyle name="20% - 强调文字颜色 5 2" xfId="162"/>
    <cellStyle name="输出 5 2 2" xfId="163"/>
    <cellStyle name="3232" xfId="164"/>
    <cellStyle name="20% - 强调文字颜色 5 2 2" xfId="165"/>
    <cellStyle name="20% - 强调文字颜色 5 2 3" xfId="166"/>
    <cellStyle name="输出 5 3" xfId="167"/>
    <cellStyle name="20% - 强调文字颜色 5 3" xfId="168"/>
    <cellStyle name="差 5" xfId="169"/>
    <cellStyle name="百分比 3" xfId="170"/>
    <cellStyle name="20% - 强调文字颜色 5 3 2" xfId="171"/>
    <cellStyle name="60% - 强调文字颜色 3 2" xfId="172"/>
    <cellStyle name="20% - 强调文字颜色 5 4" xfId="173"/>
    <cellStyle name="60% - 强调文字颜色 3 3" xfId="174"/>
    <cellStyle name="20% - 强调文字颜色 5 5" xfId="175"/>
    <cellStyle name="20% - 强调文字颜色 6 2" xfId="176"/>
    <cellStyle name="40% - 强调文字颜色 4 4" xfId="177"/>
    <cellStyle name="20% - 强调文字颜色 6 2 2" xfId="178"/>
    <cellStyle name="40% - 强调文字颜色 4 5" xfId="179"/>
    <cellStyle name="20% - 强调文字颜色 6 2 3" xfId="180"/>
    <cellStyle name="20% - 强调文字颜色 6 3" xfId="181"/>
    <cellStyle name="40% - 强调文字颜色 5 4" xfId="182"/>
    <cellStyle name="20% - 强调文字颜色 6 3 2" xfId="183"/>
    <cellStyle name="注释 3 2 2 2" xfId="184"/>
    <cellStyle name="60% - 强调文字颜色 4 2" xfId="185"/>
    <cellStyle name="20% - 强调文字颜色 6 4" xfId="186"/>
    <cellStyle name="60% - 强调文字颜色 4 3" xfId="187"/>
    <cellStyle name="40% - 强调文字颜色 5 2 2" xfId="188"/>
    <cellStyle name="20% - 强调文字颜色 6 5" xfId="189"/>
    <cellStyle name="40% - 强调文字颜色 1 2" xfId="190"/>
    <cellStyle name="40% - 强调文字颜色 1 2 2" xfId="191"/>
    <cellStyle name="40% - 强调文字颜色 1 2 3" xfId="192"/>
    <cellStyle name="40% - 强调文字颜色 1 3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计算 2 2" xfId="203"/>
    <cellStyle name="40% - 强调文字颜色 3 2" xfId="204"/>
    <cellStyle name="计算 2 2 2" xfId="205"/>
    <cellStyle name="40% - 强调文字颜色 3 2 2" xfId="206"/>
    <cellStyle name="40% - 强调文字颜色 3 2 3" xfId="207"/>
    <cellStyle name="计算 2 3" xfId="208"/>
    <cellStyle name="40% - 强调文字颜色 3 3" xfId="209"/>
    <cellStyle name="计算 2 3 2" xfId="210"/>
    <cellStyle name="常规 25" xfId="211"/>
    <cellStyle name="40% - 强调文字颜色 3 3 2" xfId="212"/>
    <cellStyle name="计算 2 4" xfId="213"/>
    <cellStyle name="40% - 强调文字颜色 3 4" xfId="214"/>
    <cellStyle name="40% - 强调文字颜色 3 5" xfId="215"/>
    <cellStyle name="检查单元格 2" xfId="216"/>
    <cellStyle name="计算 3 2 2" xfId="217"/>
    <cellStyle name="汇总 2 3" xfId="218"/>
    <cellStyle name="标题 4 4" xfId="219"/>
    <cellStyle name="40% - 强调文字颜色 4 2 2" xfId="220"/>
    <cellStyle name="检查单元格 3" xfId="221"/>
    <cellStyle name="汇总 2 4" xfId="222"/>
    <cellStyle name="标题 4 5" xfId="223"/>
    <cellStyle name="40% - 强调文字颜色 4 2 3" xfId="224"/>
    <cellStyle name="输入 2 2 2" xfId="225"/>
    <cellStyle name="计算 3 3" xfId="226"/>
    <cellStyle name="40% - 强调文字颜色 4 3" xfId="227"/>
    <cellStyle name="计算 4 2" xfId="228"/>
    <cellStyle name="好 2 3" xfId="229"/>
    <cellStyle name="40% - 强调文字颜色 5 2" xfId="230"/>
    <cellStyle name="60% - 强调文字颜色 4 4" xfId="231"/>
    <cellStyle name="40% - 强调文字颜色 5 2 3" xfId="232"/>
    <cellStyle name="输入 2 3 2" xfId="233"/>
    <cellStyle name="40% - 强调文字颜色 5 3" xfId="234"/>
    <cellStyle name="60% - 强调文字颜色 5 3" xfId="235"/>
    <cellStyle name="40% - 强调文字颜色 5 3 2" xfId="236"/>
    <cellStyle name="40% - 强调文字颜色 5 5" xfId="237"/>
    <cellStyle name="适中 2 2" xfId="238"/>
    <cellStyle name="计算 5 2" xfId="239"/>
    <cellStyle name="40% - 强调文字颜色 6 2" xfId="240"/>
    <cellStyle name="40% - 强调文字颜色 6 2 2" xfId="241"/>
    <cellStyle name="40% - 强调文字颜色 6 2 3" xfId="242"/>
    <cellStyle name="适中 2 3" xfId="243"/>
    <cellStyle name="强调文字颜色 3 2 2" xfId="244"/>
    <cellStyle name="40% - 强调文字颜色 6 3" xfId="245"/>
    <cellStyle name="解释性文本 3" xfId="246"/>
    <cellStyle name="40% - 强调文字颜色 6 3 2" xfId="247"/>
    <cellStyle name="强调文字颜色 3 2 3" xfId="248"/>
    <cellStyle name="60% - 强调文字颜色 4 2 2" xfId="249"/>
    <cellStyle name="40% - 强调文字颜色 6 4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注释 5 2 2" xfId="255"/>
    <cellStyle name="警告文本 2 2" xfId="256"/>
    <cellStyle name="60% - 强调文字颜色 1 5" xfId="257"/>
    <cellStyle name="60% - 强调文字颜色 2 2 3" xfId="258"/>
    <cellStyle name="注释 2" xfId="259"/>
    <cellStyle name="常规 6 2" xfId="260"/>
    <cellStyle name="60% - 强调文字颜色 2 3 2" xfId="261"/>
    <cellStyle name="常规 7" xfId="262"/>
    <cellStyle name="60% - 强调文字颜色 2 4" xfId="263"/>
    <cellStyle name="警告文本 3 2" xfId="264"/>
    <cellStyle name="常规 8" xfId="265"/>
    <cellStyle name="60% - 强调文字颜色 2 5" xfId="266"/>
    <cellStyle name="强调文字颜色 2 2 3" xfId="267"/>
    <cellStyle name="60% - 强调文字颜色 3 2 2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常规 20" xfId="273"/>
    <cellStyle name="60% - 强调文字颜色 4 3 2" xfId="274"/>
    <cellStyle name="60% - 强调文字颜色 4 5" xfId="275"/>
    <cellStyle name="60% - 强调文字颜色 5 2" xfId="276"/>
    <cellStyle name="强调文字颜色 4 2 3" xfId="277"/>
    <cellStyle name="60% - 强调文字颜色 5 2 2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强调文字颜色 5 2 3" xfId="284"/>
    <cellStyle name="常规 3 5 3" xfId="285"/>
    <cellStyle name="60% - 强调文字颜色 6 2 2" xfId="286"/>
    <cellStyle name="Normal_08'前程工资8月" xfId="287"/>
    <cellStyle name="60% - 强调文字颜色 6 2 3" xfId="288"/>
    <cellStyle name="60% - 强调文字颜色 6 3" xfId="289"/>
    <cellStyle name="60% - 强调文字颜色 6 4" xfId="290"/>
    <cellStyle name="60% - 强调文字颜色 6 5" xfId="291"/>
    <cellStyle name="警告文本 2 3" xfId="292"/>
    <cellStyle name="Comma_SALARYBJ" xfId="293"/>
    <cellStyle name="差 4" xfId="294"/>
    <cellStyle name="百分比 2" xfId="295"/>
    <cellStyle name="百分比 2 2" xfId="296"/>
    <cellStyle name="标题 1 2" xfId="297"/>
    <cellStyle name="标题 1 2 2" xfId="298"/>
    <cellStyle name="标题 1 2 3" xfId="299"/>
    <cellStyle name="标题 1 3" xfId="300"/>
    <cellStyle name="汇总 3" xfId="301"/>
    <cellStyle name="标题 1 3 2" xfId="302"/>
    <cellStyle name="标题 1 4" xfId="303"/>
    <cellStyle name="标题 1 5" xfId="304"/>
    <cellStyle name="标题 2 2" xfId="305"/>
    <cellStyle name="标题 2 2 2" xfId="306"/>
    <cellStyle name="好 3 2" xfId="307"/>
    <cellStyle name="标题 2 2 3" xfId="308"/>
    <cellStyle name="标题 2 3" xfId="309"/>
    <cellStyle name="常规 11" xfId="310"/>
    <cellStyle name="常规 10 10" xfId="311"/>
    <cellStyle name="标题 2 3 2" xfId="312"/>
    <cellStyle name="标题 2 4" xfId="313"/>
    <cellStyle name="标题 2 5" xfId="314"/>
    <cellStyle name="标题 3 2" xfId="315"/>
    <cellStyle name="好 5" xfId="316"/>
    <cellStyle name="标题 3 2 2" xfId="317"/>
    <cellStyle name="标题 3 2 3" xfId="318"/>
    <cellStyle name="标题 3 3" xfId="319"/>
    <cellStyle name="样式 1" xfId="320"/>
    <cellStyle name="标题 3 3 2" xfId="321"/>
    <cellStyle name="标题 3 4" xfId="322"/>
    <cellStyle name="标题 3 5" xfId="323"/>
    <cellStyle name="千位分隔 3" xfId="324"/>
    <cellStyle name="标题 4 2" xfId="325"/>
    <cellStyle name="标题 4 2 3" xfId="326"/>
    <cellStyle name="汇总 2 2" xfId="327"/>
    <cellStyle name="标题 4 3" xfId="328"/>
    <cellStyle name="汇总 2 2 2" xfId="329"/>
    <cellStyle name="标题 4 3 2" xfId="330"/>
    <cellStyle name="解释性文本 2 3" xfId="331"/>
    <cellStyle name="标题 5" xfId="332"/>
    <cellStyle name="强调文字颜色 1 4" xfId="333"/>
    <cellStyle name="标题 5 2" xfId="334"/>
    <cellStyle name="强调文字颜色 1 5" xfId="335"/>
    <cellStyle name="汇总 3 2" xfId="336"/>
    <cellStyle name="标题 5 3" xfId="337"/>
    <cellStyle name="标题 6" xfId="338"/>
    <cellStyle name="强调文字颜色 2 4" xfId="339"/>
    <cellStyle name="标题 6 2" xfId="340"/>
    <cellStyle name="注释 2 4 2" xfId="341"/>
    <cellStyle name="标题 7" xfId="342"/>
    <cellStyle name="标题 8" xfId="343"/>
    <cellStyle name="解释性文本 5" xfId="344"/>
    <cellStyle name="差 2" xfId="345"/>
    <cellStyle name="差 2 2" xfId="346"/>
    <cellStyle name="差 3" xfId="347"/>
    <cellStyle name="差 3 2" xfId="348"/>
    <cellStyle name="常规 10" xfId="349"/>
    <cellStyle name="常规 11 2" xfId="350"/>
    <cellStyle name="常规 2 3 2 2" xfId="351"/>
    <cellStyle name="常规 11 3" xfId="352"/>
    <cellStyle name="常规 12" xfId="353"/>
    <cellStyle name="常规 12 2" xfId="354"/>
    <cellStyle name="常规 12 3" xfId="355"/>
    <cellStyle name="强调文字颜色 3 3 2" xfId="356"/>
    <cellStyle name="常规 14" xfId="357"/>
    <cellStyle name="常规 14 2" xfId="358"/>
    <cellStyle name="常规 14 3" xfId="359"/>
    <cellStyle name="注释 4 3" xfId="360"/>
    <cellStyle name="常规 18" xfId="361"/>
    <cellStyle name="常规 2" xfId="362"/>
    <cellStyle name="常规 2 2" xfId="363"/>
    <cellStyle name="常规 2 2 2" xfId="364"/>
    <cellStyle name="常规 2 2 2 2" xfId="365"/>
    <cellStyle name="常规 2 2 3" xfId="366"/>
    <cellStyle name="输入 3 2" xfId="367"/>
    <cellStyle name="常规 2 3" xfId="368"/>
    <cellStyle name="输入 3 2 2" xfId="369"/>
    <cellStyle name="常规 2 3 2" xfId="370"/>
    <cellStyle name="常规 2 3 3" xfId="371"/>
    <cellStyle name="常规 2 3 4" xfId="372"/>
    <cellStyle name="输入 3 3" xfId="373"/>
    <cellStyle name="常规 2 4" xfId="374"/>
    <cellStyle name="常规 2 4 2" xfId="375"/>
    <cellStyle name="强调文字颜色 4 2" xfId="376"/>
    <cellStyle name="常规 2 5" xfId="377"/>
    <cellStyle name="强调文字颜色 4 2 2" xfId="378"/>
    <cellStyle name="常规 2 5 2" xfId="379"/>
    <cellStyle name="强调文字颜色 4 3" xfId="380"/>
    <cellStyle name="常规 2 6" xfId="381"/>
    <cellStyle name="强调文字颜色 4 3 2" xfId="382"/>
    <cellStyle name="常规 2 6 2" xfId="383"/>
    <cellStyle name="常规 2 6 2 2" xfId="384"/>
    <cellStyle name="常规 21" xfId="385"/>
    <cellStyle name="注释 4 2" xfId="386"/>
    <cellStyle name="常规 22" xfId="387"/>
    <cellStyle name="常规 27" xfId="388"/>
    <cellStyle name="常规 29" xfId="389"/>
    <cellStyle name="适中 4" xfId="390"/>
    <cellStyle name="常规 3 2 2" xfId="391"/>
    <cellStyle name="常规 3 3 2" xfId="392"/>
    <cellStyle name="常规 3 3 3" xfId="393"/>
    <cellStyle name="常规 3 4" xfId="394"/>
    <cellStyle name="常规 3 4 2" xfId="395"/>
    <cellStyle name="强调文字颜色 5 2" xfId="396"/>
    <cellStyle name="常规 3 5" xfId="397"/>
    <cellStyle name="强调文字颜色 5 2 2" xfId="398"/>
    <cellStyle name="常规 3 5 2" xfId="399"/>
    <cellStyle name="常规 4 4" xfId="400"/>
    <cellStyle name="常规 4 2 2" xfId="401"/>
    <cellStyle name="输入 5 2" xfId="402"/>
    <cellStyle name="常规 4 3" xfId="403"/>
    <cellStyle name="常规 7 2" xfId="404"/>
    <cellStyle name="强调文字颜色 6 3 2" xfId="405"/>
    <cellStyle name="常规 8 4" xfId="406"/>
    <cellStyle name="常规 9" xfId="407"/>
    <cellStyle name="常规_0705 UL South CS meeting (chonghua)" xfId="408"/>
    <cellStyle name="强调文字颜色 3 5" xfId="409"/>
    <cellStyle name="汇总 5 2" xfId="410"/>
    <cellStyle name="常规_Sheet1" xfId="411"/>
    <cellStyle name="注释 5 2" xfId="412"/>
    <cellStyle name="警告文本 2" xfId="413"/>
    <cellStyle name="常规_付款通知书智联（神数系统）" xfId="414"/>
    <cellStyle name="好 2 2" xfId="415"/>
    <cellStyle name="好 3" xfId="416"/>
    <cellStyle name="好 4" xfId="417"/>
    <cellStyle name="汇总 2" xfId="418"/>
    <cellStyle name="检查单元格 2 2" xfId="419"/>
    <cellStyle name="汇总 2 3 2" xfId="420"/>
    <cellStyle name="汇总 4" xfId="421"/>
    <cellStyle name="汇总 5" xfId="422"/>
    <cellStyle name="检查单元格 2 3" xfId="423"/>
    <cellStyle name="检查单元格 4" xfId="424"/>
    <cellStyle name="检查单元格 5" xfId="425"/>
    <cellStyle name="解释性文本 2" xfId="426"/>
    <cellStyle name="解释性文本 3 2" xfId="427"/>
    <cellStyle name="解释性文本 4" xfId="428"/>
    <cellStyle name="注释 5 3" xfId="429"/>
    <cellStyle name="警告文本 3" xfId="430"/>
    <cellStyle name="警告文本 4" xfId="431"/>
    <cellStyle name="警告文本 5" xfId="432"/>
    <cellStyle name="注释 2 3 2" xfId="433"/>
    <cellStyle name="链接单元格 2" xfId="434"/>
    <cellStyle name="注释 2 3 2 2" xfId="435"/>
    <cellStyle name="链接单元格 2 2" xfId="436"/>
    <cellStyle name="链接单元格 2 3" xfId="437"/>
    <cellStyle name="千位分隔 2" xfId="438"/>
    <cellStyle name="千位分隔 2 2" xfId="439"/>
    <cellStyle name="强调文字颜色 1 2" xfId="440"/>
    <cellStyle name="强调文字颜色 1 2 2" xfId="441"/>
    <cellStyle name="强调文字颜色 1 3" xfId="442"/>
    <cellStyle name="强调文字颜色 1 3 2" xfId="443"/>
    <cellStyle name="强调文字颜色 2 2" xfId="444"/>
    <cellStyle name="强调文字颜色 2 2 2" xfId="445"/>
    <cellStyle name="强调文字颜色 2 3" xfId="446"/>
    <cellStyle name="输入 2 4" xfId="447"/>
    <cellStyle name="强调文字颜色 3 2" xfId="448"/>
    <cellStyle name="强调文字颜色 3 3" xfId="449"/>
    <cellStyle name="强调文字颜色 3 4" xfId="450"/>
    <cellStyle name="强调文字颜色 4 4" xfId="451"/>
    <cellStyle name="输入 2" xfId="452"/>
    <cellStyle name="强调文字颜色 4 5" xfId="453"/>
    <cellStyle name="强调文字颜色 5 3" xfId="454"/>
    <cellStyle name="强调文字颜色 5 3 2" xfId="455"/>
    <cellStyle name="强调文字颜色 5 4" xfId="456"/>
    <cellStyle name="强调文字颜色 6 2" xfId="457"/>
    <cellStyle name="强调文字颜色 6 2 2" xfId="458"/>
    <cellStyle name="强调文字颜色 6 2 3" xfId="459"/>
    <cellStyle name="强调文字颜色 6 3" xfId="460"/>
    <cellStyle name="强调文字颜色 6 4" xfId="461"/>
    <cellStyle name="强调文字颜色 6 5" xfId="462"/>
    <cellStyle name="适中 3" xfId="463"/>
    <cellStyle name="适中 3 2" xfId="464"/>
    <cellStyle name="适中 5" xfId="465"/>
    <cellStyle name="输出 2 2 2 2" xfId="466"/>
    <cellStyle name="输出 2 3 2 2" xfId="467"/>
    <cellStyle name="输出 2 3 3" xfId="468"/>
    <cellStyle name="输出 3 2 2 2" xfId="469"/>
    <cellStyle name="样式 2 4" xfId="470"/>
    <cellStyle name="输入 2 2" xfId="471"/>
    <cellStyle name="样式 2 5" xfId="472"/>
    <cellStyle name="输入 2 3" xfId="473"/>
    <cellStyle name="输入 3" xfId="474"/>
    <cellStyle name="输入 4" xfId="475"/>
    <cellStyle name="输入 5" xfId="476"/>
    <cellStyle name="㼿㼿㼿㼿? 2" xfId="477"/>
    <cellStyle name="㼿㼿㼿㼿㼿" xfId="478"/>
    <cellStyle name="㼿㼿㼿㼿㼿㼿㼿" xfId="479"/>
    <cellStyle name="样式 1 2" xfId="480"/>
    <cellStyle name="样式 2" xfId="481"/>
    <cellStyle name="样式 2 2" xfId="482"/>
    <cellStyle name="样式 2 3" xfId="483"/>
    <cellStyle name="注释 2 2" xfId="484"/>
    <cellStyle name="注释 2 2 2" xfId="485"/>
    <cellStyle name="注释 2 2 2 2" xfId="486"/>
    <cellStyle name="注释 2 2 3" xfId="487"/>
    <cellStyle name="注释 2 4" xfId="488"/>
    <cellStyle name="注释 2 5" xfId="489"/>
    <cellStyle name="注释 3" xfId="490"/>
    <cellStyle name="注释 3 2" xfId="491"/>
    <cellStyle name="注释 3 3" xfId="492"/>
    <cellStyle name="注释 3 3 2" xfId="493"/>
    <cellStyle name="注释 3 4" xfId="494"/>
    <cellStyle name="注释 4" xfId="495"/>
    <cellStyle name="注释 4 2 2" xfId="496"/>
  </cellStyles>
  <dxfs count="4"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3</xdr:col>
      <xdr:colOff>1</xdr:colOff>
      <xdr:row>3</xdr:row>
      <xdr:rowOff>3810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47625" y="0"/>
          <a:ext cx="2148205" cy="680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20320</xdr:colOff>
      <xdr:row>0</xdr:row>
      <xdr:rowOff>635</xdr:rowOff>
    </xdr:from>
    <xdr:to>
      <xdr:col>3</xdr:col>
      <xdr:colOff>229870</xdr:colOff>
      <xdr:row>2</xdr:row>
      <xdr:rowOff>95885</xdr:rowOff>
    </xdr:to>
    <xdr:pic>
      <xdr:nvPicPr>
        <xdr:cNvPr id="3" name="图片 4" descr="cid:_Foxmail.1@6377c9cf-32a5-0363-4d93-1ccf8febe01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20320" y="635"/>
          <a:ext cx="240538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Foxmail7\Temp-8100-20220812090237\Attach\&#26032;&#24037;&#36164;&#34920;&#27169;&#26495;(&#25972;&#2418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（居民）工资表-1月"/>
      <sheetName val="（居民）工资表-2月"/>
      <sheetName val="（居民）工资表-3月"/>
      <sheetName val="（居民）工资表-4月"/>
      <sheetName val="（居民）工资表-5月"/>
      <sheetName val="（居民）工资表-6月"/>
      <sheetName val="（居民）工资表-7月"/>
      <sheetName val="（居民）工资表-8月"/>
      <sheetName val="（居民）工资表-9月"/>
      <sheetName val="（居民）工资表-10月"/>
      <sheetName val="（居民）工资表-11月"/>
      <sheetName val="（居民）工资表-12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E4" t="str">
            <v>23210319970706421X</v>
          </cell>
          <cell r="F4" t="str">
            <v>男</v>
          </cell>
        </row>
        <row r="4">
          <cell r="J4">
            <v>44511</v>
          </cell>
        </row>
        <row r="4">
          <cell r="L4">
            <v>11680</v>
          </cell>
          <cell r="M4">
            <v>469.52</v>
          </cell>
          <cell r="N4">
            <v>120.4</v>
          </cell>
          <cell r="O4">
            <v>29.4</v>
          </cell>
          <cell r="P4">
            <v>444</v>
          </cell>
        </row>
        <row r="5">
          <cell r="E5" t="str">
            <v>370982199701098011</v>
          </cell>
          <cell r="F5" t="str">
            <v>男</v>
          </cell>
        </row>
        <row r="5">
          <cell r="J5">
            <v>44515</v>
          </cell>
        </row>
        <row r="5">
          <cell r="L5">
            <v>12180</v>
          </cell>
          <cell r="M5">
            <v>469.52</v>
          </cell>
          <cell r="N5">
            <v>120.4</v>
          </cell>
          <cell r="O5">
            <v>29.4</v>
          </cell>
          <cell r="P5">
            <v>444</v>
          </cell>
        </row>
        <row r="6">
          <cell r="E6" t="str">
            <v>220524199806163678</v>
          </cell>
          <cell r="F6" t="str">
            <v>男</v>
          </cell>
        </row>
        <row r="6">
          <cell r="J6">
            <v>44516</v>
          </cell>
        </row>
        <row r="6">
          <cell r="L6">
            <v>11151.8714121699</v>
          </cell>
          <cell r="M6">
            <v>469.52</v>
          </cell>
          <cell r="N6">
            <v>120.4</v>
          </cell>
          <cell r="O6">
            <v>29.4</v>
          </cell>
          <cell r="P6">
            <v>444</v>
          </cell>
        </row>
        <row r="7">
          <cell r="E7" t="str">
            <v>372924199508090040</v>
          </cell>
          <cell r="F7" t="str">
            <v>女</v>
          </cell>
        </row>
        <row r="7">
          <cell r="J7">
            <v>44538</v>
          </cell>
        </row>
        <row r="7">
          <cell r="L7">
            <v>14180</v>
          </cell>
          <cell r="M7">
            <v>640</v>
          </cell>
          <cell r="N7">
            <v>163</v>
          </cell>
          <cell r="O7">
            <v>40</v>
          </cell>
          <cell r="P7">
            <v>960</v>
          </cell>
        </row>
        <row r="8">
          <cell r="E8" t="str">
            <v>420102199906223524</v>
          </cell>
          <cell r="F8" t="str">
            <v>女</v>
          </cell>
        </row>
        <row r="8">
          <cell r="J8">
            <v>44607</v>
          </cell>
        </row>
        <row r="8">
          <cell r="L8">
            <v>10000</v>
          </cell>
          <cell r="M8">
            <v>469.52</v>
          </cell>
          <cell r="N8">
            <v>120.4</v>
          </cell>
          <cell r="O8">
            <v>29.4</v>
          </cell>
          <cell r="P8">
            <v>600</v>
          </cell>
        </row>
        <row r="9">
          <cell r="E9" t="str">
            <v>230124199702017043</v>
          </cell>
          <cell r="F9" t="str">
            <v>女</v>
          </cell>
        </row>
        <row r="9">
          <cell r="J9">
            <v>44552</v>
          </cell>
        </row>
        <row r="9">
          <cell r="L9">
            <v>10000</v>
          </cell>
          <cell r="M9">
            <v>469.52</v>
          </cell>
          <cell r="N9">
            <v>120.4</v>
          </cell>
          <cell r="O9">
            <v>29.4</v>
          </cell>
          <cell r="P9">
            <v>444</v>
          </cell>
        </row>
        <row r="10">
          <cell r="E10" t="str">
            <v>230804199703190545</v>
          </cell>
          <cell r="F10" t="str">
            <v>女</v>
          </cell>
        </row>
        <row r="10">
          <cell r="J10">
            <v>44571</v>
          </cell>
        </row>
        <row r="10">
          <cell r="L10">
            <v>11000</v>
          </cell>
          <cell r="M10">
            <v>469.52</v>
          </cell>
          <cell r="N10">
            <v>120.4</v>
          </cell>
          <cell r="O10">
            <v>29.4</v>
          </cell>
          <cell r="P10">
            <v>444</v>
          </cell>
        </row>
        <row r="11">
          <cell r="E11" t="str">
            <v>659001199304272424</v>
          </cell>
          <cell r="F11" t="str">
            <v>女</v>
          </cell>
        </row>
        <row r="11">
          <cell r="J11">
            <v>44564</v>
          </cell>
        </row>
        <row r="11">
          <cell r="L11">
            <v>11000</v>
          </cell>
          <cell r="M11">
            <v>469.52</v>
          </cell>
          <cell r="N11">
            <v>120.4</v>
          </cell>
          <cell r="O11">
            <v>29.4</v>
          </cell>
          <cell r="P11">
            <v>444</v>
          </cell>
        </row>
        <row r="12">
          <cell r="E12" t="str">
            <v>110105199311015423</v>
          </cell>
          <cell r="F12" t="str">
            <v>女</v>
          </cell>
        </row>
        <row r="12">
          <cell r="J12">
            <v>44722</v>
          </cell>
        </row>
        <row r="12">
          <cell r="L12">
            <v>7632.18390804598</v>
          </cell>
          <cell r="M12">
            <v>469.52</v>
          </cell>
          <cell r="N12">
            <v>120.4</v>
          </cell>
          <cell r="O12">
            <v>29.4</v>
          </cell>
          <cell r="P12">
            <v>444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F22" sqref="F21:F22"/>
    </sheetView>
  </sheetViews>
  <sheetFormatPr defaultColWidth="9" defaultRowHeight="13.5"/>
  <cols>
    <col min="1" max="1" width="9" style="137"/>
    <col min="2" max="2" width="9.09166666666667" style="137" customWidth="1"/>
    <col min="3" max="3" width="10.725" style="137" customWidth="1"/>
    <col min="4" max="4" width="16.725" style="137" customWidth="1"/>
    <col min="5" max="5" width="11.725" style="137" customWidth="1"/>
    <col min="6" max="6" width="9.09166666666667" style="137" customWidth="1"/>
    <col min="7" max="7" width="9.63333333333333" style="137" customWidth="1"/>
    <col min="8" max="8" width="11.2666666666667" style="137" customWidth="1"/>
    <col min="9" max="12" width="9" style="137"/>
    <col min="13" max="13" width="11.0916666666667" style="137" customWidth="1"/>
    <col min="14" max="14" width="13.9083333333333" style="137" customWidth="1"/>
    <col min="15" max="16384" width="9" style="137"/>
  </cols>
  <sheetData>
    <row r="1" ht="25.5" spans="1:14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ht="14.25" spans="1:14">
      <c r="A2" s="194"/>
      <c r="B2" s="195"/>
      <c r="C2" s="195"/>
      <c r="D2" s="196"/>
      <c r="E2" s="196"/>
      <c r="F2" s="196"/>
      <c r="G2" s="194"/>
      <c r="H2" s="194"/>
      <c r="I2" s="194"/>
      <c r="J2" s="196"/>
      <c r="K2" s="196"/>
      <c r="L2" s="196"/>
      <c r="M2" s="196"/>
      <c r="N2" s="196"/>
    </row>
    <row r="3" spans="1:14">
      <c r="A3" s="197"/>
      <c r="B3" s="198"/>
      <c r="C3" s="199"/>
      <c r="D3" s="200"/>
      <c r="E3" s="201"/>
      <c r="F3" s="201"/>
      <c r="G3" s="202"/>
      <c r="H3" s="203"/>
      <c r="I3" s="198"/>
      <c r="J3" s="199"/>
      <c r="K3" s="200"/>
      <c r="L3" s="290"/>
      <c r="M3" s="196"/>
      <c r="N3" s="196"/>
    </row>
    <row r="4" ht="20.25" customHeight="1" spans="1:14">
      <c r="A4" s="197"/>
      <c r="B4" s="204" t="s">
        <v>1</v>
      </c>
      <c r="C4" s="205"/>
      <c r="D4" s="205"/>
      <c r="E4" s="205"/>
      <c r="F4" s="205"/>
      <c r="G4" s="205"/>
      <c r="H4" s="206"/>
      <c r="I4" s="291"/>
      <c r="J4" s="291"/>
      <c r="K4" s="292"/>
      <c r="L4" s="293" t="s">
        <v>2</v>
      </c>
      <c r="M4" s="294">
        <f ca="1">NOW()</f>
        <v>45076.4495833333</v>
      </c>
      <c r="N4" s="292"/>
    </row>
    <row r="5" ht="16.5" spans="1:14">
      <c r="A5" s="207"/>
      <c r="B5" s="208" t="s">
        <v>3</v>
      </c>
      <c r="C5" s="209"/>
      <c r="D5" s="209"/>
      <c r="E5" s="209"/>
      <c r="F5" s="209"/>
      <c r="G5" s="209"/>
      <c r="H5" s="210"/>
      <c r="I5" s="206"/>
      <c r="J5" s="206"/>
      <c r="K5" s="295"/>
      <c r="L5" s="296"/>
      <c r="M5" s="292"/>
      <c r="N5" s="292"/>
    </row>
    <row r="6" ht="9.75" customHeight="1" spans="1:14">
      <c r="A6" s="211"/>
      <c r="B6" s="212"/>
      <c r="C6" s="212"/>
      <c r="D6" s="212"/>
      <c r="E6" s="212"/>
      <c r="F6" s="212"/>
      <c r="G6" s="212"/>
      <c r="H6" s="212"/>
      <c r="I6" s="297"/>
      <c r="J6" s="297"/>
      <c r="K6" s="298"/>
      <c r="L6" s="298"/>
      <c r="M6" s="298"/>
      <c r="N6" s="298"/>
    </row>
    <row r="7" ht="17.25" spans="1:15">
      <c r="A7" s="211"/>
      <c r="B7" s="213" t="s">
        <v>4</v>
      </c>
      <c r="C7" s="214"/>
      <c r="D7" s="214"/>
      <c r="E7" s="214"/>
      <c r="F7" s="214"/>
      <c r="G7" s="214"/>
      <c r="H7" s="215"/>
      <c r="I7" s="299" t="s">
        <v>5</v>
      </c>
      <c r="J7" s="300"/>
      <c r="K7" s="301"/>
      <c r="L7" s="302"/>
      <c r="M7" s="302"/>
      <c r="N7" s="302"/>
      <c r="O7" s="303"/>
    </row>
    <row r="8" ht="16.5" spans="1:14">
      <c r="A8" s="211"/>
      <c r="B8" s="216" t="s">
        <v>6</v>
      </c>
      <c r="C8" s="217"/>
      <c r="D8" s="218"/>
      <c r="E8" s="219">
        <f>D10</f>
        <v>3785.8</v>
      </c>
      <c r="F8" s="220"/>
      <c r="G8" s="220"/>
      <c r="H8" s="221"/>
      <c r="I8" s="301"/>
      <c r="J8" s="302" t="s">
        <v>7</v>
      </c>
      <c r="K8" s="302"/>
      <c r="L8" s="302"/>
      <c r="M8" s="302"/>
      <c r="N8" s="302"/>
    </row>
    <row r="9" ht="17.25" spans="1:14">
      <c r="A9" s="211"/>
      <c r="B9" s="222" t="s">
        <v>8</v>
      </c>
      <c r="C9" s="223"/>
      <c r="D9" s="224"/>
      <c r="E9" s="225" t="str">
        <f>SUBSTITUTE(SUBSTITUTE(TEXT(INT(E8),"[DBNum2][$-804]G/通用格式元"&amp;IF(INT(E8)=E8,"整",""))&amp;TEXT(MID(E8,FIND(".",E8&amp;".0")+1,1),"[DBNum2][$-804]G/通用格式角")&amp;TEXT(MID(E8,FIND(".",E8&amp;".0")+2,1),"[DBNum2][$-804]G/通用格式分"),"零角","零"),"零分","")</f>
        <v>叁仟柒佰捌拾伍元捌角</v>
      </c>
      <c r="F9" s="226"/>
      <c r="G9" s="226"/>
      <c r="H9" s="227"/>
      <c r="I9" s="302"/>
      <c r="J9" s="304" t="s">
        <v>9</v>
      </c>
      <c r="K9" s="304"/>
      <c r="L9" s="304"/>
      <c r="M9" s="304"/>
      <c r="N9" s="304"/>
    </row>
    <row r="10" ht="17.25" customHeight="1" spans="1:14">
      <c r="A10" s="211"/>
      <c r="B10" s="228" t="s">
        <v>10</v>
      </c>
      <c r="C10" s="229"/>
      <c r="D10" s="230">
        <f>G25</f>
        <v>3785.8</v>
      </c>
      <c r="E10" s="231" t="s">
        <v>11</v>
      </c>
      <c r="F10" s="232"/>
      <c r="G10" s="229"/>
      <c r="H10" s="233">
        <v>0</v>
      </c>
      <c r="I10" s="305"/>
      <c r="J10" s="306" t="s">
        <v>12</v>
      </c>
      <c r="K10" s="306"/>
      <c r="L10" s="306"/>
      <c r="M10" s="306"/>
      <c r="N10" s="306"/>
    </row>
    <row r="11" ht="16.5" spans="1:14">
      <c r="A11" s="211"/>
      <c r="B11" s="234" t="s">
        <v>13</v>
      </c>
      <c r="C11" s="235"/>
      <c r="D11" s="236"/>
      <c r="E11" s="237" t="s">
        <v>14</v>
      </c>
      <c r="F11" s="238"/>
      <c r="G11" s="239"/>
      <c r="H11" s="240"/>
      <c r="I11" s="307"/>
      <c r="J11" s="205"/>
      <c r="K11" s="308"/>
      <c r="L11" s="308"/>
      <c r="M11" s="308"/>
      <c r="N11" s="309"/>
    </row>
    <row r="12" customHeight="1" spans="1:14">
      <c r="A12" s="207"/>
      <c r="B12" s="234" t="s">
        <v>15</v>
      </c>
      <c r="C12" s="235"/>
      <c r="D12" s="236">
        <v>0</v>
      </c>
      <c r="E12" s="237" t="s">
        <v>16</v>
      </c>
      <c r="F12" s="238"/>
      <c r="G12" s="239"/>
      <c r="H12" s="240"/>
      <c r="I12" s="295"/>
      <c r="J12" s="307"/>
      <c r="K12" s="307"/>
      <c r="L12" s="307"/>
      <c r="M12" s="307"/>
      <c r="N12" s="307"/>
    </row>
    <row r="13" ht="17.25" spans="1:14">
      <c r="A13" s="196"/>
      <c r="B13" s="241" t="s">
        <v>17</v>
      </c>
      <c r="C13" s="242"/>
      <c r="D13" s="243">
        <v>0</v>
      </c>
      <c r="E13" s="244"/>
      <c r="F13" s="245"/>
      <c r="G13" s="246"/>
      <c r="H13" s="247"/>
      <c r="I13" s="212"/>
      <c r="J13" s="295"/>
      <c r="K13" s="295"/>
      <c r="L13" s="295"/>
      <c r="M13" s="295"/>
      <c r="N13" s="295"/>
    </row>
    <row r="14" ht="5.25" customHeight="1" spans="1:14">
      <c r="A14" s="248"/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</row>
    <row r="15" spans="1:14">
      <c r="A15" s="196" t="s">
        <v>18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</row>
    <row r="16" ht="3" customHeight="1" spans="1:14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</row>
    <row r="17" ht="18.75" customHeight="1" spans="2:13">
      <c r="B17" s="249" t="s">
        <v>19</v>
      </c>
      <c r="C17" s="250" t="s">
        <v>20</v>
      </c>
      <c r="D17" s="251" t="s">
        <v>21</v>
      </c>
      <c r="E17" s="252"/>
      <c r="F17" s="253" t="s">
        <v>22</v>
      </c>
      <c r="G17" s="254" t="s">
        <v>23</v>
      </c>
      <c r="H17" s="255" t="s">
        <v>24</v>
      </c>
      <c r="I17" s="310"/>
      <c r="J17" s="311"/>
      <c r="K17" s="311"/>
      <c r="L17" s="311"/>
      <c r="M17" s="311"/>
    </row>
    <row r="18" ht="16.5" spans="2:13">
      <c r="B18" s="256">
        <v>1</v>
      </c>
      <c r="C18" s="257" t="s">
        <v>25</v>
      </c>
      <c r="D18" s="258" t="s">
        <v>26</v>
      </c>
      <c r="E18" s="259"/>
      <c r="F18" s="260" t="s">
        <v>27</v>
      </c>
      <c r="G18" s="261">
        <f>'（居民）工资表-9月'!E10</f>
        <v>0</v>
      </c>
      <c r="H18" s="262"/>
      <c r="I18" s="310"/>
      <c r="J18" s="311"/>
      <c r="K18" s="311"/>
      <c r="L18" s="311"/>
      <c r="M18" s="311"/>
    </row>
    <row r="19" ht="16.5" spans="2:13">
      <c r="B19" s="256">
        <v>2</v>
      </c>
      <c r="C19" s="263"/>
      <c r="D19" s="264" t="s">
        <v>28</v>
      </c>
      <c r="E19" s="265" t="s">
        <v>29</v>
      </c>
      <c r="F19" s="260"/>
      <c r="G19" s="261">
        <f>社保!AW5</f>
        <v>2225.4</v>
      </c>
      <c r="H19" s="266"/>
      <c r="I19" s="310"/>
      <c r="J19" s="311"/>
      <c r="K19" s="311"/>
      <c r="L19" s="311"/>
      <c r="M19" s="311"/>
    </row>
    <row r="20" ht="16.5" spans="2:13">
      <c r="B20" s="256">
        <v>3</v>
      </c>
      <c r="C20" s="263"/>
      <c r="D20" s="264" t="s">
        <v>30</v>
      </c>
      <c r="E20" s="265" t="s">
        <v>29</v>
      </c>
      <c r="F20" s="260"/>
      <c r="G20" s="261">
        <f>社保!AX5</f>
        <v>1440</v>
      </c>
      <c r="H20" s="266"/>
      <c r="I20" s="310"/>
      <c r="J20" s="311"/>
      <c r="K20" s="311"/>
      <c r="L20" s="311"/>
      <c r="M20" s="311"/>
    </row>
    <row r="21" ht="16.5" spans="2:13">
      <c r="B21" s="256">
        <v>4</v>
      </c>
      <c r="C21" s="267"/>
      <c r="D21" s="268" t="s">
        <v>31</v>
      </c>
      <c r="E21" s="269"/>
      <c r="F21" s="270"/>
      <c r="G21" s="271">
        <f>SUM(G18:G20)</f>
        <v>3665.4</v>
      </c>
      <c r="H21" s="272"/>
      <c r="I21" s="310"/>
      <c r="J21" s="311"/>
      <c r="K21" s="311"/>
      <c r="L21" s="311"/>
      <c r="M21" s="311"/>
    </row>
    <row r="22" ht="16.5" spans="2:13">
      <c r="B22" s="256">
        <v>5</v>
      </c>
      <c r="C22" s="273" t="s">
        <v>32</v>
      </c>
      <c r="D22" s="268" t="s">
        <v>33</v>
      </c>
      <c r="E22" s="269"/>
      <c r="F22" s="274"/>
      <c r="G22" s="271">
        <f>社保!AY5</f>
        <v>120</v>
      </c>
      <c r="H22" s="262"/>
      <c r="I22" s="310"/>
      <c r="J22" s="311"/>
      <c r="K22" s="311"/>
      <c r="L22" s="311"/>
      <c r="M22" s="311"/>
    </row>
    <row r="23" ht="16.5" spans="2:13">
      <c r="B23" s="275">
        <v>6</v>
      </c>
      <c r="C23" s="276" t="s">
        <v>34</v>
      </c>
      <c r="D23" s="277"/>
      <c r="E23" s="278"/>
      <c r="F23" s="279"/>
      <c r="G23" s="271">
        <v>0.4</v>
      </c>
      <c r="H23" s="262" t="s">
        <v>35</v>
      </c>
      <c r="I23" s="310"/>
      <c r="J23" s="311"/>
      <c r="K23" s="311"/>
      <c r="L23" s="311"/>
      <c r="M23" s="311"/>
    </row>
    <row r="24" ht="16.5" spans="2:13">
      <c r="B24" s="280" t="s">
        <v>36</v>
      </c>
      <c r="C24" s="281"/>
      <c r="D24" s="281"/>
      <c r="E24" s="281"/>
      <c r="F24" s="282"/>
      <c r="G24" s="283">
        <f>G22+G21+G23</f>
        <v>3785.8</v>
      </c>
      <c r="H24" s="284"/>
      <c r="I24" s="310"/>
      <c r="J24" s="310"/>
      <c r="K24" s="310"/>
      <c r="L24" s="310"/>
      <c r="M24" s="310"/>
    </row>
    <row r="25" ht="17.25" spans="2:13">
      <c r="B25" s="285" t="s">
        <v>37</v>
      </c>
      <c r="C25" s="286"/>
      <c r="D25" s="286"/>
      <c r="E25" s="286"/>
      <c r="F25" s="287"/>
      <c r="G25" s="288">
        <f>G24</f>
        <v>3785.8</v>
      </c>
      <c r="H25" s="289"/>
      <c r="I25" s="310"/>
      <c r="J25" s="310"/>
      <c r="K25" s="310"/>
      <c r="L25" s="310"/>
      <c r="M25" s="310"/>
    </row>
    <row r="26" ht="14.25"/>
    <row r="29" spans="11:11">
      <c r="K29" s="312"/>
    </row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K11:M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B24:F24"/>
    <mergeCell ref="B25:F25"/>
    <mergeCell ref="C18:C21"/>
    <mergeCell ref="J17:M22"/>
  </mergeCells>
  <conditionalFormatting sqref="F19 C21:E21 F20:H21">
    <cfRule type="cellIs" dxfId="0" priority="4" stopIfTrue="1" operator="equal">
      <formula>"現金"</formula>
    </cfRule>
    <cfRule type="cellIs" dxfId="1" priority="3" stopIfTrue="1" operator="equal">
      <formula>"信用卡"</formula>
    </cfRule>
  </conditionalFormatting>
  <conditionalFormatting sqref="G20 E19:E20 C21:E21 G21:H21">
    <cfRule type="cellIs" dxfId="0" priority="2" stopIfTrue="1" operator="equal">
      <formula>"現金"</formula>
    </cfRule>
    <cfRule type="cellIs" dxfId="1" priority="1" stopIfTrue="1" operator="equal">
      <formula>"信用卡"</formula>
    </cfRule>
  </conditionalFormatting>
  <pageMargins left="0.75" right="0.75" top="1" bottom="1" header="0.5" footer="0.5"/>
  <headerFooter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8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1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80</v>
      </c>
      <c r="B1" s="21"/>
      <c r="C1" s="22"/>
      <c r="D1" s="23"/>
      <c r="E1" s="24"/>
      <c r="F1" s="24"/>
      <c r="G1" s="25"/>
      <c r="J1" s="62"/>
      <c r="L1" s="63"/>
      <c r="M1" s="64" t="s">
        <v>81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82</v>
      </c>
      <c r="C2" s="28" t="s">
        <v>83</v>
      </c>
      <c r="D2" s="28" t="s">
        <v>84</v>
      </c>
      <c r="E2" s="29" t="s">
        <v>85</v>
      </c>
      <c r="F2" s="30" t="s">
        <v>86</v>
      </c>
      <c r="G2" s="29" t="s">
        <v>87</v>
      </c>
      <c r="H2" s="29" t="s">
        <v>88</v>
      </c>
      <c r="I2" s="29" t="s">
        <v>89</v>
      </c>
      <c r="J2" s="65" t="s">
        <v>90</v>
      </c>
      <c r="K2" s="29" t="s">
        <v>91</v>
      </c>
      <c r="L2" s="29" t="s">
        <v>92</v>
      </c>
      <c r="M2" s="66" t="s">
        <v>93</v>
      </c>
      <c r="N2" s="67"/>
      <c r="O2" s="67"/>
      <c r="P2" s="68"/>
      <c r="Q2" s="30" t="s">
        <v>94</v>
      </c>
      <c r="R2" s="29" t="s">
        <v>95</v>
      </c>
      <c r="S2" s="30" t="s">
        <v>96</v>
      </c>
      <c r="T2" s="86" t="s">
        <v>97</v>
      </c>
      <c r="U2" s="30" t="s">
        <v>98</v>
      </c>
      <c r="V2" s="87" t="s">
        <v>99</v>
      </c>
      <c r="W2" s="88"/>
      <c r="X2" s="88"/>
      <c r="Y2" s="88"/>
      <c r="Z2" s="88"/>
      <c r="AA2" s="94"/>
      <c r="AB2" s="30" t="s">
        <v>100</v>
      </c>
      <c r="AC2" s="30" t="s">
        <v>101</v>
      </c>
      <c r="AD2" s="86" t="s">
        <v>102</v>
      </c>
      <c r="AE2" s="86" t="s">
        <v>103</v>
      </c>
      <c r="AF2" s="86" t="s">
        <v>104</v>
      </c>
      <c r="AG2" s="86" t="s">
        <v>105</v>
      </c>
      <c r="AH2" s="100" t="s">
        <v>106</v>
      </c>
      <c r="AI2" s="101" t="s">
        <v>107</v>
      </c>
      <c r="AJ2" s="100" t="s">
        <v>108</v>
      </c>
      <c r="AK2" s="28" t="s">
        <v>58</v>
      </c>
      <c r="AL2" s="100" t="s">
        <v>109</v>
      </c>
      <c r="AM2" s="29" t="s">
        <v>110</v>
      </c>
      <c r="AN2" s="29" t="s">
        <v>111</v>
      </c>
      <c r="AO2" s="111" t="s">
        <v>112</v>
      </c>
      <c r="AP2" s="29" t="s">
        <v>113</v>
      </c>
      <c r="AQ2" s="29" t="s">
        <v>114</v>
      </c>
      <c r="AR2" s="30" t="s">
        <v>115</v>
      </c>
      <c r="AS2" s="30" t="s">
        <v>116</v>
      </c>
      <c r="AT2" s="30" t="s">
        <v>117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118</v>
      </c>
      <c r="N3" s="70" t="s">
        <v>119</v>
      </c>
      <c r="O3" s="70" t="s">
        <v>120</v>
      </c>
      <c r="P3" s="70" t="s">
        <v>71</v>
      </c>
      <c r="Q3" s="35"/>
      <c r="R3" s="34"/>
      <c r="S3" s="35"/>
      <c r="T3" s="89"/>
      <c r="U3" s="35"/>
      <c r="V3" s="90" t="s">
        <v>121</v>
      </c>
      <c r="W3" s="90" t="s">
        <v>122</v>
      </c>
      <c r="X3" s="90" t="s">
        <v>123</v>
      </c>
      <c r="Y3" s="90" t="s">
        <v>124</v>
      </c>
      <c r="Z3" s="90" t="s">
        <v>125</v>
      </c>
      <c r="AA3" s="90" t="s">
        <v>126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127</v>
      </c>
      <c r="C4" s="37" t="s">
        <v>139</v>
      </c>
      <c r="D4" s="37" t="s">
        <v>129</v>
      </c>
      <c r="E4" s="37" t="s">
        <v>140</v>
      </c>
      <c r="F4" s="38" t="s">
        <v>207</v>
      </c>
      <c r="G4" s="39">
        <v>15652649555</v>
      </c>
      <c r="H4" s="40"/>
      <c r="I4" s="40"/>
      <c r="J4" s="115"/>
      <c r="K4" s="40"/>
      <c r="L4" s="72">
        <v>11500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1" si="0">ROUND(SUM(M4:P4),2)</f>
        <v>1009.8</v>
      </c>
      <c r="R4" s="72">
        <v>0</v>
      </c>
      <c r="S4" s="92">
        <f>L4+IFERROR(VLOOKUP($E:$E,'（居民）工资表-6月'!$E:$S,15,0),0)</f>
        <v>78034.4827586207</v>
      </c>
      <c r="T4" s="93">
        <f>5000+IFERROR(VLOOKUP($E:$E,'（居民）工资表-6月'!$E:$T,16,0),0)</f>
        <v>35000</v>
      </c>
      <c r="U4" s="93">
        <f>Q4+IFERROR(VLOOKUP($E:$E,'（居民）工资表-6月'!$E:$U,17,0),0)</f>
        <v>7068.6</v>
      </c>
      <c r="V4" s="72"/>
      <c r="W4" s="72"/>
      <c r="X4" s="72"/>
      <c r="Y4" s="72"/>
      <c r="Z4" s="72"/>
      <c r="AA4" s="72"/>
      <c r="AB4" s="92">
        <f t="shared" ref="AB4:AB11" si="1">ROUND(SUM(V4:AA4),2)</f>
        <v>0</v>
      </c>
      <c r="AC4" s="92">
        <f>R4+IFERROR(VLOOKUP($E:$E,'（居民）工资表-6月'!$E:$AC,25,0),0)</f>
        <v>0</v>
      </c>
      <c r="AD4" s="95">
        <f t="shared" ref="AD4:AD11" si="2">ROUND(S4-T4-U4-AB4-AC4,2)</f>
        <v>35965.88</v>
      </c>
      <c r="AE4" s="96">
        <f>ROUND(MAX((AD4)*{0.03;0.1;0.2;0.25;0.3;0.35;0.45}-{0;2520;16920;31920;52920;85920;181920},0),2)</f>
        <v>1078.98</v>
      </c>
      <c r="AF4" s="97">
        <f>IFERROR(VLOOKUP(E:E,'（居民）工资表-6月'!E:AF,28,0)+VLOOKUP(E:E,'（居民）工资表-6月'!E:AG,29,0),0)</f>
        <v>914.27</v>
      </c>
      <c r="AG4" s="97">
        <f t="shared" ref="AG4:AG11" si="3">IF((AE4-AF4)&lt;0,0,AE4-AF4)</f>
        <v>164.71</v>
      </c>
      <c r="AH4" s="104">
        <f t="shared" ref="AH4:AH11" si="4">ROUND(IF((L4-Q4-AG4)&lt;0,0,(L4-Q4-AG4)),2)</f>
        <v>10325.49</v>
      </c>
      <c r="AI4" s="105"/>
      <c r="AJ4" s="104">
        <f t="shared" ref="AJ4:AJ11" si="5">AH4+AI4</f>
        <v>10325.49</v>
      </c>
      <c r="AK4" s="106"/>
      <c r="AL4" s="104">
        <f t="shared" ref="AL4:AL11" si="6">AJ4+AG4+AK4</f>
        <v>10490.2</v>
      </c>
      <c r="AM4" s="106"/>
      <c r="AN4" s="106"/>
      <c r="AO4" s="106"/>
      <c r="AP4" s="106"/>
      <c r="AQ4" s="106"/>
      <c r="AR4" s="113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1" si="8">IF(SUMPRODUCT(N(E$1:E$11=E4))&gt;1,"重复","不")</f>
        <v>不</v>
      </c>
      <c r="AT4" s="113" t="str">
        <f t="shared" ref="AT4:AT11" si="9">IF(SUMPRODUCT(N(AO$1:AO$11=AO4))&gt;1,"重复","不")</f>
        <v>重复</v>
      </c>
    </row>
    <row r="5" s="12" customFormat="1" ht="18" customHeight="1" spans="1:46">
      <c r="A5" s="36">
        <v>2</v>
      </c>
      <c r="B5" s="37" t="s">
        <v>127</v>
      </c>
      <c r="C5" s="37" t="s">
        <v>141</v>
      </c>
      <c r="D5" s="37" t="s">
        <v>129</v>
      </c>
      <c r="E5" s="313" t="s">
        <v>142</v>
      </c>
      <c r="F5" s="38" t="s">
        <v>207</v>
      </c>
      <c r="G5" s="39">
        <v>17611149839</v>
      </c>
      <c r="H5" s="40"/>
      <c r="I5" s="40"/>
      <c r="J5" s="115"/>
      <c r="K5" s="40"/>
      <c r="L5" s="72">
        <v>11724.1379310345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0"/>
        <v>1009.8</v>
      </c>
      <c r="R5" s="72">
        <v>0</v>
      </c>
      <c r="S5" s="92">
        <f>L5+IFERROR(VLOOKUP($E:$E,'（居民）工资表-6月'!$E:$S,15,0),0)</f>
        <v>75105.5172413793</v>
      </c>
      <c r="T5" s="93">
        <f>5000+IFERROR(VLOOKUP($E:$E,'（居民）工资表-6月'!$E:$T,16,0),0)</f>
        <v>35000</v>
      </c>
      <c r="U5" s="93">
        <f>Q5+IFERROR(VLOOKUP($E:$E,'（居民）工资表-6月'!$E:$U,17,0),0)</f>
        <v>7068.6</v>
      </c>
      <c r="V5" s="72"/>
      <c r="W5" s="72"/>
      <c r="X5" s="72"/>
      <c r="Y5" s="72"/>
      <c r="Z5" s="72"/>
      <c r="AA5" s="72"/>
      <c r="AB5" s="92">
        <f t="shared" si="1"/>
        <v>0</v>
      </c>
      <c r="AC5" s="92">
        <f>R5+IFERROR(VLOOKUP($E:$E,'（居民）工资表-6月'!$E:$AC,25,0),0)</f>
        <v>0</v>
      </c>
      <c r="AD5" s="95">
        <f t="shared" si="2"/>
        <v>33036.92</v>
      </c>
      <c r="AE5" s="96">
        <f>ROUND(MAX((AD5)*{0.03;0.1;0.2;0.25;0.3;0.35;0.45}-{0;2520;16920;31920;52920;85920;181920},0),2)</f>
        <v>991.11</v>
      </c>
      <c r="AF5" s="97">
        <f>IFERROR(VLOOKUP(E:E,'（居民）工资表-6月'!E:AF,28,0)+VLOOKUP(E:E,'（居民）工资表-6月'!E:AG,29,0),0)</f>
        <v>819.68</v>
      </c>
      <c r="AG5" s="97">
        <f t="shared" si="3"/>
        <v>171.43</v>
      </c>
      <c r="AH5" s="104">
        <f t="shared" si="4"/>
        <v>10542.91</v>
      </c>
      <c r="AI5" s="105"/>
      <c r="AJ5" s="104">
        <f t="shared" si="5"/>
        <v>10542.91</v>
      </c>
      <c r="AK5" s="106"/>
      <c r="AL5" s="104">
        <f t="shared" si="6"/>
        <v>10714.34</v>
      </c>
      <c r="AM5" s="106"/>
      <c r="AN5" s="106"/>
      <c r="AO5" s="106"/>
      <c r="AP5" s="106"/>
      <c r="AQ5" s="106"/>
      <c r="AR5" s="113" t="str">
        <f t="shared" si="7"/>
        <v>正确</v>
      </c>
      <c r="AS5" s="113" t="str">
        <f t="shared" si="8"/>
        <v>不</v>
      </c>
      <c r="AT5" s="113" t="str">
        <f t="shared" si="9"/>
        <v>重复</v>
      </c>
    </row>
    <row r="6" s="12" customFormat="1" ht="18" customHeight="1" spans="1:46">
      <c r="A6" s="36">
        <v>3</v>
      </c>
      <c r="B6" s="37" t="s">
        <v>127</v>
      </c>
      <c r="C6" s="37" t="s">
        <v>143</v>
      </c>
      <c r="D6" s="37" t="s">
        <v>129</v>
      </c>
      <c r="E6" s="313" t="s">
        <v>144</v>
      </c>
      <c r="F6" s="38" t="s">
        <v>207</v>
      </c>
      <c r="G6" s="39">
        <v>13596154643</v>
      </c>
      <c r="H6" s="40"/>
      <c r="I6" s="40"/>
      <c r="J6" s="115"/>
      <c r="K6" s="40"/>
      <c r="L6" s="72">
        <v>11764.367816092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0"/>
        <v>1009.8</v>
      </c>
      <c r="R6" s="72">
        <v>0</v>
      </c>
      <c r="S6" s="92">
        <f>L6+IFERROR(VLOOKUP($E:$E,'（居民）工资表-6月'!$E:$S,15,0),0)</f>
        <v>77750.1149425288</v>
      </c>
      <c r="T6" s="93">
        <f>5000+IFERROR(VLOOKUP($E:$E,'（居民）工资表-6月'!$E:$T,16,0),0)</f>
        <v>35000</v>
      </c>
      <c r="U6" s="93">
        <f>Q6+IFERROR(VLOOKUP($E:$E,'（居民）工资表-6月'!$E:$U,17,0),0)</f>
        <v>7068.6</v>
      </c>
      <c r="V6" s="72"/>
      <c r="W6" s="72"/>
      <c r="X6" s="72"/>
      <c r="Y6" s="72"/>
      <c r="Z6" s="72"/>
      <c r="AA6" s="72"/>
      <c r="AB6" s="92">
        <f t="shared" si="1"/>
        <v>0</v>
      </c>
      <c r="AC6" s="92">
        <f>R6+IFERROR(VLOOKUP($E:$E,'（居民）工资表-6月'!$E:$AC,25,0),0)</f>
        <v>0</v>
      </c>
      <c r="AD6" s="95">
        <f t="shared" si="2"/>
        <v>35681.51</v>
      </c>
      <c r="AE6" s="96">
        <f>ROUND(MAX((AD6)*{0.03;0.1;0.2;0.25;0.3;0.35;0.45}-{0;2520;16920;31920;52920;85920;181920},0),2)</f>
        <v>1070.45</v>
      </c>
      <c r="AF6" s="97">
        <f>IFERROR(VLOOKUP(E:E,'（居民）工资表-6月'!E:AF,28,0)+VLOOKUP(E:E,'（居民）工资表-6月'!E:AG,29,0),0)</f>
        <v>897.81</v>
      </c>
      <c r="AG6" s="97">
        <f t="shared" si="3"/>
        <v>172.64</v>
      </c>
      <c r="AH6" s="104">
        <f t="shared" si="4"/>
        <v>10581.93</v>
      </c>
      <c r="AI6" s="105"/>
      <c r="AJ6" s="104">
        <f t="shared" si="5"/>
        <v>10581.93</v>
      </c>
      <c r="AK6" s="106"/>
      <c r="AL6" s="104">
        <f t="shared" si="6"/>
        <v>10754.57</v>
      </c>
      <c r="AM6" s="106"/>
      <c r="AN6" s="106"/>
      <c r="AO6" s="106"/>
      <c r="AP6" s="106"/>
      <c r="AQ6" s="106"/>
      <c r="AR6" s="113" t="str">
        <f t="shared" si="7"/>
        <v>正确</v>
      </c>
      <c r="AS6" s="113" t="str">
        <f t="shared" si="8"/>
        <v>不</v>
      </c>
      <c r="AT6" s="113" t="str">
        <f t="shared" si="9"/>
        <v>重复</v>
      </c>
    </row>
    <row r="7" s="12" customFormat="1" ht="18" customHeight="1" spans="1:46">
      <c r="A7" s="36">
        <v>5</v>
      </c>
      <c r="B7" s="37" t="s">
        <v>127</v>
      </c>
      <c r="C7" s="37" t="s">
        <v>151</v>
      </c>
      <c r="D7" s="37" t="s">
        <v>129</v>
      </c>
      <c r="E7" s="313" t="s">
        <v>152</v>
      </c>
      <c r="F7" s="38" t="s">
        <v>204</v>
      </c>
      <c r="G7" s="39">
        <v>18674014622</v>
      </c>
      <c r="H7" s="40"/>
      <c r="I7" s="40"/>
      <c r="J7" s="115"/>
      <c r="K7" s="40"/>
      <c r="L7" s="72">
        <v>10000</v>
      </c>
      <c r="M7" s="73">
        <v>428.8</v>
      </c>
      <c r="N7" s="73">
        <v>110.2</v>
      </c>
      <c r="O7" s="73">
        <v>26.8</v>
      </c>
      <c r="P7" s="73">
        <v>600</v>
      </c>
      <c r="Q7" s="91">
        <f t="shared" si="0"/>
        <v>1165.8</v>
      </c>
      <c r="R7" s="72">
        <v>0</v>
      </c>
      <c r="S7" s="92">
        <f>L7+IFERROR(VLOOKUP($E:$E,'（居民）工资表-6月'!$E:$S,15,0),0)</f>
        <v>68275.8620689655</v>
      </c>
      <c r="T7" s="93">
        <f>5000+IFERROR(VLOOKUP($E:$E,'（居民）工资表-6月'!$E:$T,16,0),0)</f>
        <v>35000</v>
      </c>
      <c r="U7" s="93">
        <f>Q7+IFERROR(VLOOKUP($E:$E,'（居民）工资表-6月'!$E:$U,17,0),0)</f>
        <v>8160.6</v>
      </c>
      <c r="V7" s="72"/>
      <c r="W7" s="72"/>
      <c r="X7" s="72"/>
      <c r="Y7" s="72"/>
      <c r="Z7" s="72"/>
      <c r="AA7" s="72"/>
      <c r="AB7" s="92">
        <f t="shared" si="1"/>
        <v>0</v>
      </c>
      <c r="AC7" s="92">
        <f>R7+IFERROR(VLOOKUP($E:$E,'（居民）工资表-6月'!$E:$AC,25,0),0)</f>
        <v>0</v>
      </c>
      <c r="AD7" s="95">
        <f t="shared" si="2"/>
        <v>25115.26</v>
      </c>
      <c r="AE7" s="96">
        <f>ROUND(MAX((AD7)*{0.03;0.1;0.2;0.25;0.3;0.35;0.45}-{0;2520;16920;31920;52920;85920;181920},0),2)</f>
        <v>753.46</v>
      </c>
      <c r="AF7" s="97">
        <f>IFERROR(VLOOKUP(E:E,'（居民）工资表-6月'!E:AF,28,0)+VLOOKUP(E:E,'（居民）工资表-6月'!E:AG,29,0),0)</f>
        <v>638.43</v>
      </c>
      <c r="AG7" s="97">
        <f t="shared" si="3"/>
        <v>115.03</v>
      </c>
      <c r="AH7" s="104">
        <f t="shared" si="4"/>
        <v>8719.17</v>
      </c>
      <c r="AI7" s="105"/>
      <c r="AJ7" s="104">
        <f t="shared" si="5"/>
        <v>8719.17</v>
      </c>
      <c r="AK7" s="106"/>
      <c r="AL7" s="104">
        <f t="shared" si="6"/>
        <v>8834.2</v>
      </c>
      <c r="AM7" s="106"/>
      <c r="AN7" s="106"/>
      <c r="AO7" s="106"/>
      <c r="AP7" s="106"/>
      <c r="AQ7" s="106"/>
      <c r="AR7" s="113" t="str">
        <f t="shared" si="7"/>
        <v>正确</v>
      </c>
      <c r="AS7" s="113" t="str">
        <f t="shared" si="8"/>
        <v>不</v>
      </c>
      <c r="AT7" s="113" t="str">
        <f t="shared" si="9"/>
        <v>重复</v>
      </c>
    </row>
    <row r="8" s="12" customFormat="1" ht="18" customHeight="1" spans="1:46">
      <c r="A8" s="36">
        <v>6</v>
      </c>
      <c r="B8" s="37" t="s">
        <v>127</v>
      </c>
      <c r="C8" s="37" t="s">
        <v>153</v>
      </c>
      <c r="D8" s="37" t="s">
        <v>129</v>
      </c>
      <c r="E8" s="313" t="s">
        <v>154</v>
      </c>
      <c r="F8" s="38" t="s">
        <v>204</v>
      </c>
      <c r="G8" s="39">
        <v>15145001723</v>
      </c>
      <c r="H8" s="40"/>
      <c r="I8" s="40"/>
      <c r="J8" s="115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0"/>
        <v>1009.8</v>
      </c>
      <c r="R8" s="72">
        <v>0</v>
      </c>
      <c r="S8" s="92">
        <f>L8+IFERROR(VLOOKUP($E:$E,'（居民）工资表-6月'!$E:$S,15,0),0)</f>
        <v>62758.6206896552</v>
      </c>
      <c r="T8" s="93">
        <f>5000+IFERROR(VLOOKUP($E:$E,'（居民）工资表-6月'!$E:$T,16,0),0)</f>
        <v>35000</v>
      </c>
      <c r="U8" s="93">
        <f>Q8+IFERROR(VLOOKUP($E:$E,'（居民）工资表-6月'!$E:$U,17,0),0)</f>
        <v>6058.8</v>
      </c>
      <c r="V8" s="72"/>
      <c r="W8" s="72"/>
      <c r="X8" s="72"/>
      <c r="Y8" s="72"/>
      <c r="Z8" s="72"/>
      <c r="AA8" s="72"/>
      <c r="AB8" s="92">
        <f t="shared" si="1"/>
        <v>0</v>
      </c>
      <c r="AC8" s="92">
        <f>R8+IFERROR(VLOOKUP($E:$E,'（居民）工资表-6月'!$E:$AC,25,0),0)</f>
        <v>0</v>
      </c>
      <c r="AD8" s="95">
        <f t="shared" si="2"/>
        <v>21699.82</v>
      </c>
      <c r="AE8" s="96">
        <f>ROUND(MAX((AD8)*{0.03;0.1;0.2;0.25;0.3;0.35;0.45}-{0;2520;16920;31920;52920;85920;181920},0),2)</f>
        <v>650.99</v>
      </c>
      <c r="AF8" s="97">
        <f>IFERROR(VLOOKUP(E:E,'（居民）工资表-6月'!E:AF,28,0)+VLOOKUP(E:E,'（居民）工资表-6月'!E:AG,29,0),0)</f>
        <v>531.29</v>
      </c>
      <c r="AG8" s="97">
        <f t="shared" si="3"/>
        <v>119.7</v>
      </c>
      <c r="AH8" s="104">
        <f t="shared" si="4"/>
        <v>8870.5</v>
      </c>
      <c r="AI8" s="105"/>
      <c r="AJ8" s="104">
        <f t="shared" si="5"/>
        <v>8870.5</v>
      </c>
      <c r="AK8" s="106"/>
      <c r="AL8" s="104">
        <f t="shared" si="6"/>
        <v>8990.2</v>
      </c>
      <c r="AM8" s="106"/>
      <c r="AN8" s="106"/>
      <c r="AO8" s="106"/>
      <c r="AP8" s="106"/>
      <c r="AQ8" s="106"/>
      <c r="AR8" s="113" t="str">
        <f t="shared" si="7"/>
        <v>正确</v>
      </c>
      <c r="AS8" s="113" t="str">
        <f t="shared" si="8"/>
        <v>不</v>
      </c>
      <c r="AT8" s="113" t="str">
        <f t="shared" si="9"/>
        <v>重复</v>
      </c>
    </row>
    <row r="9" s="12" customFormat="1" ht="18" customHeight="1" spans="1:46">
      <c r="A9" s="36">
        <v>7</v>
      </c>
      <c r="B9" s="37" t="s">
        <v>127</v>
      </c>
      <c r="C9" s="37" t="s">
        <v>169</v>
      </c>
      <c r="D9" s="37" t="s">
        <v>129</v>
      </c>
      <c r="E9" s="313" t="s">
        <v>170</v>
      </c>
      <c r="F9" s="38" t="s">
        <v>204</v>
      </c>
      <c r="G9" s="39">
        <v>18745463721</v>
      </c>
      <c r="H9" s="40"/>
      <c r="I9" s="40"/>
      <c r="J9" s="115"/>
      <c r="K9" s="40"/>
      <c r="L9" s="72">
        <v>10494.2528735632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0"/>
        <v>1009.8</v>
      </c>
      <c r="R9" s="72">
        <v>0</v>
      </c>
      <c r="S9" s="92">
        <f>L9+IFERROR(VLOOKUP($E:$E,'（居民）工资表-6月'!$E:$S,15,0),0)</f>
        <v>58540.2298850575</v>
      </c>
      <c r="T9" s="93">
        <f>5000+IFERROR(VLOOKUP($E:$E,'（居民）工资表-6月'!$E:$T,16,0),0)</f>
        <v>30000</v>
      </c>
      <c r="U9" s="93">
        <f>Q9+IFERROR(VLOOKUP($E:$E,'（居民）工资表-6月'!$E:$U,17,0),0)</f>
        <v>6058.8</v>
      </c>
      <c r="V9" s="72"/>
      <c r="W9" s="72"/>
      <c r="X9" s="72"/>
      <c r="Y9" s="72"/>
      <c r="Z9" s="72"/>
      <c r="AA9" s="72"/>
      <c r="AB9" s="92">
        <f t="shared" si="1"/>
        <v>0</v>
      </c>
      <c r="AC9" s="92">
        <f>R9+IFERROR(VLOOKUP($E:$E,'（居民）工资表-6月'!$E:$AC,25,0),0)</f>
        <v>0</v>
      </c>
      <c r="AD9" s="95">
        <f t="shared" si="2"/>
        <v>22481.43</v>
      </c>
      <c r="AE9" s="96">
        <f>ROUND(MAX((AD9)*{0.03;0.1;0.2;0.25;0.3;0.35;0.45}-{0;2520;16920;31920;52920;85920;181920},0),2)</f>
        <v>674.44</v>
      </c>
      <c r="AF9" s="97">
        <f>IFERROR(VLOOKUP(E:E,'（居民）工资表-6月'!E:AF,28,0)+VLOOKUP(E:E,'（居民）工资表-6月'!E:AG,29,0),0)</f>
        <v>539.91</v>
      </c>
      <c r="AG9" s="97">
        <f t="shared" si="3"/>
        <v>134.53</v>
      </c>
      <c r="AH9" s="104">
        <f t="shared" si="4"/>
        <v>9349.92</v>
      </c>
      <c r="AI9" s="105"/>
      <c r="AJ9" s="104">
        <f t="shared" si="5"/>
        <v>9349.92</v>
      </c>
      <c r="AK9" s="106"/>
      <c r="AL9" s="104">
        <f t="shared" si="6"/>
        <v>9484.45</v>
      </c>
      <c r="AM9" s="106"/>
      <c r="AN9" s="106"/>
      <c r="AO9" s="106"/>
      <c r="AP9" s="106"/>
      <c r="AQ9" s="106"/>
      <c r="AR9" s="113" t="str">
        <f t="shared" si="7"/>
        <v>正确</v>
      </c>
      <c r="AS9" s="113" t="str">
        <f t="shared" si="8"/>
        <v>不</v>
      </c>
      <c r="AT9" s="113" t="str">
        <f t="shared" si="9"/>
        <v>重复</v>
      </c>
    </row>
    <row r="10" s="12" customFormat="1" ht="18" customHeight="1" spans="1:46">
      <c r="A10" s="36">
        <v>8</v>
      </c>
      <c r="B10" s="37" t="s">
        <v>127</v>
      </c>
      <c r="C10" s="37" t="s">
        <v>171</v>
      </c>
      <c r="D10" s="37" t="s">
        <v>129</v>
      </c>
      <c r="E10" s="313" t="s">
        <v>172</v>
      </c>
      <c r="F10" s="38" t="s">
        <v>204</v>
      </c>
      <c r="G10" s="39">
        <v>18935711299</v>
      </c>
      <c r="H10" s="40"/>
      <c r="I10" s="40"/>
      <c r="J10" s="115"/>
      <c r="K10" s="40"/>
      <c r="L10" s="72">
        <v>11000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0"/>
        <v>1009.8</v>
      </c>
      <c r="R10" s="72">
        <v>0</v>
      </c>
      <c r="S10" s="92">
        <f>L10+IFERROR(VLOOKUP($E:$E,'（居民）工资表-6月'!$E:$S,15,0),0)</f>
        <v>64361.3793103448</v>
      </c>
      <c r="T10" s="93">
        <f>5000+IFERROR(VLOOKUP($E:$E,'（居民）工资表-6月'!$E:$T,16,0),0)</f>
        <v>30000</v>
      </c>
      <c r="U10" s="93">
        <f>Q10+IFERROR(VLOOKUP($E:$E,'（居民）工资表-6月'!$E:$U,17,0),0)</f>
        <v>6058.8</v>
      </c>
      <c r="V10" s="72"/>
      <c r="W10" s="72"/>
      <c r="X10" s="72"/>
      <c r="Y10" s="72"/>
      <c r="Z10" s="72"/>
      <c r="AA10" s="72"/>
      <c r="AB10" s="92">
        <f t="shared" si="1"/>
        <v>0</v>
      </c>
      <c r="AC10" s="92">
        <f>R10+IFERROR(VLOOKUP($E:$E,'（居民）工资表-6月'!$E:$AC,25,0),0)</f>
        <v>0</v>
      </c>
      <c r="AD10" s="95">
        <f t="shared" si="2"/>
        <v>28302.58</v>
      </c>
      <c r="AE10" s="96">
        <f>ROUND(MAX((AD10)*{0.03;0.1;0.2;0.25;0.3;0.35;0.45}-{0;2520;16920;31920;52920;85920;181920},0),2)</f>
        <v>849.08</v>
      </c>
      <c r="AF10" s="97">
        <f>IFERROR(VLOOKUP(E:E,'（居民）工资表-6月'!E:AF,28,0)+VLOOKUP(E:E,'（居民）工资表-6月'!E:AG,29,0),0)</f>
        <v>699.37</v>
      </c>
      <c r="AG10" s="97">
        <f t="shared" si="3"/>
        <v>149.71</v>
      </c>
      <c r="AH10" s="104">
        <f t="shared" si="4"/>
        <v>9840.49</v>
      </c>
      <c r="AI10" s="105"/>
      <c r="AJ10" s="104">
        <f t="shared" si="5"/>
        <v>9840.49</v>
      </c>
      <c r="AK10" s="106"/>
      <c r="AL10" s="104">
        <f t="shared" si="6"/>
        <v>9990.2</v>
      </c>
      <c r="AM10" s="106"/>
      <c r="AN10" s="106"/>
      <c r="AO10" s="106"/>
      <c r="AP10" s="106"/>
      <c r="AQ10" s="106"/>
      <c r="AR10" s="113" t="str">
        <f t="shared" si="7"/>
        <v>正确</v>
      </c>
      <c r="AS10" s="113" t="str">
        <f t="shared" si="8"/>
        <v>不</v>
      </c>
      <c r="AT10" s="113" t="str">
        <f t="shared" si="9"/>
        <v>重复</v>
      </c>
    </row>
    <row r="11" s="12" customFormat="1" ht="18" customHeight="1" spans="1:46">
      <c r="A11" s="36">
        <v>9</v>
      </c>
      <c r="B11" s="37" t="s">
        <v>127</v>
      </c>
      <c r="C11" s="37" t="s">
        <v>173</v>
      </c>
      <c r="D11" s="37" t="s">
        <v>129</v>
      </c>
      <c r="E11" s="313" t="s">
        <v>174</v>
      </c>
      <c r="F11" s="38" t="s">
        <v>204</v>
      </c>
      <c r="G11" s="39">
        <v>13301242552</v>
      </c>
      <c r="H11" s="40"/>
      <c r="I11" s="40"/>
      <c r="J11" s="115"/>
      <c r="K11" s="40"/>
      <c r="L11" s="72">
        <v>14000</v>
      </c>
      <c r="M11" s="73">
        <v>640</v>
      </c>
      <c r="N11" s="73">
        <v>163</v>
      </c>
      <c r="O11" s="73">
        <v>40</v>
      </c>
      <c r="P11" s="73">
        <v>960</v>
      </c>
      <c r="Q11" s="91">
        <f t="shared" si="0"/>
        <v>1803</v>
      </c>
      <c r="R11" s="72">
        <v>0</v>
      </c>
      <c r="S11" s="92">
        <f>L11+IFERROR(VLOOKUP($E:$E,'（居民）工资表-6月'!$E:$S,15,0),0)</f>
        <v>83000</v>
      </c>
      <c r="T11" s="93">
        <f>5000+IFERROR(VLOOKUP($E:$E,'（居民）工资表-6月'!$E:$T,16,0),0)</f>
        <v>25000</v>
      </c>
      <c r="U11" s="93">
        <f>Q11+IFERROR(VLOOKUP($E:$E,'（居民）工资表-6月'!$E:$U,17,0),0)</f>
        <v>9015</v>
      </c>
      <c r="V11" s="72"/>
      <c r="W11" s="72"/>
      <c r="X11" s="72"/>
      <c r="Y11" s="72"/>
      <c r="Z11" s="72"/>
      <c r="AA11" s="72"/>
      <c r="AB11" s="92">
        <f t="shared" si="1"/>
        <v>0</v>
      </c>
      <c r="AC11" s="92">
        <f>R11+IFERROR(VLOOKUP($E:$E,'（居民）工资表-6月'!$E:$AC,25,0),0)</f>
        <v>0</v>
      </c>
      <c r="AD11" s="95">
        <f t="shared" si="2"/>
        <v>48985</v>
      </c>
      <c r="AE11" s="96">
        <f>ROUND(MAX((AD11)*{0.03;0.1;0.2;0.25;0.3;0.35;0.45}-{0;2520;16920;31920;52920;85920;181920},0),2)</f>
        <v>2378.5</v>
      </c>
      <c r="AF11" s="97">
        <f>IFERROR(VLOOKUP(E:E,'（居民）工资表-6月'!E:AF,28,0)+VLOOKUP(E:E,'（居民）工资表-6月'!E:AG,29,0),0)</f>
        <v>1658.8</v>
      </c>
      <c r="AG11" s="97">
        <f t="shared" si="3"/>
        <v>719.7</v>
      </c>
      <c r="AH11" s="104">
        <f t="shared" si="4"/>
        <v>11477.3</v>
      </c>
      <c r="AI11" s="105"/>
      <c r="AJ11" s="104">
        <f t="shared" si="5"/>
        <v>11477.3</v>
      </c>
      <c r="AK11" s="106"/>
      <c r="AL11" s="104">
        <f t="shared" si="6"/>
        <v>12197</v>
      </c>
      <c r="AM11" s="106"/>
      <c r="AN11" s="106"/>
      <c r="AO11" s="106"/>
      <c r="AP11" s="106"/>
      <c r="AQ11" s="106"/>
      <c r="AR11" s="113" t="str">
        <f t="shared" si="7"/>
        <v>正确</v>
      </c>
      <c r="AS11" s="113" t="str">
        <f t="shared" si="8"/>
        <v>不</v>
      </c>
      <c r="AT11" s="113" t="str">
        <f t="shared" si="9"/>
        <v>重复</v>
      </c>
    </row>
    <row r="12" s="13" customFormat="1" ht="18" customHeight="1" spans="1:46">
      <c r="A12" s="43"/>
      <c r="B12" s="44" t="s">
        <v>155</v>
      </c>
      <c r="C12" s="44"/>
      <c r="D12" s="45"/>
      <c r="E12" s="46"/>
      <c r="F12" s="47"/>
      <c r="G12" s="48"/>
      <c r="H12" s="47"/>
      <c r="I12" s="74"/>
      <c r="J12" s="75"/>
      <c r="K12" s="74"/>
      <c r="L12" s="76">
        <f t="shared" ref="L12:AL12" si="10">SUM(L4:L11)</f>
        <v>90482.7586206897</v>
      </c>
      <c r="M12" s="76">
        <f t="shared" si="10"/>
        <v>3641.6</v>
      </c>
      <c r="N12" s="76">
        <f t="shared" si="10"/>
        <v>934.4</v>
      </c>
      <c r="O12" s="76">
        <f t="shared" si="10"/>
        <v>227.6</v>
      </c>
      <c r="P12" s="76">
        <f t="shared" si="10"/>
        <v>4224</v>
      </c>
      <c r="Q12" s="76">
        <f t="shared" si="10"/>
        <v>9027.6</v>
      </c>
      <c r="R12" s="76">
        <f t="shared" si="10"/>
        <v>0</v>
      </c>
      <c r="S12" s="76">
        <f t="shared" si="10"/>
        <v>567826.206896552</v>
      </c>
      <c r="T12" s="76">
        <f t="shared" si="10"/>
        <v>260000</v>
      </c>
      <c r="U12" s="76">
        <f t="shared" si="10"/>
        <v>56557.8</v>
      </c>
      <c r="V12" s="76">
        <f t="shared" si="10"/>
        <v>0</v>
      </c>
      <c r="W12" s="76">
        <f t="shared" si="10"/>
        <v>0</v>
      </c>
      <c r="X12" s="76">
        <f t="shared" si="10"/>
        <v>0</v>
      </c>
      <c r="Y12" s="76">
        <f t="shared" si="10"/>
        <v>0</v>
      </c>
      <c r="Z12" s="76">
        <f t="shared" si="10"/>
        <v>0</v>
      </c>
      <c r="AA12" s="76">
        <f t="shared" si="10"/>
        <v>0</v>
      </c>
      <c r="AB12" s="76">
        <f t="shared" si="10"/>
        <v>0</v>
      </c>
      <c r="AC12" s="76">
        <f t="shared" si="10"/>
        <v>0</v>
      </c>
      <c r="AD12" s="76">
        <f t="shared" si="10"/>
        <v>251268.4</v>
      </c>
      <c r="AE12" s="76">
        <f t="shared" si="10"/>
        <v>8447.01</v>
      </c>
      <c r="AF12" s="76">
        <f t="shared" si="10"/>
        <v>6699.56</v>
      </c>
      <c r="AG12" s="76">
        <f t="shared" si="10"/>
        <v>1747.45</v>
      </c>
      <c r="AH12" s="76">
        <f t="shared" si="10"/>
        <v>79707.71</v>
      </c>
      <c r="AI12" s="107">
        <f t="shared" si="10"/>
        <v>0</v>
      </c>
      <c r="AJ12" s="76">
        <f t="shared" si="10"/>
        <v>79707.71</v>
      </c>
      <c r="AK12" s="76">
        <f t="shared" si="10"/>
        <v>0</v>
      </c>
      <c r="AL12" s="76">
        <f t="shared" si="10"/>
        <v>81455.16</v>
      </c>
      <c r="AM12" s="108"/>
      <c r="AN12" s="108"/>
      <c r="AO12" s="108"/>
      <c r="AP12" s="108"/>
      <c r="AQ12" s="108"/>
      <c r="AR12" s="47"/>
      <c r="AS12" s="47"/>
      <c r="AT12" s="114"/>
    </row>
    <row r="15" spans="30:30">
      <c r="AD15" s="98"/>
    </row>
    <row r="16" ht="18.75" customHeight="1" spans="2:30">
      <c r="B16" s="49" t="s">
        <v>108</v>
      </c>
      <c r="C16" s="49" t="s">
        <v>156</v>
      </c>
      <c r="D16" s="49" t="s">
        <v>58</v>
      </c>
      <c r="E16" s="49" t="s">
        <v>59</v>
      </c>
      <c r="AD16" s="10"/>
    </row>
    <row r="17" ht="18.75" customHeight="1" spans="2:6">
      <c r="B17" s="50">
        <f>AJ12</f>
        <v>79707.71</v>
      </c>
      <c r="C17" s="50">
        <f>AG12</f>
        <v>1747.45</v>
      </c>
      <c r="D17" s="50">
        <f>AK12</f>
        <v>0</v>
      </c>
      <c r="E17" s="50">
        <f>B17+C17+D17</f>
        <v>81455.16</v>
      </c>
      <c r="F17" s="15">
        <v>12598.95</v>
      </c>
    </row>
    <row r="18" spans="2:6">
      <c r="B18" s="51"/>
      <c r="C18" s="51"/>
      <c r="D18" s="51"/>
      <c r="E18" s="51">
        <f>E17*6.78%</f>
        <v>5522.659848</v>
      </c>
      <c r="F18" s="15">
        <v>854.20881</v>
      </c>
    </row>
    <row r="19" s="14" customFormat="1" spans="1:35">
      <c r="A19" s="52" t="s">
        <v>157</v>
      </c>
      <c r="B19" s="53" t="s">
        <v>158</v>
      </c>
      <c r="C19" s="54"/>
      <c r="D19" s="54"/>
      <c r="E19" s="54"/>
      <c r="G19" s="55"/>
      <c r="J19" s="77"/>
      <c r="M19" s="78"/>
      <c r="AI19" s="109"/>
    </row>
    <row r="20" s="14" customFormat="1" spans="1:35">
      <c r="A20" s="56"/>
      <c r="B20" s="57" t="s">
        <v>159</v>
      </c>
      <c r="C20" s="54"/>
      <c r="D20" s="54"/>
      <c r="E20" s="54"/>
      <c r="G20" s="55"/>
      <c r="J20" s="77"/>
      <c r="M20" s="78"/>
      <c r="AI20" s="109"/>
    </row>
    <row r="21" s="14" customFormat="1" spans="1:35">
      <c r="A21" s="53"/>
      <c r="B21" s="57" t="s">
        <v>160</v>
      </c>
      <c r="C21" s="58"/>
      <c r="D21" s="58"/>
      <c r="E21" s="58"/>
      <c r="F21" s="58"/>
      <c r="G21" s="58"/>
      <c r="H21" s="58"/>
      <c r="I21" s="58"/>
      <c r="J21" s="79"/>
      <c r="K21" s="58"/>
      <c r="L21" s="58"/>
      <c r="M21" s="80"/>
      <c r="N21" s="58"/>
      <c r="O21" s="58"/>
      <c r="P21" s="58"/>
      <c r="AI21" s="109"/>
    </row>
    <row r="22" s="14" customFormat="1" customHeight="1" spans="1:35">
      <c r="A22" s="57"/>
      <c r="B22" s="57" t="s">
        <v>161</v>
      </c>
      <c r="C22" s="59"/>
      <c r="D22" s="59"/>
      <c r="E22" s="59"/>
      <c r="F22" s="59"/>
      <c r="G22" s="59"/>
      <c r="H22" s="59"/>
      <c r="I22" s="81"/>
      <c r="J22" s="82"/>
      <c r="K22" s="81"/>
      <c r="L22" s="81"/>
      <c r="M22" s="83"/>
      <c r="N22" s="81"/>
      <c r="O22" s="81"/>
      <c r="P22" s="81"/>
      <c r="AI22" s="109"/>
    </row>
    <row r="23" s="14" customFormat="1" customHeight="1" spans="1:35">
      <c r="A23" s="57"/>
      <c r="B23" s="57" t="s">
        <v>162</v>
      </c>
      <c r="C23" s="59"/>
      <c r="D23" s="59"/>
      <c r="E23" s="59"/>
      <c r="F23" s="59"/>
      <c r="G23" s="59"/>
      <c r="H23" s="59"/>
      <c r="I23" s="59"/>
      <c r="J23" s="84"/>
      <c r="K23" s="59"/>
      <c r="L23" s="81"/>
      <c r="M23" s="83"/>
      <c r="N23" s="81"/>
      <c r="O23" s="81"/>
      <c r="P23" s="81"/>
      <c r="AI23" s="109"/>
    </row>
    <row r="24" s="14" customFormat="1" customHeight="1" spans="1:35">
      <c r="A24" s="57"/>
      <c r="B24" s="57" t="s">
        <v>163</v>
      </c>
      <c r="C24" s="59"/>
      <c r="D24" s="59"/>
      <c r="E24" s="59"/>
      <c r="F24" s="59"/>
      <c r="G24" s="59"/>
      <c r="H24" s="59"/>
      <c r="I24" s="81"/>
      <c r="J24" s="82"/>
      <c r="K24" s="81"/>
      <c r="L24" s="81"/>
      <c r="M24" s="83"/>
      <c r="N24" s="81"/>
      <c r="O24" s="81"/>
      <c r="P24" s="81"/>
      <c r="AI24" s="109"/>
    </row>
    <row r="26" ht="11.25" customHeight="1" spans="2:2">
      <c r="B26" s="60" t="s">
        <v>164</v>
      </c>
    </row>
    <row r="27" spans="2:2">
      <c r="B27" s="61" t="s">
        <v>165</v>
      </c>
    </row>
    <row r="28" spans="2:2">
      <c r="B28" s="61" t="s">
        <v>166</v>
      </c>
    </row>
  </sheetData>
  <autoFilter ref="A3:AT12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4">
    <cfRule type="duplicateValues" dxfId="2" priority="2" stopIfTrue="1"/>
  </conditionalFormatting>
  <conditionalFormatting sqref="B19:B23">
    <cfRule type="duplicateValues" dxfId="2" priority="3" stopIfTrue="1"/>
  </conditionalFormatting>
  <conditionalFormatting sqref="B27:B28">
    <cfRule type="duplicateValues" dxfId="2" priority="1" stopIfTrue="1"/>
  </conditionalFormatting>
  <conditionalFormatting sqref="C16:C18">
    <cfRule type="duplicateValues" dxfId="2" priority="4" stopIfTrue="1"/>
    <cfRule type="expression" dxfId="3" priority="5" stopIfTrue="1">
      <formula>AND(COUNTIF($B$12:$B$65448,C16)+COUNTIF($B$1:$B$3,C16)&gt;1,NOT(ISBLANK(C16)))</formula>
    </cfRule>
    <cfRule type="expression" dxfId="3" priority="6" stopIfTrue="1">
      <formula>AND(COUNTIF($B$23:$B$65399,C16)+COUNTIF($B$1:$B$22,C16)&gt;1,NOT(ISBLANK(C16)))</formula>
    </cfRule>
    <cfRule type="expression" dxfId="3" priority="7" stopIfTrue="1">
      <formula>AND(COUNTIF($B$12:$B$65437,C16)+COUNTIF($B$1:$B$3,C16)&gt;1,NOT(ISBLANK(C16)))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9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Q13" sqref="Q13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12.6333333333333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80</v>
      </c>
      <c r="B1" s="21"/>
      <c r="C1" s="22"/>
      <c r="D1" s="23"/>
      <c r="E1" s="24"/>
      <c r="F1" s="24"/>
      <c r="G1" s="25"/>
      <c r="J1" s="62"/>
      <c r="L1" s="63"/>
      <c r="M1" s="64" t="s">
        <v>81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82</v>
      </c>
      <c r="C2" s="28" t="s">
        <v>83</v>
      </c>
      <c r="D2" s="28" t="s">
        <v>84</v>
      </c>
      <c r="E2" s="29" t="s">
        <v>85</v>
      </c>
      <c r="F2" s="30" t="s">
        <v>86</v>
      </c>
      <c r="G2" s="29" t="s">
        <v>87</v>
      </c>
      <c r="H2" s="29" t="s">
        <v>88</v>
      </c>
      <c r="I2" s="29" t="s">
        <v>89</v>
      </c>
      <c r="J2" s="65" t="s">
        <v>90</v>
      </c>
      <c r="K2" s="29" t="s">
        <v>91</v>
      </c>
      <c r="L2" s="29" t="s">
        <v>92</v>
      </c>
      <c r="M2" s="66" t="s">
        <v>93</v>
      </c>
      <c r="N2" s="67"/>
      <c r="O2" s="67"/>
      <c r="P2" s="68"/>
      <c r="Q2" s="30" t="s">
        <v>94</v>
      </c>
      <c r="R2" s="29" t="s">
        <v>95</v>
      </c>
      <c r="S2" s="30" t="s">
        <v>96</v>
      </c>
      <c r="T2" s="86" t="s">
        <v>97</v>
      </c>
      <c r="U2" s="30" t="s">
        <v>98</v>
      </c>
      <c r="V2" s="87" t="s">
        <v>99</v>
      </c>
      <c r="W2" s="88"/>
      <c r="X2" s="88"/>
      <c r="Y2" s="88"/>
      <c r="Z2" s="88"/>
      <c r="AA2" s="94"/>
      <c r="AB2" s="30" t="s">
        <v>100</v>
      </c>
      <c r="AC2" s="30" t="s">
        <v>101</v>
      </c>
      <c r="AD2" s="86" t="s">
        <v>102</v>
      </c>
      <c r="AE2" s="86" t="s">
        <v>103</v>
      </c>
      <c r="AF2" s="86" t="s">
        <v>104</v>
      </c>
      <c r="AG2" s="86" t="s">
        <v>105</v>
      </c>
      <c r="AH2" s="100" t="s">
        <v>106</v>
      </c>
      <c r="AI2" s="101" t="s">
        <v>107</v>
      </c>
      <c r="AJ2" s="100" t="s">
        <v>108</v>
      </c>
      <c r="AK2" s="28" t="s">
        <v>58</v>
      </c>
      <c r="AL2" s="100" t="s">
        <v>109</v>
      </c>
      <c r="AM2" s="29" t="s">
        <v>110</v>
      </c>
      <c r="AN2" s="29" t="s">
        <v>111</v>
      </c>
      <c r="AO2" s="111" t="s">
        <v>112</v>
      </c>
      <c r="AP2" s="29" t="s">
        <v>113</v>
      </c>
      <c r="AQ2" s="29" t="s">
        <v>114</v>
      </c>
      <c r="AR2" s="30" t="s">
        <v>115</v>
      </c>
      <c r="AS2" s="30" t="s">
        <v>116</v>
      </c>
      <c r="AT2" s="30" t="s">
        <v>117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118</v>
      </c>
      <c r="N3" s="70" t="s">
        <v>119</v>
      </c>
      <c r="O3" s="70" t="s">
        <v>120</v>
      </c>
      <c r="P3" s="70" t="s">
        <v>71</v>
      </c>
      <c r="Q3" s="35"/>
      <c r="R3" s="34"/>
      <c r="S3" s="35"/>
      <c r="T3" s="89"/>
      <c r="U3" s="35"/>
      <c r="V3" s="90" t="s">
        <v>121</v>
      </c>
      <c r="W3" s="90" t="s">
        <v>122</v>
      </c>
      <c r="X3" s="90" t="s">
        <v>123</v>
      </c>
      <c r="Y3" s="90" t="s">
        <v>124</v>
      </c>
      <c r="Z3" s="90" t="s">
        <v>125</v>
      </c>
      <c r="AA3" s="90" t="s">
        <v>126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127</v>
      </c>
      <c r="C4" s="37" t="s">
        <v>139</v>
      </c>
      <c r="D4" s="37" t="s">
        <v>129</v>
      </c>
      <c r="E4" s="37" t="s">
        <v>140</v>
      </c>
      <c r="F4" s="38" t="s">
        <v>207</v>
      </c>
      <c r="G4" s="39">
        <v>15652649555</v>
      </c>
      <c r="H4" s="40"/>
      <c r="I4" s="40"/>
      <c r="J4" s="115"/>
      <c r="K4" s="40"/>
      <c r="L4" s="72">
        <v>11680</v>
      </c>
      <c r="M4" s="73">
        <f>VLOOKUP(E4,'[1]（居民）工资表-7月'!$E$4:$M$12,9,0)</f>
        <v>469.52</v>
      </c>
      <c r="N4" s="73">
        <f>VLOOKUP(E4,'[1]（居民）工资表-7月'!$E$4:$N$12,10,0)</f>
        <v>120.4</v>
      </c>
      <c r="O4" s="73">
        <f>VLOOKUP(E4,'[1]（居民）工资表-7月'!$E$4:$O$12,11,0)</f>
        <v>29.4</v>
      </c>
      <c r="P4" s="73">
        <f>VLOOKUP(E4,'[1]（居民）工资表-7月'!$E$4:$P$12,12,0)</f>
        <v>444</v>
      </c>
      <c r="Q4" s="91">
        <f t="shared" ref="Q4:Q12" si="0">ROUND(SUM(M4:P4),2)</f>
        <v>1063.32</v>
      </c>
      <c r="R4" s="72">
        <v>0</v>
      </c>
      <c r="S4" s="92">
        <f>L4+IFERROR(VLOOKUP($E:$E,'（居民）工资表-7月'!$E:$S,15,0),0)</f>
        <v>89714.4827586207</v>
      </c>
      <c r="T4" s="93">
        <f>5000+IFERROR(VLOOKUP($E:$E,'（居民）工资表-7月'!$E:$T,16,0),0)</f>
        <v>40000</v>
      </c>
      <c r="U4" s="93">
        <f>Q4+IFERROR(VLOOKUP($E:$E,'（居民）工资表-7月'!$E:$U,17,0),0)</f>
        <v>8131.92</v>
      </c>
      <c r="V4" s="72"/>
      <c r="W4" s="72"/>
      <c r="X4" s="72"/>
      <c r="Y4" s="72"/>
      <c r="Z4" s="72"/>
      <c r="AA4" s="72"/>
      <c r="AB4" s="92">
        <f t="shared" ref="AB4:AB12" si="1">ROUND(SUM(V4:AA4),2)</f>
        <v>0</v>
      </c>
      <c r="AC4" s="92">
        <f>R4+IFERROR(VLOOKUP($E:$E,'（居民）工资表-7月'!$E:$AC,25,0),0)</f>
        <v>0</v>
      </c>
      <c r="AD4" s="95">
        <f t="shared" ref="AD4:AD12" si="2">ROUND(S4-T4-U4-AB4-AC4,2)</f>
        <v>41582.56</v>
      </c>
      <c r="AE4" s="96">
        <f>ROUND(MAX((AD4)*{0.03;0.1;0.2;0.25;0.3;0.35;0.45}-{0;2520;16920;31920;52920;85920;181920},0),2)</f>
        <v>1638.26</v>
      </c>
      <c r="AF4" s="97">
        <f>IFERROR(VLOOKUP(E:E,'（居民）工资表-7月'!E:AF,28,0)+VLOOKUP(E:E,'（居民）工资表-7月'!E:AG,29,0),0)</f>
        <v>1078.98</v>
      </c>
      <c r="AG4" s="97">
        <f t="shared" ref="AG4:AG12" si="3">IF((AE4-AF4)&lt;0,0,AE4-AF4)</f>
        <v>559.28</v>
      </c>
      <c r="AH4" s="104">
        <f t="shared" ref="AH4:AH12" si="4">ROUND(IF((L4-Q4-AG4)&lt;0,0,(L4-Q4-AG4)),2)</f>
        <v>10057.4</v>
      </c>
      <c r="AI4" s="105"/>
      <c r="AJ4" s="104">
        <f t="shared" ref="AJ4:AJ12" si="5">AH4+AI4</f>
        <v>10057.4</v>
      </c>
      <c r="AK4" s="106"/>
      <c r="AL4" s="104">
        <f t="shared" ref="AL4:AL12" si="6">AJ4+AG4+AK4</f>
        <v>10616.68</v>
      </c>
      <c r="AM4" s="106"/>
      <c r="AN4" s="106"/>
      <c r="AO4" s="106"/>
      <c r="AP4" s="106"/>
      <c r="AQ4" s="106"/>
      <c r="AR4" s="113" t="str">
        <f t="shared" ref="AR4:AR12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2" si="8">IF(SUMPRODUCT(N(E$1:E$11=E4))&gt;1,"重复","不")</f>
        <v>不</v>
      </c>
      <c r="AT4" s="113" t="str">
        <f t="shared" ref="AT4:AT12" si="9">IF(SUMPRODUCT(N(AO$1:AO$11=AO4))&gt;1,"重复","不")</f>
        <v>重复</v>
      </c>
    </row>
    <row r="5" s="12" customFormat="1" ht="18" customHeight="1" spans="1:46">
      <c r="A5" s="36">
        <v>2</v>
      </c>
      <c r="B5" s="37" t="s">
        <v>127</v>
      </c>
      <c r="C5" s="37" t="s">
        <v>141</v>
      </c>
      <c r="D5" s="37" t="s">
        <v>129</v>
      </c>
      <c r="E5" s="313" t="s">
        <v>142</v>
      </c>
      <c r="F5" s="38" t="s">
        <v>207</v>
      </c>
      <c r="G5" s="39">
        <v>17611149839</v>
      </c>
      <c r="H5" s="40"/>
      <c r="I5" s="40"/>
      <c r="J5" s="115"/>
      <c r="K5" s="40"/>
      <c r="L5" s="72">
        <v>12180</v>
      </c>
      <c r="M5" s="73">
        <f>VLOOKUP(E5,'[1]（居民）工资表-7月'!$E$4:$M$12,9,0)</f>
        <v>469.52</v>
      </c>
      <c r="N5" s="73">
        <f>VLOOKUP(E5,'[1]（居民）工资表-7月'!$E$4:$N$12,10,0)</f>
        <v>120.4</v>
      </c>
      <c r="O5" s="73">
        <f>VLOOKUP(E5,'[1]（居民）工资表-7月'!$E$4:$O$12,11,0)</f>
        <v>29.4</v>
      </c>
      <c r="P5" s="73">
        <f>VLOOKUP(E5,'[1]（居民）工资表-7月'!$E$4:$P$12,12,0)</f>
        <v>444</v>
      </c>
      <c r="Q5" s="91">
        <f t="shared" si="0"/>
        <v>1063.32</v>
      </c>
      <c r="R5" s="72">
        <v>0</v>
      </c>
      <c r="S5" s="92">
        <f>L5+IFERROR(VLOOKUP($E:$E,'（居民）工资表-7月'!$E:$S,15,0),0)</f>
        <v>87285.5172413793</v>
      </c>
      <c r="T5" s="93">
        <f>5000+IFERROR(VLOOKUP($E:$E,'（居民）工资表-7月'!$E:$T,16,0),0)</f>
        <v>40000</v>
      </c>
      <c r="U5" s="93">
        <f>Q5+IFERROR(VLOOKUP($E:$E,'（居民）工资表-7月'!$E:$U,17,0),0)</f>
        <v>8131.92</v>
      </c>
      <c r="V5" s="72"/>
      <c r="W5" s="72"/>
      <c r="X5" s="72"/>
      <c r="Y5" s="72"/>
      <c r="Z5" s="72"/>
      <c r="AA5" s="72"/>
      <c r="AB5" s="92">
        <f t="shared" si="1"/>
        <v>0</v>
      </c>
      <c r="AC5" s="92">
        <f>R5+IFERROR(VLOOKUP($E:$E,'（居民）工资表-7月'!$E:$AC,25,0),0)</f>
        <v>0</v>
      </c>
      <c r="AD5" s="95">
        <f t="shared" si="2"/>
        <v>39153.6</v>
      </c>
      <c r="AE5" s="96">
        <f>ROUND(MAX((AD5)*{0.03;0.1;0.2;0.25;0.3;0.35;0.45}-{0;2520;16920;31920;52920;85920;181920},0),2)</f>
        <v>1395.36</v>
      </c>
      <c r="AF5" s="97">
        <f>IFERROR(VLOOKUP(E:E,'（居民）工资表-7月'!E:AF,28,0)+VLOOKUP(E:E,'（居民）工资表-7月'!E:AG,29,0),0)</f>
        <v>991.11</v>
      </c>
      <c r="AG5" s="97">
        <f t="shared" si="3"/>
        <v>404.25</v>
      </c>
      <c r="AH5" s="104">
        <f t="shared" si="4"/>
        <v>10712.43</v>
      </c>
      <c r="AI5" s="105"/>
      <c r="AJ5" s="104">
        <f t="shared" si="5"/>
        <v>10712.43</v>
      </c>
      <c r="AK5" s="106"/>
      <c r="AL5" s="104">
        <f t="shared" si="6"/>
        <v>11116.68</v>
      </c>
      <c r="AM5" s="106"/>
      <c r="AN5" s="106"/>
      <c r="AO5" s="106"/>
      <c r="AP5" s="106"/>
      <c r="AQ5" s="106"/>
      <c r="AR5" s="113" t="str">
        <f t="shared" si="7"/>
        <v>正确</v>
      </c>
      <c r="AS5" s="113" t="str">
        <f t="shared" si="8"/>
        <v>不</v>
      </c>
      <c r="AT5" s="113" t="str">
        <f t="shared" si="9"/>
        <v>重复</v>
      </c>
    </row>
    <row r="6" s="12" customFormat="1" ht="18" customHeight="1" spans="1:46">
      <c r="A6" s="36">
        <v>3</v>
      </c>
      <c r="B6" s="37" t="s">
        <v>127</v>
      </c>
      <c r="C6" s="37" t="s">
        <v>143</v>
      </c>
      <c r="D6" s="37" t="s">
        <v>129</v>
      </c>
      <c r="E6" s="313" t="s">
        <v>144</v>
      </c>
      <c r="F6" s="38" t="s">
        <v>207</v>
      </c>
      <c r="G6" s="39">
        <v>13596154643</v>
      </c>
      <c r="H6" s="40"/>
      <c r="I6" s="40"/>
      <c r="J6" s="115"/>
      <c r="K6" s="40"/>
      <c r="L6" s="72">
        <v>11151.8714121699</v>
      </c>
      <c r="M6" s="73">
        <f>VLOOKUP(E6,'[1]（居民）工资表-7月'!$E$4:$M$12,9,0)</f>
        <v>469.52</v>
      </c>
      <c r="N6" s="73">
        <f>VLOOKUP(E6,'[1]（居民）工资表-7月'!$E$4:$N$12,10,0)</f>
        <v>120.4</v>
      </c>
      <c r="O6" s="73">
        <f>VLOOKUP(E6,'[1]（居民）工资表-7月'!$E$4:$O$12,11,0)</f>
        <v>29.4</v>
      </c>
      <c r="P6" s="73">
        <f>VLOOKUP(E6,'[1]（居民）工资表-7月'!$E$4:$P$12,12,0)</f>
        <v>444</v>
      </c>
      <c r="Q6" s="91">
        <f t="shared" si="0"/>
        <v>1063.32</v>
      </c>
      <c r="R6" s="72">
        <v>0</v>
      </c>
      <c r="S6" s="92">
        <f>L6+IFERROR(VLOOKUP($E:$E,'（居民）工资表-7月'!$E:$S,15,0),0)</f>
        <v>88901.9863546987</v>
      </c>
      <c r="T6" s="93">
        <f>5000+IFERROR(VLOOKUP($E:$E,'（居民）工资表-7月'!$E:$T,16,0),0)</f>
        <v>40000</v>
      </c>
      <c r="U6" s="93">
        <f>Q6+IFERROR(VLOOKUP($E:$E,'（居民）工资表-7月'!$E:$U,17,0),0)</f>
        <v>8131.92</v>
      </c>
      <c r="V6" s="72"/>
      <c r="W6" s="72"/>
      <c r="X6" s="72"/>
      <c r="Y6" s="72"/>
      <c r="Z6" s="72"/>
      <c r="AA6" s="72"/>
      <c r="AB6" s="92">
        <f t="shared" si="1"/>
        <v>0</v>
      </c>
      <c r="AC6" s="92">
        <f>R6+IFERROR(VLOOKUP($E:$E,'（居民）工资表-7月'!$E:$AC,25,0),0)</f>
        <v>0</v>
      </c>
      <c r="AD6" s="95">
        <f t="shared" si="2"/>
        <v>40770.07</v>
      </c>
      <c r="AE6" s="96">
        <f>ROUND(MAX((AD6)*{0.03;0.1;0.2;0.25;0.3;0.35;0.45}-{0;2520;16920;31920;52920;85920;181920},0),2)</f>
        <v>1557.01</v>
      </c>
      <c r="AF6" s="97">
        <f>IFERROR(VLOOKUP(E:E,'（居民）工资表-7月'!E:AF,28,0)+VLOOKUP(E:E,'（居民）工资表-7月'!E:AG,29,0),0)</f>
        <v>1070.45</v>
      </c>
      <c r="AG6" s="97">
        <f t="shared" si="3"/>
        <v>486.56</v>
      </c>
      <c r="AH6" s="104">
        <f t="shared" si="4"/>
        <v>9601.99</v>
      </c>
      <c r="AI6" s="105"/>
      <c r="AJ6" s="104">
        <f t="shared" si="5"/>
        <v>9601.99</v>
      </c>
      <c r="AK6" s="106"/>
      <c r="AL6" s="104">
        <f t="shared" si="6"/>
        <v>10088.55</v>
      </c>
      <c r="AM6" s="106"/>
      <c r="AN6" s="106"/>
      <c r="AO6" s="106"/>
      <c r="AP6" s="106"/>
      <c r="AQ6" s="106"/>
      <c r="AR6" s="113" t="str">
        <f t="shared" si="7"/>
        <v>正确</v>
      </c>
      <c r="AS6" s="113" t="str">
        <f t="shared" si="8"/>
        <v>不</v>
      </c>
      <c r="AT6" s="113" t="str">
        <f t="shared" si="9"/>
        <v>重复</v>
      </c>
    </row>
    <row r="7" s="12" customFormat="1" ht="18" customHeight="1" spans="1:46">
      <c r="A7" s="36">
        <v>4</v>
      </c>
      <c r="B7" s="37" t="s">
        <v>127</v>
      </c>
      <c r="C7" s="37" t="s">
        <v>151</v>
      </c>
      <c r="D7" s="37" t="s">
        <v>129</v>
      </c>
      <c r="E7" s="313" t="s">
        <v>152</v>
      </c>
      <c r="F7" s="38" t="s">
        <v>204</v>
      </c>
      <c r="G7" s="39">
        <v>18674014622</v>
      </c>
      <c r="H7" s="40"/>
      <c r="I7" s="40"/>
      <c r="J7" s="115"/>
      <c r="K7" s="40"/>
      <c r="L7" s="72">
        <v>10000</v>
      </c>
      <c r="M7" s="73">
        <f>VLOOKUP(E7,'[1]（居民）工资表-7月'!$E$4:$M$12,9,0)</f>
        <v>469.52</v>
      </c>
      <c r="N7" s="73">
        <f>VLOOKUP(E7,'[1]（居民）工资表-7月'!$E$4:$N$12,10,0)</f>
        <v>120.4</v>
      </c>
      <c r="O7" s="73">
        <f>VLOOKUP(E7,'[1]（居民）工资表-7月'!$E$4:$O$12,11,0)</f>
        <v>29.4</v>
      </c>
      <c r="P7" s="73">
        <f>VLOOKUP(E7,'[1]（居民）工资表-7月'!$E$4:$P$12,12,0)</f>
        <v>600</v>
      </c>
      <c r="Q7" s="91">
        <f t="shared" si="0"/>
        <v>1219.32</v>
      </c>
      <c r="R7" s="72">
        <v>0</v>
      </c>
      <c r="S7" s="92">
        <f>L7+IFERROR(VLOOKUP($E:$E,'（居民）工资表-7月'!$E:$S,15,0),0)</f>
        <v>78275.8620689655</v>
      </c>
      <c r="T7" s="93">
        <f>5000+IFERROR(VLOOKUP($E:$E,'（居民）工资表-7月'!$E:$T,16,0),0)</f>
        <v>40000</v>
      </c>
      <c r="U7" s="93">
        <f>Q7+IFERROR(VLOOKUP($E:$E,'（居民）工资表-7月'!$E:$U,17,0),0)</f>
        <v>9379.92</v>
      </c>
      <c r="V7" s="72"/>
      <c r="W7" s="72"/>
      <c r="X7" s="72"/>
      <c r="Y7" s="72"/>
      <c r="Z7" s="72"/>
      <c r="AA7" s="72"/>
      <c r="AB7" s="92">
        <f t="shared" si="1"/>
        <v>0</v>
      </c>
      <c r="AC7" s="92">
        <f>R7+IFERROR(VLOOKUP($E:$E,'（居民）工资表-7月'!$E:$AC,25,0),0)</f>
        <v>0</v>
      </c>
      <c r="AD7" s="95">
        <f t="shared" si="2"/>
        <v>28895.94</v>
      </c>
      <c r="AE7" s="96">
        <f>ROUND(MAX((AD7)*{0.03;0.1;0.2;0.25;0.3;0.35;0.45}-{0;2520;16920;31920;52920;85920;181920},0),2)</f>
        <v>866.88</v>
      </c>
      <c r="AF7" s="97">
        <f>IFERROR(VLOOKUP(E:E,'（居民）工资表-7月'!E:AF,28,0)+VLOOKUP(E:E,'（居民）工资表-7月'!E:AG,29,0),0)</f>
        <v>753.46</v>
      </c>
      <c r="AG7" s="97">
        <f t="shared" si="3"/>
        <v>113.42</v>
      </c>
      <c r="AH7" s="104">
        <f t="shared" si="4"/>
        <v>8667.26</v>
      </c>
      <c r="AI7" s="105"/>
      <c r="AJ7" s="104">
        <f t="shared" si="5"/>
        <v>8667.26</v>
      </c>
      <c r="AK7" s="106"/>
      <c r="AL7" s="104">
        <f t="shared" si="6"/>
        <v>8780.68</v>
      </c>
      <c r="AM7" s="106"/>
      <c r="AN7" s="106"/>
      <c r="AO7" s="106"/>
      <c r="AP7" s="106"/>
      <c r="AQ7" s="106"/>
      <c r="AR7" s="113" t="str">
        <f t="shared" si="7"/>
        <v>正确</v>
      </c>
      <c r="AS7" s="113" t="str">
        <f t="shared" si="8"/>
        <v>不</v>
      </c>
      <c r="AT7" s="113" t="str">
        <f t="shared" si="9"/>
        <v>重复</v>
      </c>
    </row>
    <row r="8" s="12" customFormat="1" ht="18" customHeight="1" spans="1:46">
      <c r="A8" s="36">
        <v>5</v>
      </c>
      <c r="B8" s="37" t="s">
        <v>127</v>
      </c>
      <c r="C8" s="37" t="s">
        <v>153</v>
      </c>
      <c r="D8" s="37" t="s">
        <v>129</v>
      </c>
      <c r="E8" s="313" t="s">
        <v>154</v>
      </c>
      <c r="F8" s="38" t="s">
        <v>204</v>
      </c>
      <c r="G8" s="39">
        <v>15145001723</v>
      </c>
      <c r="H8" s="40"/>
      <c r="I8" s="40"/>
      <c r="J8" s="115"/>
      <c r="K8" s="40"/>
      <c r="L8" s="72">
        <v>10000</v>
      </c>
      <c r="M8" s="73">
        <f>VLOOKUP(E8,'[1]（居民）工资表-7月'!$E$4:$M$12,9,0)</f>
        <v>469.52</v>
      </c>
      <c r="N8" s="73">
        <f>VLOOKUP(E8,'[1]（居民）工资表-7月'!$E$4:$N$12,10,0)</f>
        <v>120.4</v>
      </c>
      <c r="O8" s="73">
        <f>VLOOKUP(E8,'[1]（居民）工资表-7月'!$E$4:$O$12,11,0)</f>
        <v>29.4</v>
      </c>
      <c r="P8" s="73">
        <f>VLOOKUP(E8,'[1]（居民）工资表-7月'!$E$4:$P$12,12,0)</f>
        <v>444</v>
      </c>
      <c r="Q8" s="91">
        <f t="shared" si="0"/>
        <v>1063.32</v>
      </c>
      <c r="R8" s="72">
        <v>0</v>
      </c>
      <c r="S8" s="92">
        <f>L8+IFERROR(VLOOKUP($E:$E,'（居民）工资表-7月'!$E:$S,15,0),0)</f>
        <v>72758.6206896552</v>
      </c>
      <c r="T8" s="93">
        <f>5000+IFERROR(VLOOKUP($E:$E,'（居民）工资表-7月'!$E:$T,16,0),0)</f>
        <v>40000</v>
      </c>
      <c r="U8" s="93">
        <f>Q8+IFERROR(VLOOKUP($E:$E,'（居民）工资表-7月'!$E:$U,17,0),0)</f>
        <v>7122.12</v>
      </c>
      <c r="V8" s="72"/>
      <c r="W8" s="72"/>
      <c r="X8" s="72"/>
      <c r="Y8" s="72"/>
      <c r="Z8" s="72"/>
      <c r="AA8" s="72"/>
      <c r="AB8" s="92">
        <f t="shared" si="1"/>
        <v>0</v>
      </c>
      <c r="AC8" s="92">
        <f>R8+IFERROR(VLOOKUP($E:$E,'（居民）工资表-7月'!$E:$AC,25,0),0)</f>
        <v>0</v>
      </c>
      <c r="AD8" s="95">
        <f t="shared" si="2"/>
        <v>25636.5</v>
      </c>
      <c r="AE8" s="96">
        <f>ROUND(MAX((AD8)*{0.03;0.1;0.2;0.25;0.3;0.35;0.45}-{0;2520;16920;31920;52920;85920;181920},0),2)</f>
        <v>769.1</v>
      </c>
      <c r="AF8" s="97">
        <f>IFERROR(VLOOKUP(E:E,'（居民）工资表-7月'!E:AF,28,0)+VLOOKUP(E:E,'（居民）工资表-7月'!E:AG,29,0),0)</f>
        <v>650.99</v>
      </c>
      <c r="AG8" s="97">
        <f t="shared" si="3"/>
        <v>118.11</v>
      </c>
      <c r="AH8" s="104">
        <f t="shared" si="4"/>
        <v>8818.57</v>
      </c>
      <c r="AI8" s="105"/>
      <c r="AJ8" s="104">
        <f t="shared" si="5"/>
        <v>8818.57</v>
      </c>
      <c r="AK8" s="106"/>
      <c r="AL8" s="104">
        <f t="shared" si="6"/>
        <v>8936.68</v>
      </c>
      <c r="AM8" s="106"/>
      <c r="AN8" s="106"/>
      <c r="AO8" s="106"/>
      <c r="AP8" s="106"/>
      <c r="AQ8" s="106"/>
      <c r="AR8" s="113" t="str">
        <f t="shared" si="7"/>
        <v>正确</v>
      </c>
      <c r="AS8" s="113" t="str">
        <f t="shared" si="8"/>
        <v>不</v>
      </c>
      <c r="AT8" s="113" t="str">
        <f t="shared" si="9"/>
        <v>重复</v>
      </c>
    </row>
    <row r="9" s="12" customFormat="1" ht="18" customHeight="1" spans="1:46">
      <c r="A9" s="36">
        <v>6</v>
      </c>
      <c r="B9" s="37" t="s">
        <v>127</v>
      </c>
      <c r="C9" s="37" t="s">
        <v>169</v>
      </c>
      <c r="D9" s="37" t="s">
        <v>129</v>
      </c>
      <c r="E9" s="313" t="s">
        <v>170</v>
      </c>
      <c r="F9" s="38" t="s">
        <v>204</v>
      </c>
      <c r="G9" s="39">
        <v>18745463721</v>
      </c>
      <c r="H9" s="40"/>
      <c r="I9" s="40"/>
      <c r="J9" s="115"/>
      <c r="K9" s="40"/>
      <c r="L9" s="72">
        <v>11000</v>
      </c>
      <c r="M9" s="73">
        <f>VLOOKUP(E9,'[1]（居民）工资表-7月'!$E$4:$M$12,9,0)</f>
        <v>469.52</v>
      </c>
      <c r="N9" s="73">
        <f>VLOOKUP(E9,'[1]（居民）工资表-7月'!$E$4:$N$12,10,0)</f>
        <v>120.4</v>
      </c>
      <c r="O9" s="73">
        <f>VLOOKUP(E9,'[1]（居民）工资表-7月'!$E$4:$O$12,11,0)</f>
        <v>29.4</v>
      </c>
      <c r="P9" s="73">
        <f>VLOOKUP(E9,'[1]（居民）工资表-7月'!$E$4:$P$12,12,0)</f>
        <v>444</v>
      </c>
      <c r="Q9" s="91">
        <f t="shared" si="0"/>
        <v>1063.32</v>
      </c>
      <c r="R9" s="72">
        <v>0</v>
      </c>
      <c r="S9" s="92">
        <f>L9+IFERROR(VLOOKUP($E:$E,'（居民）工资表-7月'!$E:$S,15,0),0)</f>
        <v>69540.2298850575</v>
      </c>
      <c r="T9" s="93">
        <f>5000+IFERROR(VLOOKUP($E:$E,'（居民）工资表-7月'!$E:$T,16,0),0)</f>
        <v>35000</v>
      </c>
      <c r="U9" s="93">
        <f>Q9+IFERROR(VLOOKUP($E:$E,'（居民）工资表-7月'!$E:$U,17,0),0)</f>
        <v>7122.12</v>
      </c>
      <c r="V9" s="72"/>
      <c r="W9" s="72"/>
      <c r="X9" s="72"/>
      <c r="Y9" s="72"/>
      <c r="Z9" s="72"/>
      <c r="AA9" s="72"/>
      <c r="AB9" s="92">
        <f t="shared" si="1"/>
        <v>0</v>
      </c>
      <c r="AC9" s="92">
        <f>R9+IFERROR(VLOOKUP($E:$E,'（居民）工资表-7月'!$E:$AC,25,0),0)</f>
        <v>0</v>
      </c>
      <c r="AD9" s="95">
        <f t="shared" si="2"/>
        <v>27418.11</v>
      </c>
      <c r="AE9" s="96">
        <f>ROUND(MAX((AD9)*{0.03;0.1;0.2;0.25;0.3;0.35;0.45}-{0;2520;16920;31920;52920;85920;181920},0),2)</f>
        <v>822.54</v>
      </c>
      <c r="AF9" s="97">
        <f>IFERROR(VLOOKUP(E:E,'（居民）工资表-7月'!E:AF,28,0)+VLOOKUP(E:E,'（居民）工资表-7月'!E:AG,29,0),0)</f>
        <v>674.44</v>
      </c>
      <c r="AG9" s="97">
        <f t="shared" si="3"/>
        <v>148.1</v>
      </c>
      <c r="AH9" s="104">
        <f t="shared" si="4"/>
        <v>9788.58</v>
      </c>
      <c r="AI9" s="105"/>
      <c r="AJ9" s="104">
        <f t="shared" si="5"/>
        <v>9788.58</v>
      </c>
      <c r="AK9" s="106"/>
      <c r="AL9" s="104">
        <f t="shared" si="6"/>
        <v>9936.68</v>
      </c>
      <c r="AM9" s="106"/>
      <c r="AN9" s="106"/>
      <c r="AO9" s="106"/>
      <c r="AP9" s="106"/>
      <c r="AQ9" s="106"/>
      <c r="AR9" s="113" t="str">
        <f t="shared" si="7"/>
        <v>正确</v>
      </c>
      <c r="AS9" s="113" t="str">
        <f t="shared" si="8"/>
        <v>不</v>
      </c>
      <c r="AT9" s="113" t="str">
        <f t="shared" si="9"/>
        <v>重复</v>
      </c>
    </row>
    <row r="10" s="12" customFormat="1" ht="18" customHeight="1" spans="1:46">
      <c r="A10" s="36">
        <v>7</v>
      </c>
      <c r="B10" s="37" t="s">
        <v>127</v>
      </c>
      <c r="C10" s="37" t="s">
        <v>171</v>
      </c>
      <c r="D10" s="37" t="s">
        <v>129</v>
      </c>
      <c r="E10" s="313" t="s">
        <v>172</v>
      </c>
      <c r="F10" s="38" t="s">
        <v>204</v>
      </c>
      <c r="G10" s="39">
        <v>18935711299</v>
      </c>
      <c r="H10" s="40"/>
      <c r="I10" s="40"/>
      <c r="J10" s="115"/>
      <c r="K10" s="40"/>
      <c r="L10" s="72">
        <v>11000</v>
      </c>
      <c r="M10" s="73">
        <f>VLOOKUP(E10,'[1]（居民）工资表-7月'!$E$4:$M$12,9,0)</f>
        <v>469.52</v>
      </c>
      <c r="N10" s="73">
        <f>VLOOKUP(E10,'[1]（居民）工资表-7月'!$E$4:$N$12,10,0)</f>
        <v>120.4</v>
      </c>
      <c r="O10" s="73">
        <f>VLOOKUP(E10,'[1]（居民）工资表-7月'!$E$4:$O$12,11,0)</f>
        <v>29.4</v>
      </c>
      <c r="P10" s="73">
        <f>VLOOKUP(E10,'[1]（居民）工资表-7月'!$E$4:$P$12,12,0)</f>
        <v>444</v>
      </c>
      <c r="Q10" s="91">
        <f t="shared" si="0"/>
        <v>1063.32</v>
      </c>
      <c r="R10" s="72">
        <v>0</v>
      </c>
      <c r="S10" s="92">
        <f>L10+IFERROR(VLOOKUP($E:$E,'（居民）工资表-7月'!$E:$S,15,0),0)</f>
        <v>75361.3793103448</v>
      </c>
      <c r="T10" s="93">
        <f>5000+IFERROR(VLOOKUP($E:$E,'（居民）工资表-7月'!$E:$T,16,0),0)</f>
        <v>35000</v>
      </c>
      <c r="U10" s="93">
        <f>Q10+IFERROR(VLOOKUP($E:$E,'（居民）工资表-7月'!$E:$U,17,0),0)</f>
        <v>7122.12</v>
      </c>
      <c r="V10" s="72"/>
      <c r="W10" s="72"/>
      <c r="X10" s="72"/>
      <c r="Y10" s="72"/>
      <c r="Z10" s="72"/>
      <c r="AA10" s="72"/>
      <c r="AB10" s="92">
        <f t="shared" si="1"/>
        <v>0</v>
      </c>
      <c r="AC10" s="92">
        <f>R10+IFERROR(VLOOKUP($E:$E,'（居民）工资表-7月'!$E:$AC,25,0),0)</f>
        <v>0</v>
      </c>
      <c r="AD10" s="95">
        <f t="shared" si="2"/>
        <v>33239.26</v>
      </c>
      <c r="AE10" s="96">
        <f>ROUND(MAX((AD10)*{0.03;0.1;0.2;0.25;0.3;0.35;0.45}-{0;2520;16920;31920;52920;85920;181920},0),2)</f>
        <v>997.18</v>
      </c>
      <c r="AF10" s="97">
        <f>IFERROR(VLOOKUP(E:E,'（居民）工资表-7月'!E:AF,28,0)+VLOOKUP(E:E,'（居民）工资表-7月'!E:AG,29,0),0)</f>
        <v>849.08</v>
      </c>
      <c r="AG10" s="97">
        <f t="shared" si="3"/>
        <v>148.1</v>
      </c>
      <c r="AH10" s="104">
        <f t="shared" si="4"/>
        <v>9788.58</v>
      </c>
      <c r="AI10" s="105"/>
      <c r="AJ10" s="104">
        <f t="shared" si="5"/>
        <v>9788.58</v>
      </c>
      <c r="AK10" s="106"/>
      <c r="AL10" s="104">
        <f t="shared" si="6"/>
        <v>9936.68</v>
      </c>
      <c r="AM10" s="106"/>
      <c r="AN10" s="106"/>
      <c r="AO10" s="106"/>
      <c r="AP10" s="106"/>
      <c r="AQ10" s="106"/>
      <c r="AR10" s="113" t="str">
        <f t="shared" si="7"/>
        <v>正确</v>
      </c>
      <c r="AS10" s="113" t="str">
        <f t="shared" si="8"/>
        <v>不</v>
      </c>
      <c r="AT10" s="113" t="str">
        <f t="shared" si="9"/>
        <v>重复</v>
      </c>
    </row>
    <row r="11" s="12" customFormat="1" ht="18" customHeight="1" spans="1:46">
      <c r="A11" s="36">
        <v>8</v>
      </c>
      <c r="B11" s="37" t="s">
        <v>127</v>
      </c>
      <c r="C11" s="37" t="s">
        <v>173</v>
      </c>
      <c r="D11" s="37" t="s">
        <v>129</v>
      </c>
      <c r="E11" s="313" t="s">
        <v>174</v>
      </c>
      <c r="F11" s="38" t="s">
        <v>204</v>
      </c>
      <c r="G11" s="39">
        <v>13301242552</v>
      </c>
      <c r="H11" s="40"/>
      <c r="I11" s="40"/>
      <c r="J11" s="115"/>
      <c r="K11" s="40"/>
      <c r="L11" s="72">
        <v>14180</v>
      </c>
      <c r="M11" s="73">
        <f>VLOOKUP(E11,'[1]（居民）工资表-7月'!$E$4:$M$12,9,0)</f>
        <v>640</v>
      </c>
      <c r="N11" s="73">
        <f>VLOOKUP(E11,'[1]（居民）工资表-7月'!$E$4:$N$12,10,0)</f>
        <v>163</v>
      </c>
      <c r="O11" s="73">
        <f>VLOOKUP(E11,'[1]（居民）工资表-7月'!$E$4:$O$12,11,0)</f>
        <v>40</v>
      </c>
      <c r="P11" s="73">
        <f>VLOOKUP(E11,'[1]（居民）工资表-7月'!$E$4:$P$12,12,0)</f>
        <v>960</v>
      </c>
      <c r="Q11" s="91">
        <f t="shared" si="0"/>
        <v>1803</v>
      </c>
      <c r="R11" s="72">
        <v>0</v>
      </c>
      <c r="S11" s="92">
        <f>L11+IFERROR(VLOOKUP($E:$E,'（居民）工资表-7月'!$E:$S,15,0),0)</f>
        <v>97180</v>
      </c>
      <c r="T11" s="93">
        <f>5000+IFERROR(VLOOKUP($E:$E,'（居民）工资表-7月'!$E:$T,16,0),0)</f>
        <v>30000</v>
      </c>
      <c r="U11" s="93">
        <f>Q11+IFERROR(VLOOKUP($E:$E,'（居民）工资表-7月'!$E:$U,17,0),0)</f>
        <v>10818</v>
      </c>
      <c r="V11" s="72"/>
      <c r="W11" s="72"/>
      <c r="X11" s="72"/>
      <c r="Y11" s="72"/>
      <c r="Z11" s="72"/>
      <c r="AA11" s="72"/>
      <c r="AB11" s="92">
        <f t="shared" si="1"/>
        <v>0</v>
      </c>
      <c r="AC11" s="92">
        <f>R11+IFERROR(VLOOKUP($E:$E,'（居民）工资表-7月'!$E:$AC,25,0),0)</f>
        <v>0</v>
      </c>
      <c r="AD11" s="95">
        <f t="shared" si="2"/>
        <v>56362</v>
      </c>
      <c r="AE11" s="96">
        <f>ROUND(MAX((AD11)*{0.03;0.1;0.2;0.25;0.3;0.35;0.45}-{0;2520;16920;31920;52920;85920;181920},0),2)</f>
        <v>3116.2</v>
      </c>
      <c r="AF11" s="97">
        <f>IFERROR(VLOOKUP(E:E,'（居民）工资表-7月'!E:AF,28,0)+VLOOKUP(E:E,'（居民）工资表-7月'!E:AG,29,0),0)</f>
        <v>2378.5</v>
      </c>
      <c r="AG11" s="97">
        <f t="shared" si="3"/>
        <v>737.7</v>
      </c>
      <c r="AH11" s="104">
        <f t="shared" si="4"/>
        <v>11639.3</v>
      </c>
      <c r="AI11" s="105"/>
      <c r="AJ11" s="104">
        <f t="shared" si="5"/>
        <v>11639.3</v>
      </c>
      <c r="AK11" s="106"/>
      <c r="AL11" s="104">
        <f t="shared" si="6"/>
        <v>12377</v>
      </c>
      <c r="AM11" s="106"/>
      <c r="AN11" s="106"/>
      <c r="AO11" s="106"/>
      <c r="AP11" s="106"/>
      <c r="AQ11" s="106"/>
      <c r="AR11" s="113" t="str">
        <f t="shared" si="7"/>
        <v>正确</v>
      </c>
      <c r="AS11" s="113" t="str">
        <f t="shared" si="8"/>
        <v>不</v>
      </c>
      <c r="AT11" s="113" t="str">
        <f t="shared" si="9"/>
        <v>重复</v>
      </c>
    </row>
    <row r="12" s="12" customFormat="1" ht="18" customHeight="1" spans="1:46">
      <c r="A12" s="36">
        <v>9</v>
      </c>
      <c r="B12" s="37" t="s">
        <v>127</v>
      </c>
      <c r="C12" s="37" t="s">
        <v>208</v>
      </c>
      <c r="D12" s="37" t="s">
        <v>129</v>
      </c>
      <c r="E12" s="313" t="s">
        <v>209</v>
      </c>
      <c r="F12" s="38" t="s">
        <v>204</v>
      </c>
      <c r="G12" s="39">
        <v>18610813579</v>
      </c>
      <c r="H12" s="40"/>
      <c r="I12" s="40"/>
      <c r="J12" s="115"/>
      <c r="K12" s="40"/>
      <c r="L12" s="72">
        <v>7632.18390804598</v>
      </c>
      <c r="M12" s="73">
        <f>VLOOKUP(E12,'[1]（居民）工资表-7月'!$E$4:$M$12,9,0)</f>
        <v>469.52</v>
      </c>
      <c r="N12" s="73">
        <f>VLOOKUP(E12,'[1]（居民）工资表-7月'!$E$4:$N$12,10,0)</f>
        <v>120.4</v>
      </c>
      <c r="O12" s="73">
        <f>VLOOKUP(E12,'[1]（居民）工资表-7月'!$E$4:$O$12,11,0)</f>
        <v>29.4</v>
      </c>
      <c r="P12" s="73">
        <f>VLOOKUP(E12,'[1]（居民）工资表-7月'!$E$4:$P$12,12,0)</f>
        <v>444</v>
      </c>
      <c r="Q12" s="91">
        <f t="shared" si="0"/>
        <v>1063.32</v>
      </c>
      <c r="R12" s="72">
        <v>0</v>
      </c>
      <c r="S12" s="92">
        <f>L12+IFERROR(VLOOKUP($E:$E,'（居民）工资表-7月'!$E:$S,15,0),0)</f>
        <v>7632.18390804598</v>
      </c>
      <c r="T12" s="93">
        <f>5000+IFERROR(VLOOKUP($E:$E,'（居民）工资表-7月'!$E:$T,16,0),0)</f>
        <v>5000</v>
      </c>
      <c r="U12" s="93">
        <f>Q12+IFERROR(VLOOKUP($E:$E,'（居民）工资表-7月'!$E:$U,17,0),0)</f>
        <v>1063.32</v>
      </c>
      <c r="V12" s="72"/>
      <c r="W12" s="72"/>
      <c r="X12" s="72"/>
      <c r="Y12" s="72"/>
      <c r="Z12" s="72"/>
      <c r="AA12" s="72"/>
      <c r="AB12" s="92">
        <f t="shared" si="1"/>
        <v>0</v>
      </c>
      <c r="AC12" s="92">
        <f>R12+IFERROR(VLOOKUP($E:$E,'（居民）工资表-7月'!$E:$AC,25,0),0)</f>
        <v>0</v>
      </c>
      <c r="AD12" s="95">
        <f t="shared" si="2"/>
        <v>1568.86</v>
      </c>
      <c r="AE12" s="96">
        <f>ROUND(MAX((AD12)*{0.03;0.1;0.2;0.25;0.3;0.35;0.45}-{0;2520;16920;31920;52920;85920;181920},0),2)</f>
        <v>47.07</v>
      </c>
      <c r="AF12" s="97">
        <f>IFERROR(VLOOKUP(E:E,'（居民）工资表-7月'!E:AF,28,0)+VLOOKUP(E:E,'（居民）工资表-7月'!E:AG,29,0),0)</f>
        <v>0</v>
      </c>
      <c r="AG12" s="97">
        <f t="shared" si="3"/>
        <v>47.07</v>
      </c>
      <c r="AH12" s="104">
        <f t="shared" si="4"/>
        <v>6521.79</v>
      </c>
      <c r="AI12" s="105"/>
      <c r="AJ12" s="104">
        <f t="shared" si="5"/>
        <v>6521.79</v>
      </c>
      <c r="AK12" s="106"/>
      <c r="AL12" s="104">
        <f t="shared" si="6"/>
        <v>6568.86</v>
      </c>
      <c r="AM12" s="106"/>
      <c r="AN12" s="106"/>
      <c r="AO12" s="106"/>
      <c r="AP12" s="106"/>
      <c r="AQ12" s="106"/>
      <c r="AR12" s="113" t="str">
        <f t="shared" si="7"/>
        <v>正确</v>
      </c>
      <c r="AS12" s="113" t="str">
        <f t="shared" si="8"/>
        <v>不</v>
      </c>
      <c r="AT12" s="113" t="str">
        <f t="shared" si="9"/>
        <v>重复</v>
      </c>
    </row>
    <row r="13" s="13" customFormat="1" ht="18" customHeight="1" spans="1:46">
      <c r="A13" s="43"/>
      <c r="B13" s="44" t="s">
        <v>155</v>
      </c>
      <c r="C13" s="44"/>
      <c r="D13" s="45"/>
      <c r="E13" s="46"/>
      <c r="F13" s="47"/>
      <c r="G13" s="48"/>
      <c r="H13" s="47"/>
      <c r="I13" s="74"/>
      <c r="J13" s="75"/>
      <c r="K13" s="74"/>
      <c r="L13" s="76">
        <f>SUM(L4:L12)</f>
        <v>98824.0553202159</v>
      </c>
      <c r="M13" s="76">
        <f t="shared" ref="M13:AL13" si="10">SUM(M4:M12)</f>
        <v>4396.16</v>
      </c>
      <c r="N13" s="76">
        <f t="shared" si="10"/>
        <v>1126.2</v>
      </c>
      <c r="O13" s="76">
        <f t="shared" si="10"/>
        <v>275.2</v>
      </c>
      <c r="P13" s="76">
        <f t="shared" si="10"/>
        <v>4668</v>
      </c>
      <c r="Q13" s="76">
        <f t="shared" si="10"/>
        <v>10465.56</v>
      </c>
      <c r="R13" s="76">
        <f t="shared" si="10"/>
        <v>0</v>
      </c>
      <c r="S13" s="76">
        <f t="shared" si="10"/>
        <v>666650.262216768</v>
      </c>
      <c r="T13" s="76">
        <f t="shared" si="10"/>
        <v>305000</v>
      </c>
      <c r="U13" s="76">
        <f t="shared" si="10"/>
        <v>67023.36</v>
      </c>
      <c r="V13" s="76">
        <f t="shared" si="10"/>
        <v>0</v>
      </c>
      <c r="W13" s="76">
        <f t="shared" si="10"/>
        <v>0</v>
      </c>
      <c r="X13" s="76">
        <f t="shared" si="10"/>
        <v>0</v>
      </c>
      <c r="Y13" s="76">
        <f t="shared" si="10"/>
        <v>0</v>
      </c>
      <c r="Z13" s="76">
        <f t="shared" si="10"/>
        <v>0</v>
      </c>
      <c r="AA13" s="76">
        <f t="shared" si="10"/>
        <v>0</v>
      </c>
      <c r="AB13" s="76">
        <f t="shared" si="10"/>
        <v>0</v>
      </c>
      <c r="AC13" s="76">
        <f t="shared" si="10"/>
        <v>0</v>
      </c>
      <c r="AD13" s="76">
        <f t="shared" si="10"/>
        <v>294626.9</v>
      </c>
      <c r="AE13" s="76">
        <f t="shared" si="10"/>
        <v>11209.6</v>
      </c>
      <c r="AF13" s="76">
        <f t="shared" si="10"/>
        <v>8447.01</v>
      </c>
      <c r="AG13" s="76">
        <f t="shared" si="10"/>
        <v>2762.59</v>
      </c>
      <c r="AH13" s="76">
        <f t="shared" si="10"/>
        <v>85595.9</v>
      </c>
      <c r="AI13" s="76">
        <f t="shared" si="10"/>
        <v>0</v>
      </c>
      <c r="AJ13" s="76">
        <f t="shared" si="10"/>
        <v>85595.9</v>
      </c>
      <c r="AK13" s="76">
        <f t="shared" si="10"/>
        <v>0</v>
      </c>
      <c r="AL13" s="76">
        <f t="shared" si="10"/>
        <v>88358.49</v>
      </c>
      <c r="AM13" s="108"/>
      <c r="AN13" s="108"/>
      <c r="AO13" s="108"/>
      <c r="AP13" s="108"/>
      <c r="AQ13" s="108"/>
      <c r="AR13" s="47"/>
      <c r="AS13" s="47"/>
      <c r="AT13" s="114"/>
    </row>
    <row r="16" spans="30:30">
      <c r="AD16" s="98"/>
    </row>
    <row r="17" ht="18.75" customHeight="1" spans="2:30">
      <c r="B17" s="49" t="s">
        <v>108</v>
      </c>
      <c r="C17" s="49" t="s">
        <v>156</v>
      </c>
      <c r="D17" s="49" t="s">
        <v>58</v>
      </c>
      <c r="E17" s="49" t="s">
        <v>59</v>
      </c>
      <c r="AD17" s="10"/>
    </row>
    <row r="18" ht="18.75" customHeight="1" spans="2:6">
      <c r="B18" s="50">
        <f>AJ13</f>
        <v>85595.9</v>
      </c>
      <c r="C18" s="50">
        <f>AG13</f>
        <v>2762.59</v>
      </c>
      <c r="D18" s="50">
        <f>AK13</f>
        <v>0</v>
      </c>
      <c r="E18" s="50">
        <f>B18+C18+D18</f>
        <v>88358.49</v>
      </c>
      <c r="F18" s="15">
        <f>E18*6.78%</f>
        <v>5990.705622</v>
      </c>
    </row>
    <row r="19" spans="2:6">
      <c r="B19" s="51"/>
      <c r="C19" s="51"/>
      <c r="D19" s="51"/>
      <c r="E19" s="51">
        <v>5019.09</v>
      </c>
      <c r="F19" s="15">
        <f>E19*6.78%</f>
        <v>340.294302</v>
      </c>
    </row>
    <row r="20" s="14" customFormat="1" spans="1:35">
      <c r="A20" s="52" t="s">
        <v>157</v>
      </c>
      <c r="B20" s="53" t="s">
        <v>158</v>
      </c>
      <c r="C20" s="54"/>
      <c r="D20" s="54"/>
      <c r="E20" s="54"/>
      <c r="G20" s="55"/>
      <c r="J20" s="77"/>
      <c r="M20" s="78"/>
      <c r="AI20" s="109"/>
    </row>
    <row r="21" s="14" customFormat="1" spans="1:35">
      <c r="A21" s="56"/>
      <c r="B21" s="57" t="s">
        <v>159</v>
      </c>
      <c r="C21" s="54"/>
      <c r="D21" s="54"/>
      <c r="E21" s="54"/>
      <c r="G21" s="55"/>
      <c r="J21" s="77"/>
      <c r="M21" s="78"/>
      <c r="AI21" s="109"/>
    </row>
    <row r="22" s="14" customFormat="1" spans="1:35">
      <c r="A22" s="53"/>
      <c r="B22" s="57" t="s">
        <v>160</v>
      </c>
      <c r="C22" s="58"/>
      <c r="D22" s="58"/>
      <c r="E22" s="58"/>
      <c r="F22" s="58"/>
      <c r="G22" s="58"/>
      <c r="H22" s="58"/>
      <c r="I22" s="58"/>
      <c r="J22" s="79"/>
      <c r="K22" s="58"/>
      <c r="L22" s="58"/>
      <c r="M22" s="80"/>
      <c r="N22" s="58"/>
      <c r="O22" s="58"/>
      <c r="P22" s="58"/>
      <c r="AI22" s="109"/>
    </row>
    <row r="23" s="14" customFormat="1" customHeight="1" spans="1:35">
      <c r="A23" s="57"/>
      <c r="B23" s="57" t="s">
        <v>161</v>
      </c>
      <c r="C23" s="59"/>
      <c r="D23" s="59"/>
      <c r="E23" s="59"/>
      <c r="F23" s="59"/>
      <c r="G23" s="59"/>
      <c r="H23" s="59"/>
      <c r="I23" s="81"/>
      <c r="J23" s="82"/>
      <c r="K23" s="81"/>
      <c r="L23" s="81"/>
      <c r="M23" s="83"/>
      <c r="N23" s="81"/>
      <c r="O23" s="81"/>
      <c r="P23" s="81"/>
      <c r="AI23" s="109"/>
    </row>
    <row r="24" s="14" customFormat="1" customHeight="1" spans="1:35">
      <c r="A24" s="57"/>
      <c r="B24" s="57" t="s">
        <v>162</v>
      </c>
      <c r="C24" s="59"/>
      <c r="D24" s="59"/>
      <c r="E24" s="59"/>
      <c r="F24" s="59"/>
      <c r="G24" s="59"/>
      <c r="H24" s="59"/>
      <c r="I24" s="59"/>
      <c r="J24" s="84"/>
      <c r="K24" s="59"/>
      <c r="L24" s="81"/>
      <c r="M24" s="83"/>
      <c r="N24" s="81"/>
      <c r="O24" s="81"/>
      <c r="P24" s="81"/>
      <c r="AI24" s="109"/>
    </row>
    <row r="25" s="14" customFormat="1" customHeight="1" spans="1:35">
      <c r="A25" s="57"/>
      <c r="B25" s="57" t="s">
        <v>163</v>
      </c>
      <c r="C25" s="59"/>
      <c r="D25" s="59"/>
      <c r="E25" s="59"/>
      <c r="F25" s="59"/>
      <c r="G25" s="59"/>
      <c r="H25" s="59"/>
      <c r="I25" s="81"/>
      <c r="J25" s="82"/>
      <c r="K25" s="81"/>
      <c r="L25" s="81"/>
      <c r="M25" s="83"/>
      <c r="N25" s="81"/>
      <c r="O25" s="81"/>
      <c r="P25" s="81"/>
      <c r="AI25" s="109"/>
    </row>
    <row r="27" ht="11.25" customHeight="1" spans="2:2">
      <c r="B27" s="60" t="s">
        <v>164</v>
      </c>
    </row>
    <row r="28" spans="2:2">
      <c r="B28" s="61" t="s">
        <v>165</v>
      </c>
    </row>
    <row r="29" spans="2:2">
      <c r="B29" s="61" t="s">
        <v>166</v>
      </c>
    </row>
  </sheetData>
  <autoFilter ref="A3:AT13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5">
    <cfRule type="duplicateValues" dxfId="2" priority="2" stopIfTrue="1"/>
  </conditionalFormatting>
  <conditionalFormatting sqref="B20:B24">
    <cfRule type="duplicateValues" dxfId="2" priority="3" stopIfTrue="1"/>
  </conditionalFormatting>
  <conditionalFormatting sqref="B28:B29">
    <cfRule type="duplicateValues" dxfId="2" priority="1" stopIfTrue="1"/>
  </conditionalFormatting>
  <conditionalFormatting sqref="C17:C19">
    <cfRule type="duplicateValues" dxfId="2" priority="4" stopIfTrue="1"/>
    <cfRule type="expression" dxfId="3" priority="5" stopIfTrue="1">
      <formula>AND(COUNTIF($B$13:$B$65449,C17)+COUNTIF($B$1:$B$3,C17)&gt;1,NOT(ISBLANK(C17)))</formula>
    </cfRule>
    <cfRule type="expression" dxfId="3" priority="6" stopIfTrue="1">
      <formula>AND(COUNTIF($B$24:$B$65400,C17)+COUNTIF($B$1:$B$23,C17)&gt;1,NOT(ISBLANK(C17)))</formula>
    </cfRule>
    <cfRule type="expression" dxfId="3" priority="7" stopIfTrue="1">
      <formula>AND(COUNTIF($B$13:$B$65438,C17)+COUNTIF($B$1:$B$3,C17)&gt;1,NOT(ISBLANK(C17)))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17" sqref="N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11.45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80</v>
      </c>
      <c r="B1" s="21"/>
      <c r="C1" s="22"/>
      <c r="D1" s="23"/>
      <c r="E1" s="24"/>
      <c r="F1" s="24"/>
      <c r="G1" s="25"/>
      <c r="J1" s="62"/>
      <c r="L1" s="63"/>
      <c r="M1" s="64" t="s">
        <v>81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82</v>
      </c>
      <c r="C2" s="28" t="s">
        <v>83</v>
      </c>
      <c r="D2" s="28" t="s">
        <v>84</v>
      </c>
      <c r="E2" s="29" t="s">
        <v>85</v>
      </c>
      <c r="F2" s="30" t="s">
        <v>86</v>
      </c>
      <c r="G2" s="29" t="s">
        <v>87</v>
      </c>
      <c r="H2" s="29" t="s">
        <v>88</v>
      </c>
      <c r="I2" s="29" t="s">
        <v>89</v>
      </c>
      <c r="J2" s="65" t="s">
        <v>90</v>
      </c>
      <c r="K2" s="29" t="s">
        <v>91</v>
      </c>
      <c r="L2" s="29" t="s">
        <v>92</v>
      </c>
      <c r="M2" s="66" t="s">
        <v>93</v>
      </c>
      <c r="N2" s="67"/>
      <c r="O2" s="67"/>
      <c r="P2" s="68"/>
      <c r="Q2" s="30" t="s">
        <v>94</v>
      </c>
      <c r="R2" s="29" t="s">
        <v>95</v>
      </c>
      <c r="S2" s="30" t="s">
        <v>96</v>
      </c>
      <c r="T2" s="86" t="s">
        <v>97</v>
      </c>
      <c r="U2" s="30" t="s">
        <v>98</v>
      </c>
      <c r="V2" s="87" t="s">
        <v>99</v>
      </c>
      <c r="W2" s="88"/>
      <c r="X2" s="88"/>
      <c r="Y2" s="88"/>
      <c r="Z2" s="88"/>
      <c r="AA2" s="94"/>
      <c r="AB2" s="30" t="s">
        <v>100</v>
      </c>
      <c r="AC2" s="30" t="s">
        <v>101</v>
      </c>
      <c r="AD2" s="86" t="s">
        <v>102</v>
      </c>
      <c r="AE2" s="86" t="s">
        <v>103</v>
      </c>
      <c r="AF2" s="86" t="s">
        <v>104</v>
      </c>
      <c r="AG2" s="86" t="s">
        <v>105</v>
      </c>
      <c r="AH2" s="100" t="s">
        <v>106</v>
      </c>
      <c r="AI2" s="101" t="s">
        <v>107</v>
      </c>
      <c r="AJ2" s="100" t="s">
        <v>108</v>
      </c>
      <c r="AK2" s="28" t="s">
        <v>58</v>
      </c>
      <c r="AL2" s="100" t="s">
        <v>109</v>
      </c>
      <c r="AM2" s="29" t="s">
        <v>110</v>
      </c>
      <c r="AN2" s="29" t="s">
        <v>111</v>
      </c>
      <c r="AO2" s="111" t="s">
        <v>112</v>
      </c>
      <c r="AP2" s="29" t="s">
        <v>113</v>
      </c>
      <c r="AQ2" s="29" t="s">
        <v>114</v>
      </c>
      <c r="AR2" s="30" t="s">
        <v>115</v>
      </c>
      <c r="AS2" s="30" t="s">
        <v>116</v>
      </c>
      <c r="AT2" s="30" t="s">
        <v>117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118</v>
      </c>
      <c r="N3" s="70" t="s">
        <v>119</v>
      </c>
      <c r="O3" s="70" t="s">
        <v>120</v>
      </c>
      <c r="P3" s="70" t="s">
        <v>71</v>
      </c>
      <c r="Q3" s="35"/>
      <c r="R3" s="34"/>
      <c r="S3" s="35"/>
      <c r="T3" s="89"/>
      <c r="U3" s="35"/>
      <c r="V3" s="90" t="s">
        <v>121</v>
      </c>
      <c r="W3" s="90" t="s">
        <v>122</v>
      </c>
      <c r="X3" s="90" t="s">
        <v>123</v>
      </c>
      <c r="Y3" s="90" t="s">
        <v>124</v>
      </c>
      <c r="Z3" s="90" t="s">
        <v>125</v>
      </c>
      <c r="AA3" s="90" t="s">
        <v>126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9" customHeight="1" spans="1:46">
      <c r="A4" s="36">
        <v>1</v>
      </c>
      <c r="B4" s="37" t="s">
        <v>210</v>
      </c>
      <c r="C4" s="37"/>
      <c r="D4" s="37" t="s">
        <v>129</v>
      </c>
      <c r="E4" s="37"/>
      <c r="F4" s="38" t="s">
        <v>207</v>
      </c>
      <c r="G4" s="39">
        <v>15652649555</v>
      </c>
      <c r="H4" s="40"/>
      <c r="I4" s="40"/>
      <c r="J4" s="115"/>
      <c r="K4" s="40"/>
      <c r="L4" s="72"/>
      <c r="M4" s="73"/>
      <c r="N4" s="73"/>
      <c r="O4" s="73"/>
      <c r="P4" s="73"/>
      <c r="Q4" s="91">
        <f>ROUND(SUM(M4:P4),2)</f>
        <v>0</v>
      </c>
      <c r="R4" s="72">
        <v>0</v>
      </c>
      <c r="S4" s="92">
        <f>L4+IFERROR(VLOOKUP($E:$E,'（居民）工资表-8月'!$E:$S,15,0),0)</f>
        <v>0</v>
      </c>
      <c r="T4" s="93">
        <f>5000+IFERROR(VLOOKUP($E:$E,'（居民）工资表-8月'!$E:$T,16,0),0)</f>
        <v>5000</v>
      </c>
      <c r="U4" s="93">
        <f>Q4+IFERROR(VLOOKUP($E:$E,'（居民）工资表-8月'!$E:$U,17,0),0)</f>
        <v>0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>
        <v>0</v>
      </c>
      <c r="AB4" s="92">
        <f>ROUND(SUM(V4:AA4),2)</f>
        <v>0</v>
      </c>
      <c r="AC4" s="92">
        <f>R4+IFERROR(VLOOKUP($E:$E,'（居民）工资表-8月'!$E:$AC,25,0),0)</f>
        <v>0</v>
      </c>
      <c r="AD4" s="95">
        <f>ROUND(S4-T4-U4-AB4-AC4,2)</f>
        <v>-5000</v>
      </c>
      <c r="AE4" s="96">
        <f>ROUND(MAX((AD4)*{0.03;0.1;0.2;0.25;0.3;0.35;0.45}-{0;2520;16920;31920;52920;85920;181920},0),2)</f>
        <v>0</v>
      </c>
      <c r="AF4" s="97">
        <f>IFERROR(VLOOKUP(E:E,'（居民）工资表-8月'!E:AF,28,0)+VLOOKUP(E:E,'（居民）工资表-8月'!E:AG,29,0),0)</f>
        <v>0</v>
      </c>
      <c r="AG4" s="97">
        <f>IF((AE4-AF4)&lt;0,0,AE4-AF4)</f>
        <v>0</v>
      </c>
      <c r="AH4" s="104">
        <f>ROUND(IF((L4-Q4-AG4)&lt;0,0,(L4-Q4-AG4)),2)</f>
        <v>0</v>
      </c>
      <c r="AI4" s="105"/>
      <c r="AJ4" s="104">
        <f>AH4+AI4</f>
        <v>0</v>
      </c>
      <c r="AK4" s="106"/>
      <c r="AL4" s="104">
        <f>AJ4+AG4+AK4</f>
        <v>0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未填写身份证号码</v>
      </c>
      <c r="AS4" s="113" t="str">
        <f>IF(SUMPRODUCT(N(E$1:E$4=E4))&gt;1,"重复","不")</f>
        <v>重复</v>
      </c>
      <c r="AT4" s="113" t="str">
        <f>IF(SUMPRODUCT(N(AO$1:AO$4=AO4))&gt;1,"重复","不")</f>
        <v>重复</v>
      </c>
    </row>
    <row r="5" s="13" customFormat="1" ht="18" customHeight="1" spans="1:46">
      <c r="A5" s="43"/>
      <c r="B5" s="44" t="s">
        <v>155</v>
      </c>
      <c r="C5" s="44"/>
      <c r="D5" s="45"/>
      <c r="E5" s="46"/>
      <c r="F5" s="47"/>
      <c r="G5" s="48"/>
      <c r="H5" s="47"/>
      <c r="I5" s="74"/>
      <c r="J5" s="75"/>
      <c r="K5" s="74"/>
      <c r="L5" s="76">
        <f>SUM(L4:L4)</f>
        <v>0</v>
      </c>
      <c r="M5" s="76">
        <f t="shared" ref="M5:AL5" si="0">SUM(M4:M4)</f>
        <v>0</v>
      </c>
      <c r="N5" s="76">
        <f t="shared" si="0"/>
        <v>0</v>
      </c>
      <c r="O5" s="76">
        <f t="shared" si="0"/>
        <v>0</v>
      </c>
      <c r="P5" s="76">
        <f t="shared" si="0"/>
        <v>0</v>
      </c>
      <c r="Q5" s="76">
        <f t="shared" si="0"/>
        <v>0</v>
      </c>
      <c r="R5" s="76">
        <f t="shared" si="0"/>
        <v>0</v>
      </c>
      <c r="S5" s="76">
        <f t="shared" si="0"/>
        <v>0</v>
      </c>
      <c r="T5" s="76">
        <f t="shared" si="0"/>
        <v>5000</v>
      </c>
      <c r="U5" s="76">
        <f t="shared" si="0"/>
        <v>0</v>
      </c>
      <c r="V5" s="76">
        <f t="shared" si="0"/>
        <v>0</v>
      </c>
      <c r="W5" s="76">
        <f t="shared" si="0"/>
        <v>0</v>
      </c>
      <c r="X5" s="76">
        <f t="shared" si="0"/>
        <v>0</v>
      </c>
      <c r="Y5" s="76">
        <f t="shared" si="0"/>
        <v>0</v>
      </c>
      <c r="Z5" s="76">
        <f t="shared" si="0"/>
        <v>0</v>
      </c>
      <c r="AA5" s="76">
        <f t="shared" si="0"/>
        <v>0</v>
      </c>
      <c r="AB5" s="76">
        <f t="shared" si="0"/>
        <v>0</v>
      </c>
      <c r="AC5" s="76">
        <f t="shared" si="0"/>
        <v>0</v>
      </c>
      <c r="AD5" s="76">
        <f t="shared" si="0"/>
        <v>-5000</v>
      </c>
      <c r="AE5" s="76">
        <f t="shared" si="0"/>
        <v>0</v>
      </c>
      <c r="AF5" s="76">
        <f t="shared" si="0"/>
        <v>0</v>
      </c>
      <c r="AG5" s="76">
        <f t="shared" si="0"/>
        <v>0</v>
      </c>
      <c r="AH5" s="76">
        <f t="shared" si="0"/>
        <v>0</v>
      </c>
      <c r="AI5" s="76">
        <f t="shared" si="0"/>
        <v>0</v>
      </c>
      <c r="AJ5" s="76">
        <f t="shared" si="0"/>
        <v>0</v>
      </c>
      <c r="AK5" s="76">
        <f t="shared" si="0"/>
        <v>0</v>
      </c>
      <c r="AL5" s="76">
        <f t="shared" si="0"/>
        <v>0</v>
      </c>
      <c r="AM5" s="108"/>
      <c r="AN5" s="108"/>
      <c r="AO5" s="108"/>
      <c r="AP5" s="108"/>
      <c r="AQ5" s="108"/>
      <c r="AR5" s="47"/>
      <c r="AS5" s="47"/>
      <c r="AT5" s="114"/>
    </row>
    <row r="8" spans="30:30">
      <c r="AD8" s="98"/>
    </row>
    <row r="9" ht="18.75" customHeight="1" spans="2:30">
      <c r="B9" s="49" t="s">
        <v>108</v>
      </c>
      <c r="C9" s="49" t="s">
        <v>156</v>
      </c>
      <c r="D9" s="49" t="s">
        <v>58</v>
      </c>
      <c r="E9" s="49" t="s">
        <v>59</v>
      </c>
      <c r="AD9" s="10"/>
    </row>
    <row r="10" ht="18.75" customHeight="1" spans="2:6">
      <c r="B10" s="50">
        <f>AJ5</f>
        <v>0</v>
      </c>
      <c r="C10" s="50">
        <f>AG5</f>
        <v>0</v>
      </c>
      <c r="D10" s="50">
        <f>AK5</f>
        <v>0</v>
      </c>
      <c r="E10" s="50">
        <f>B10+C10+D10</f>
        <v>0</v>
      </c>
      <c r="F10" s="15">
        <f>E10*6.78%</f>
        <v>0</v>
      </c>
    </row>
    <row r="11" spans="2:6">
      <c r="B11" s="51"/>
      <c r="C11" s="51"/>
      <c r="D11" s="51"/>
      <c r="E11" s="51">
        <v>2936.34</v>
      </c>
      <c r="F11" s="15">
        <f>E11*6.78%</f>
        <v>199.083852</v>
      </c>
    </row>
    <row r="12" s="14" customFormat="1" spans="1:35">
      <c r="A12" s="52" t="s">
        <v>157</v>
      </c>
      <c r="B12" s="53" t="s">
        <v>158</v>
      </c>
      <c r="C12" s="54"/>
      <c r="D12" s="54"/>
      <c r="E12" s="54"/>
      <c r="G12" s="55"/>
      <c r="J12" s="77"/>
      <c r="M12" s="78"/>
      <c r="AI12" s="109"/>
    </row>
    <row r="13" s="14" customFormat="1" spans="1:35">
      <c r="A13" s="56"/>
      <c r="B13" s="57" t="s">
        <v>159</v>
      </c>
      <c r="C13" s="54"/>
      <c r="D13" s="54"/>
      <c r="E13" s="54"/>
      <c r="G13" s="55"/>
      <c r="J13" s="77"/>
      <c r="M13" s="78"/>
      <c r="AI13" s="109"/>
    </row>
    <row r="14" s="14" customFormat="1" spans="1:35">
      <c r="A14" s="53"/>
      <c r="B14" s="57" t="s">
        <v>160</v>
      </c>
      <c r="C14" s="58"/>
      <c r="D14" s="58"/>
      <c r="E14" s="58"/>
      <c r="F14" s="58"/>
      <c r="G14" s="58"/>
      <c r="H14" s="58"/>
      <c r="I14" s="58"/>
      <c r="J14" s="79"/>
      <c r="K14" s="58"/>
      <c r="L14" s="58"/>
      <c r="M14" s="80"/>
      <c r="N14" s="58"/>
      <c r="O14" s="58"/>
      <c r="P14" s="58"/>
      <c r="AI14" s="109"/>
    </row>
    <row r="15" s="14" customFormat="1" customHeight="1" spans="1:35">
      <c r="A15" s="57"/>
      <c r="B15" s="57" t="s">
        <v>161</v>
      </c>
      <c r="C15" s="59"/>
      <c r="D15" s="59"/>
      <c r="E15" s="59"/>
      <c r="F15" s="59"/>
      <c r="G15" s="59"/>
      <c r="H15" s="59"/>
      <c r="I15" s="81"/>
      <c r="J15" s="82"/>
      <c r="K15" s="81"/>
      <c r="L15" s="81"/>
      <c r="M15" s="83"/>
      <c r="N15" s="81"/>
      <c r="O15" s="81"/>
      <c r="P15" s="81"/>
      <c r="AI15" s="109"/>
    </row>
    <row r="16" s="14" customFormat="1" customHeight="1" spans="1:35">
      <c r="A16" s="57"/>
      <c r="B16" s="57" t="s">
        <v>162</v>
      </c>
      <c r="C16" s="59"/>
      <c r="D16" s="59"/>
      <c r="E16" s="59"/>
      <c r="F16" s="59"/>
      <c r="G16" s="59"/>
      <c r="H16" s="59"/>
      <c r="I16" s="59"/>
      <c r="J16" s="84"/>
      <c r="K16" s="59"/>
      <c r="L16" s="81"/>
      <c r="M16" s="83"/>
      <c r="N16" s="81"/>
      <c r="O16" s="81"/>
      <c r="P16" s="81"/>
      <c r="AI16" s="109"/>
    </row>
    <row r="17" s="14" customFormat="1" customHeight="1" spans="1:35">
      <c r="A17" s="57"/>
      <c r="B17" s="57" t="s">
        <v>163</v>
      </c>
      <c r="C17" s="59"/>
      <c r="D17" s="59"/>
      <c r="E17" s="59"/>
      <c r="F17" s="59"/>
      <c r="G17" s="59"/>
      <c r="H17" s="59"/>
      <c r="I17" s="81"/>
      <c r="J17" s="82"/>
      <c r="K17" s="81"/>
      <c r="L17" s="81"/>
      <c r="M17" s="83"/>
      <c r="N17" s="81"/>
      <c r="O17" s="81"/>
      <c r="P17" s="81"/>
      <c r="AI17" s="109"/>
    </row>
    <row r="19" ht="11.25" customHeight="1" spans="2:2">
      <c r="B19" s="60" t="s">
        <v>164</v>
      </c>
    </row>
    <row r="20" spans="2:2">
      <c r="B20" s="61" t="s">
        <v>165</v>
      </c>
    </row>
    <row r="21" spans="2:2">
      <c r="B21" s="61" t="s">
        <v>166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5"/>
  <sheetViews>
    <sheetView topLeftCell="J1" workbookViewId="0">
      <selection activeCell="S13" sqref="S13"/>
    </sheetView>
  </sheetViews>
  <sheetFormatPr defaultColWidth="9" defaultRowHeight="21.75" customHeight="1" outlineLevelRow="4"/>
  <cols>
    <col min="1" max="1" width="9" style="118" hidden="1" customWidth="1"/>
    <col min="2" max="2" width="10.2666666666667" style="118" hidden="1" customWidth="1"/>
    <col min="3" max="3" width="9" style="118" hidden="1" customWidth="1"/>
    <col min="4" max="4" width="15.2666666666667" style="118" hidden="1" customWidth="1"/>
    <col min="5" max="5" width="24.3666666666667" style="118" hidden="1" customWidth="1"/>
    <col min="6" max="6" width="27.725" style="118" hidden="1" customWidth="1"/>
    <col min="7" max="7" width="16.3666666666667" style="119" hidden="1" customWidth="1"/>
    <col min="8" max="8" width="5.36666666666667" style="118" hidden="1" customWidth="1"/>
    <col min="9" max="9" width="5.26666666666667" style="118" hidden="1" customWidth="1"/>
    <col min="10" max="10" width="6" style="118" customWidth="1"/>
    <col min="11" max="11" width="17" style="118" customWidth="1"/>
    <col min="12" max="12" width="11.8166666666667" style="118" customWidth="1"/>
    <col min="13" max="13" width="6.45" style="118" customWidth="1"/>
    <col min="14" max="16" width="9" style="118"/>
    <col min="17" max="17" width="10.2666666666667" style="118" customWidth="1"/>
    <col min="18" max="19" width="9" style="118"/>
    <col min="20" max="20" width="11.725" style="118" customWidth="1"/>
    <col min="21" max="21" width="9.725" style="118" customWidth="1"/>
    <col min="22" max="22" width="8.725" style="118" customWidth="1"/>
    <col min="23" max="23" width="15.0916666666667" style="118" customWidth="1"/>
    <col min="24" max="24" width="16.2666666666667" style="118" customWidth="1"/>
    <col min="25" max="16384" width="9" style="118"/>
  </cols>
  <sheetData>
    <row r="1" s="116" customFormat="1" ht="27.75" customHeight="1" spans="1:24">
      <c r="A1" s="120" t="s">
        <v>19</v>
      </c>
      <c r="B1" s="120" t="s">
        <v>211</v>
      </c>
      <c r="C1" s="120" t="s">
        <v>212</v>
      </c>
      <c r="D1" s="120" t="s">
        <v>213</v>
      </c>
      <c r="E1" s="120" t="s">
        <v>214</v>
      </c>
      <c r="F1" s="120" t="s">
        <v>38</v>
      </c>
      <c r="G1" s="121" t="s">
        <v>215</v>
      </c>
      <c r="H1" s="120" t="s">
        <v>216</v>
      </c>
      <c r="I1" s="120" t="s">
        <v>217</v>
      </c>
      <c r="J1" s="120" t="s">
        <v>40</v>
      </c>
      <c r="K1" s="120" t="s">
        <v>218</v>
      </c>
      <c r="L1" s="120" t="s">
        <v>219</v>
      </c>
      <c r="M1" s="120" t="s">
        <v>220</v>
      </c>
      <c r="N1" s="120" t="s">
        <v>221</v>
      </c>
      <c r="O1" s="120" t="s">
        <v>222</v>
      </c>
      <c r="P1" s="120" t="s">
        <v>223</v>
      </c>
      <c r="Q1" s="128" t="s">
        <v>91</v>
      </c>
      <c r="R1" s="128" t="s">
        <v>224</v>
      </c>
      <c r="S1" s="128" t="s">
        <v>225</v>
      </c>
      <c r="T1" s="128" t="s">
        <v>226</v>
      </c>
      <c r="U1" s="129" t="s">
        <v>227</v>
      </c>
      <c r="V1" s="128" t="s">
        <v>24</v>
      </c>
      <c r="W1" s="130" t="s">
        <v>228</v>
      </c>
      <c r="X1" s="131" t="s">
        <v>229</v>
      </c>
    </row>
    <row r="2" s="117" customFormat="1" ht="12" spans="1:41">
      <c r="A2" s="122">
        <v>2</v>
      </c>
      <c r="B2" s="123">
        <v>44351</v>
      </c>
      <c r="C2" s="124" t="s">
        <v>230</v>
      </c>
      <c r="D2" s="125" t="s">
        <v>231</v>
      </c>
      <c r="E2" s="122"/>
      <c r="F2" s="122" t="s">
        <v>232</v>
      </c>
      <c r="G2" s="126"/>
      <c r="H2" s="122"/>
      <c r="I2" s="122"/>
      <c r="J2" s="122" t="s">
        <v>233</v>
      </c>
      <c r="K2" s="315" t="s">
        <v>234</v>
      </c>
      <c r="L2" s="122">
        <v>18842612335</v>
      </c>
      <c r="M2" s="122"/>
      <c r="N2" s="122" t="s">
        <v>74</v>
      </c>
      <c r="O2" s="122" t="s">
        <v>74</v>
      </c>
      <c r="P2" s="122" t="s">
        <v>77</v>
      </c>
      <c r="Q2" s="132">
        <v>44410</v>
      </c>
      <c r="R2" s="123" t="s">
        <v>235</v>
      </c>
      <c r="S2" s="133" t="s">
        <v>236</v>
      </c>
      <c r="T2" s="122" t="s">
        <v>237</v>
      </c>
      <c r="U2" s="122"/>
      <c r="V2" s="122"/>
      <c r="W2" s="122"/>
      <c r="X2" s="122"/>
      <c r="Y2" s="122"/>
      <c r="Z2" s="122"/>
      <c r="AA2" s="122"/>
      <c r="AB2" s="133"/>
      <c r="AC2" s="122"/>
      <c r="AD2" s="122"/>
      <c r="AE2" s="122"/>
      <c r="AF2" s="132"/>
      <c r="AG2" s="123"/>
      <c r="AH2" s="122"/>
      <c r="AI2" s="122"/>
      <c r="AJ2" s="122"/>
      <c r="AK2" s="122"/>
      <c r="AL2" s="122"/>
      <c r="AM2" s="122"/>
      <c r="AN2" s="122"/>
      <c r="AO2" s="122"/>
    </row>
    <row r="3" s="117" customFormat="1" ht="12" spans="1:41">
      <c r="A3" s="122">
        <v>3</v>
      </c>
      <c r="B3" s="123">
        <v>44351</v>
      </c>
      <c r="C3" s="124" t="s">
        <v>230</v>
      </c>
      <c r="D3" s="125" t="s">
        <v>231</v>
      </c>
      <c r="E3" s="122"/>
      <c r="F3" s="122" t="s">
        <v>232</v>
      </c>
      <c r="G3" s="126"/>
      <c r="H3" s="122"/>
      <c r="I3" s="122"/>
      <c r="J3" s="122" t="s">
        <v>238</v>
      </c>
      <c r="K3" s="315" t="s">
        <v>239</v>
      </c>
      <c r="L3" s="122">
        <v>13520916764</v>
      </c>
      <c r="M3" s="122"/>
      <c r="N3" s="122" t="s">
        <v>74</v>
      </c>
      <c r="O3" s="122" t="s">
        <v>74</v>
      </c>
      <c r="P3" s="122" t="s">
        <v>240</v>
      </c>
      <c r="Q3" s="132">
        <v>44411</v>
      </c>
      <c r="R3" s="123" t="s">
        <v>235</v>
      </c>
      <c r="S3" s="133" t="s">
        <v>236</v>
      </c>
      <c r="T3" s="122" t="s">
        <v>237</v>
      </c>
      <c r="U3" s="122"/>
      <c r="V3" s="122"/>
      <c r="W3" s="122"/>
      <c r="X3" s="122"/>
      <c r="Y3" s="122"/>
      <c r="Z3" s="122"/>
      <c r="AA3" s="122"/>
      <c r="AB3" s="133"/>
      <c r="AC3" s="122"/>
      <c r="AD3" s="122"/>
      <c r="AE3" s="122"/>
      <c r="AF3" s="132"/>
      <c r="AG3" s="123"/>
      <c r="AH3" s="122"/>
      <c r="AI3" s="122"/>
      <c r="AJ3" s="122"/>
      <c r="AK3" s="122"/>
      <c r="AL3" s="122"/>
      <c r="AM3" s="122"/>
      <c r="AN3" s="122"/>
      <c r="AO3" s="122"/>
    </row>
    <row r="4" s="117" customFormat="1" ht="12" spans="1:41">
      <c r="A4" s="122">
        <v>4</v>
      </c>
      <c r="B4" s="123">
        <v>44351</v>
      </c>
      <c r="C4" s="124" t="s">
        <v>230</v>
      </c>
      <c r="D4" s="125" t="s">
        <v>231</v>
      </c>
      <c r="E4" s="122"/>
      <c r="F4" s="122" t="s">
        <v>232</v>
      </c>
      <c r="G4" s="126"/>
      <c r="H4" s="122"/>
      <c r="I4" s="122"/>
      <c r="J4" s="122" t="s">
        <v>241</v>
      </c>
      <c r="K4" s="315" t="s">
        <v>242</v>
      </c>
      <c r="L4" s="122">
        <v>17695964416</v>
      </c>
      <c r="M4" s="122"/>
      <c r="N4" s="122" t="s">
        <v>74</v>
      </c>
      <c r="O4" s="122" t="s">
        <v>74</v>
      </c>
      <c r="P4" s="122" t="s">
        <v>77</v>
      </c>
      <c r="Q4" s="132">
        <v>44411</v>
      </c>
      <c r="R4" s="123" t="s">
        <v>235</v>
      </c>
      <c r="S4" s="133" t="s">
        <v>236</v>
      </c>
      <c r="T4" s="122" t="s">
        <v>237</v>
      </c>
      <c r="U4" s="122"/>
      <c r="V4" s="122"/>
      <c r="W4" s="122"/>
      <c r="X4" s="122"/>
      <c r="Y4" s="122"/>
      <c r="Z4" s="122"/>
      <c r="AA4" s="122"/>
      <c r="AB4" s="133"/>
      <c r="AC4" s="122"/>
      <c r="AD4" s="122"/>
      <c r="AE4" s="122"/>
      <c r="AF4" s="123"/>
      <c r="AG4" s="123"/>
      <c r="AH4" s="122"/>
      <c r="AI4" s="122"/>
      <c r="AJ4" s="122"/>
      <c r="AK4" s="122"/>
      <c r="AL4" s="122"/>
      <c r="AM4" s="122"/>
      <c r="AN4" s="122"/>
      <c r="AO4" s="122"/>
    </row>
    <row r="5" customHeight="1" spans="10:20">
      <c r="J5" s="122" t="s">
        <v>243</v>
      </c>
      <c r="K5" s="316" t="s">
        <v>244</v>
      </c>
      <c r="L5" s="39">
        <v>17356637290</v>
      </c>
      <c r="M5" s="122"/>
      <c r="N5" s="122" t="s">
        <v>74</v>
      </c>
      <c r="O5" s="122" t="s">
        <v>74</v>
      </c>
      <c r="P5" s="122" t="s">
        <v>77</v>
      </c>
      <c r="Q5" s="132">
        <v>44407</v>
      </c>
      <c r="R5" s="123" t="s">
        <v>235</v>
      </c>
      <c r="S5" s="133" t="s">
        <v>236</v>
      </c>
      <c r="T5" s="122" t="s">
        <v>237</v>
      </c>
    </row>
  </sheetData>
  <dataValidations count="4">
    <dataValidation type="list" allowBlank="1" showInputMessage="1" showErrorMessage="1" sqref="D2 D3:D4">
      <formula1>"北京易才博普奥,上海易铭天,杭州易才凯捷,上海傲云,上海曙夕"</formula1>
    </dataValidation>
    <dataValidation type="list" allowBlank="1" showInputMessage="1" showErrorMessage="1" sqref="S2 S5 S3:S4">
      <formula1>"新参,调入"</formula1>
    </dataValidation>
    <dataValidation type="list" allowBlank="1" showInputMessage="1" showErrorMessage="1" sqref="C2:C4">
      <formula1>"华北销售部,华东销售部,微蜂事业部,外包一体化事业部"</formula1>
    </dataValidation>
    <dataValidation type="list" allowBlank="1" showInputMessage="1" showErrorMessage="1" sqref="H2:H4">
      <formula1>#REF!</formula1>
    </dataValidation>
  </dataValidations>
  <pageMargins left="0.75" right="0.75" top="1" bottom="1" header="0.5" footer="0.5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AD4" activePane="bottomRight" state="frozen"/>
      <selection/>
      <selection pane="topRight"/>
      <selection pane="bottomLeft"/>
      <selection pane="bottomRight" activeCell="B4" sqref="B4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80</v>
      </c>
      <c r="B1" s="21"/>
      <c r="C1" s="22"/>
      <c r="D1" s="23"/>
      <c r="E1" s="24"/>
      <c r="F1" s="24"/>
      <c r="G1" s="25"/>
      <c r="J1" s="62"/>
      <c r="L1" s="63"/>
      <c r="M1" s="64" t="s">
        <v>81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82</v>
      </c>
      <c r="C2" s="28" t="s">
        <v>83</v>
      </c>
      <c r="D2" s="28" t="s">
        <v>84</v>
      </c>
      <c r="E2" s="29" t="s">
        <v>85</v>
      </c>
      <c r="F2" s="30" t="s">
        <v>86</v>
      </c>
      <c r="G2" s="29" t="s">
        <v>87</v>
      </c>
      <c r="H2" s="29" t="s">
        <v>88</v>
      </c>
      <c r="I2" s="29" t="s">
        <v>89</v>
      </c>
      <c r="J2" s="65" t="s">
        <v>90</v>
      </c>
      <c r="K2" s="29" t="s">
        <v>91</v>
      </c>
      <c r="L2" s="29" t="s">
        <v>92</v>
      </c>
      <c r="M2" s="66" t="s">
        <v>93</v>
      </c>
      <c r="N2" s="67"/>
      <c r="O2" s="67"/>
      <c r="P2" s="68"/>
      <c r="Q2" s="30" t="s">
        <v>94</v>
      </c>
      <c r="R2" s="29" t="s">
        <v>95</v>
      </c>
      <c r="S2" s="30" t="s">
        <v>96</v>
      </c>
      <c r="T2" s="86" t="s">
        <v>97</v>
      </c>
      <c r="U2" s="30" t="s">
        <v>98</v>
      </c>
      <c r="V2" s="87" t="s">
        <v>99</v>
      </c>
      <c r="W2" s="88"/>
      <c r="X2" s="88"/>
      <c r="Y2" s="88"/>
      <c r="Z2" s="88"/>
      <c r="AA2" s="94"/>
      <c r="AB2" s="30" t="s">
        <v>100</v>
      </c>
      <c r="AC2" s="30" t="s">
        <v>101</v>
      </c>
      <c r="AD2" s="86" t="s">
        <v>102</v>
      </c>
      <c r="AE2" s="86" t="s">
        <v>103</v>
      </c>
      <c r="AF2" s="86" t="s">
        <v>104</v>
      </c>
      <c r="AG2" s="86" t="s">
        <v>105</v>
      </c>
      <c r="AH2" s="100" t="s">
        <v>106</v>
      </c>
      <c r="AI2" s="101" t="s">
        <v>107</v>
      </c>
      <c r="AJ2" s="100" t="s">
        <v>108</v>
      </c>
      <c r="AK2" s="28" t="s">
        <v>58</v>
      </c>
      <c r="AL2" s="100" t="s">
        <v>109</v>
      </c>
      <c r="AM2" s="29" t="s">
        <v>110</v>
      </c>
      <c r="AN2" s="29" t="s">
        <v>111</v>
      </c>
      <c r="AO2" s="111" t="s">
        <v>112</v>
      </c>
      <c r="AP2" s="29" t="s">
        <v>113</v>
      </c>
      <c r="AQ2" s="29" t="s">
        <v>114</v>
      </c>
      <c r="AR2" s="30" t="s">
        <v>115</v>
      </c>
      <c r="AS2" s="30" t="s">
        <v>116</v>
      </c>
      <c r="AT2" s="30" t="s">
        <v>117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118</v>
      </c>
      <c r="N3" s="70" t="s">
        <v>119</v>
      </c>
      <c r="O3" s="70" t="s">
        <v>120</v>
      </c>
      <c r="P3" s="70" t="s">
        <v>71</v>
      </c>
      <c r="Q3" s="35"/>
      <c r="R3" s="34"/>
      <c r="S3" s="35"/>
      <c r="T3" s="89"/>
      <c r="U3" s="35"/>
      <c r="V3" s="90" t="s">
        <v>121</v>
      </c>
      <c r="W3" s="90" t="s">
        <v>122</v>
      </c>
      <c r="X3" s="90" t="s">
        <v>123</v>
      </c>
      <c r="Y3" s="90" t="s">
        <v>124</v>
      </c>
      <c r="Z3" s="90" t="s">
        <v>125</v>
      </c>
      <c r="AA3" s="90" t="s">
        <v>126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179</v>
      </c>
      <c r="C4" s="37" t="s">
        <v>245</v>
      </c>
      <c r="D4" s="37" t="s">
        <v>129</v>
      </c>
      <c r="E4" s="37" t="s">
        <v>246</v>
      </c>
      <c r="F4" s="38" t="str">
        <f>IF(MOD(MID(E4,17,1),2)=1,"男","女")</f>
        <v>女</v>
      </c>
      <c r="G4" s="39">
        <v>18210022768</v>
      </c>
      <c r="H4" s="40"/>
      <c r="I4" s="40"/>
      <c r="J4" s="115">
        <v>44340</v>
      </c>
      <c r="K4" s="40"/>
      <c r="L4" s="72">
        <v>8000</v>
      </c>
      <c r="M4" s="73">
        <f>428.8</f>
        <v>428.8</v>
      </c>
      <c r="N4" s="73">
        <v>110.2</v>
      </c>
      <c r="O4" s="73">
        <f>26.8</f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L4+IFERROR(VLOOKUP($E:$E,'（居民）工资表-9月'!$E:$S,15,0),0)</f>
        <v>8000</v>
      </c>
      <c r="T4" s="93">
        <f>5000+IFERROR(VLOOKUP($E:$E,'（居民）工资表-9月'!$E:$T,16,0),0)</f>
        <v>5000</v>
      </c>
      <c r="U4" s="93">
        <f>Q4+IFERROR(VLOOKUP($E:$E,'（居民）工资表-9月'!$E:$U,17,0),0)</f>
        <v>1009.8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R4+IFERROR(VLOOKUP($E:$E,'（居民）工资表-9月'!$E:$AC,25,0),0)</f>
        <v>0</v>
      </c>
      <c r="AD4" s="95">
        <f>ROUND(S4-T4-U4-AB4-AC4,2)</f>
        <v>1990.2</v>
      </c>
      <c r="AE4" s="96">
        <f>ROUND(MAX((AD4)*{0.03;0.1;0.2;0.25;0.3;0.35;0.45}-{0;2520;16920;31920;52920;85920;181920},0),2)</f>
        <v>59.71</v>
      </c>
      <c r="AF4" s="97"/>
      <c r="AG4" s="97">
        <v>59.7</v>
      </c>
      <c r="AH4" s="104">
        <f>ROUND(IF((L4-Q4-AG4)&lt;0,0,(L4-Q4-AG4)),2)</f>
        <v>6930.5</v>
      </c>
      <c r="AI4" s="105"/>
      <c r="AJ4" s="104">
        <f>AH4+AI4</f>
        <v>6930.5</v>
      </c>
      <c r="AK4" s="106"/>
      <c r="AL4" s="104">
        <f>AJ4+AG4+AK4</f>
        <v>6990.2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IF(SUMPRODUCT(N(E$1:E$4=E4))&gt;1,"重复","不")</f>
        <v>不</v>
      </c>
      <c r="AT4" s="113" t="str">
        <f>IF(SUMPRODUCT(N(AO$1:AO$4=AO4))&gt;1,"重复","不")</f>
        <v>重复</v>
      </c>
    </row>
    <row r="5" s="13" customFormat="1" ht="18" customHeight="1" spans="1:46">
      <c r="A5" s="43"/>
      <c r="B5" s="44" t="s">
        <v>155</v>
      </c>
      <c r="C5" s="44"/>
      <c r="D5" s="45"/>
      <c r="E5" s="46"/>
      <c r="F5" s="47"/>
      <c r="G5" s="48"/>
      <c r="H5" s="47"/>
      <c r="I5" s="74"/>
      <c r="J5" s="75"/>
      <c r="K5" s="74"/>
      <c r="L5" s="76">
        <f t="shared" ref="L5:AL5" si="0">SUM(L4:L4)</f>
        <v>8000</v>
      </c>
      <c r="M5" s="76">
        <f t="shared" si="0"/>
        <v>428.8</v>
      </c>
      <c r="N5" s="76">
        <f t="shared" si="0"/>
        <v>110.2</v>
      </c>
      <c r="O5" s="76">
        <f t="shared" si="0"/>
        <v>26.8</v>
      </c>
      <c r="P5" s="76">
        <f t="shared" si="0"/>
        <v>444</v>
      </c>
      <c r="Q5" s="76">
        <f t="shared" si="0"/>
        <v>1009.8</v>
      </c>
      <c r="R5" s="76">
        <f t="shared" si="0"/>
        <v>0</v>
      </c>
      <c r="S5" s="76">
        <f t="shared" si="0"/>
        <v>8000</v>
      </c>
      <c r="T5" s="76">
        <f t="shared" si="0"/>
        <v>5000</v>
      </c>
      <c r="U5" s="76">
        <f t="shared" si="0"/>
        <v>1009.8</v>
      </c>
      <c r="V5" s="76">
        <f t="shared" si="0"/>
        <v>0</v>
      </c>
      <c r="W5" s="76">
        <f t="shared" si="0"/>
        <v>0</v>
      </c>
      <c r="X5" s="76">
        <f t="shared" si="0"/>
        <v>0</v>
      </c>
      <c r="Y5" s="76">
        <f t="shared" si="0"/>
        <v>0</v>
      </c>
      <c r="Z5" s="76">
        <f t="shared" si="0"/>
        <v>0</v>
      </c>
      <c r="AA5" s="76">
        <f t="shared" si="0"/>
        <v>0</v>
      </c>
      <c r="AB5" s="76">
        <f t="shared" si="0"/>
        <v>0</v>
      </c>
      <c r="AC5" s="76">
        <f t="shared" si="0"/>
        <v>0</v>
      </c>
      <c r="AD5" s="76">
        <f t="shared" si="0"/>
        <v>1990.2</v>
      </c>
      <c r="AE5" s="76">
        <f t="shared" si="0"/>
        <v>59.71</v>
      </c>
      <c r="AF5" s="76">
        <f t="shared" si="0"/>
        <v>0</v>
      </c>
      <c r="AG5" s="76">
        <f t="shared" si="0"/>
        <v>59.7</v>
      </c>
      <c r="AH5" s="76">
        <f t="shared" si="0"/>
        <v>6930.5</v>
      </c>
      <c r="AI5" s="107">
        <f t="shared" si="0"/>
        <v>0</v>
      </c>
      <c r="AJ5" s="76">
        <f t="shared" si="0"/>
        <v>6930.5</v>
      </c>
      <c r="AK5" s="76">
        <f t="shared" si="0"/>
        <v>0</v>
      </c>
      <c r="AL5" s="76">
        <f t="shared" si="0"/>
        <v>6990.2</v>
      </c>
      <c r="AM5" s="108"/>
      <c r="AN5" s="108"/>
      <c r="AO5" s="108"/>
      <c r="AP5" s="108"/>
      <c r="AQ5" s="108"/>
      <c r="AR5" s="47"/>
      <c r="AS5" s="47"/>
      <c r="AT5" s="114"/>
    </row>
    <row r="8" spans="30:30">
      <c r="AD8" s="98"/>
    </row>
    <row r="9" ht="18.75" customHeight="1" spans="2:30">
      <c r="B9" s="49" t="s">
        <v>108</v>
      </c>
      <c r="C9" s="49" t="s">
        <v>156</v>
      </c>
      <c r="D9" s="49" t="s">
        <v>58</v>
      </c>
      <c r="E9" s="49" t="s">
        <v>59</v>
      </c>
      <c r="AD9" s="10"/>
    </row>
    <row r="10" ht="18.75" customHeight="1" spans="2:5">
      <c r="B10" s="50">
        <f>AJ5</f>
        <v>6930.5</v>
      </c>
      <c r="C10" s="50">
        <f>AG5</f>
        <v>59.7</v>
      </c>
      <c r="D10" s="50">
        <f>AK5</f>
        <v>0</v>
      </c>
      <c r="E10" s="50">
        <f>B10+C10+D10</f>
        <v>6990.2</v>
      </c>
    </row>
    <row r="11" spans="2:5">
      <c r="B11" s="51"/>
      <c r="C11" s="51"/>
      <c r="D11" s="51"/>
      <c r="E11" s="51"/>
    </row>
    <row r="12" s="14" customFormat="1" spans="1:35">
      <c r="A12" s="52" t="s">
        <v>157</v>
      </c>
      <c r="B12" s="53" t="s">
        <v>158</v>
      </c>
      <c r="C12" s="54"/>
      <c r="D12" s="54"/>
      <c r="E12" s="54"/>
      <c r="G12" s="55"/>
      <c r="J12" s="77"/>
      <c r="M12" s="78"/>
      <c r="AI12" s="109"/>
    </row>
    <row r="13" s="14" customFormat="1" spans="1:35">
      <c r="A13" s="56"/>
      <c r="B13" s="57" t="s">
        <v>159</v>
      </c>
      <c r="C13" s="54"/>
      <c r="D13" s="54"/>
      <c r="E13" s="54"/>
      <c r="G13" s="55"/>
      <c r="J13" s="77"/>
      <c r="M13" s="78"/>
      <c r="AI13" s="109"/>
    </row>
    <row r="14" s="14" customFormat="1" spans="1:35">
      <c r="A14" s="53"/>
      <c r="B14" s="57" t="s">
        <v>160</v>
      </c>
      <c r="C14" s="58"/>
      <c r="D14" s="58"/>
      <c r="E14" s="58"/>
      <c r="F14" s="58"/>
      <c r="G14" s="58"/>
      <c r="H14" s="58"/>
      <c r="I14" s="58"/>
      <c r="J14" s="79"/>
      <c r="K14" s="58"/>
      <c r="L14" s="58"/>
      <c r="M14" s="80"/>
      <c r="N14" s="58"/>
      <c r="O14" s="58"/>
      <c r="P14" s="58"/>
      <c r="AI14" s="109"/>
    </row>
    <row r="15" s="14" customFormat="1" customHeight="1" spans="1:35">
      <c r="A15" s="57"/>
      <c r="B15" s="57" t="s">
        <v>161</v>
      </c>
      <c r="C15" s="59"/>
      <c r="D15" s="59"/>
      <c r="E15" s="59"/>
      <c r="F15" s="59"/>
      <c r="G15" s="59"/>
      <c r="H15" s="59"/>
      <c r="I15" s="81"/>
      <c r="J15" s="82"/>
      <c r="K15" s="81"/>
      <c r="L15" s="81"/>
      <c r="M15" s="83"/>
      <c r="N15" s="81"/>
      <c r="O15" s="81"/>
      <c r="P15" s="81"/>
      <c r="AI15" s="109"/>
    </row>
    <row r="16" s="14" customFormat="1" customHeight="1" spans="1:35">
      <c r="A16" s="57"/>
      <c r="B16" s="57" t="s">
        <v>162</v>
      </c>
      <c r="C16" s="59"/>
      <c r="D16" s="59"/>
      <c r="E16" s="59"/>
      <c r="F16" s="59"/>
      <c r="G16" s="59"/>
      <c r="H16" s="59"/>
      <c r="I16" s="59"/>
      <c r="J16" s="84"/>
      <c r="K16" s="59"/>
      <c r="L16" s="81"/>
      <c r="M16" s="83"/>
      <c r="N16" s="81"/>
      <c r="O16" s="81"/>
      <c r="P16" s="81"/>
      <c r="AI16" s="109"/>
    </row>
    <row r="17" s="14" customFormat="1" customHeight="1" spans="1:35">
      <c r="A17" s="57"/>
      <c r="B17" s="57" t="s">
        <v>163</v>
      </c>
      <c r="C17" s="59"/>
      <c r="D17" s="59"/>
      <c r="E17" s="59"/>
      <c r="F17" s="59"/>
      <c r="G17" s="59"/>
      <c r="H17" s="59"/>
      <c r="I17" s="81"/>
      <c r="J17" s="82"/>
      <c r="K17" s="81"/>
      <c r="L17" s="81"/>
      <c r="M17" s="83"/>
      <c r="N17" s="81"/>
      <c r="O17" s="81"/>
      <c r="P17" s="81"/>
      <c r="AI17" s="109"/>
    </row>
    <row r="19" ht="11.25" customHeight="1" spans="2:2">
      <c r="B19" s="60" t="s">
        <v>164</v>
      </c>
    </row>
    <row r="20" spans="2:2">
      <c r="B20" s="61" t="s">
        <v>165</v>
      </c>
    </row>
    <row r="21" spans="2:2">
      <c r="B21" s="61" t="s">
        <v>166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F15" sqref="F15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80</v>
      </c>
      <c r="B1" s="21"/>
      <c r="C1" s="22"/>
      <c r="D1" s="23"/>
      <c r="E1" s="24"/>
      <c r="F1" s="24"/>
      <c r="G1" s="25"/>
      <c r="J1" s="62"/>
      <c r="L1" s="63"/>
      <c r="M1" s="64" t="s">
        <v>81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82</v>
      </c>
      <c r="C2" s="28" t="s">
        <v>83</v>
      </c>
      <c r="D2" s="28" t="s">
        <v>84</v>
      </c>
      <c r="E2" s="29" t="s">
        <v>85</v>
      </c>
      <c r="F2" s="30" t="s">
        <v>86</v>
      </c>
      <c r="G2" s="29" t="s">
        <v>87</v>
      </c>
      <c r="H2" s="29" t="s">
        <v>88</v>
      </c>
      <c r="I2" s="29" t="s">
        <v>89</v>
      </c>
      <c r="J2" s="65" t="s">
        <v>90</v>
      </c>
      <c r="K2" s="29" t="s">
        <v>91</v>
      </c>
      <c r="L2" s="29" t="s">
        <v>92</v>
      </c>
      <c r="M2" s="66" t="s">
        <v>93</v>
      </c>
      <c r="N2" s="67"/>
      <c r="O2" s="67"/>
      <c r="P2" s="68"/>
      <c r="Q2" s="30" t="s">
        <v>94</v>
      </c>
      <c r="R2" s="29" t="s">
        <v>95</v>
      </c>
      <c r="S2" s="30" t="s">
        <v>96</v>
      </c>
      <c r="T2" s="86" t="s">
        <v>97</v>
      </c>
      <c r="U2" s="30" t="s">
        <v>98</v>
      </c>
      <c r="V2" s="87" t="s">
        <v>99</v>
      </c>
      <c r="W2" s="88"/>
      <c r="X2" s="88"/>
      <c r="Y2" s="88"/>
      <c r="Z2" s="88"/>
      <c r="AA2" s="94"/>
      <c r="AB2" s="30" t="s">
        <v>100</v>
      </c>
      <c r="AC2" s="30" t="s">
        <v>101</v>
      </c>
      <c r="AD2" s="86" t="s">
        <v>102</v>
      </c>
      <c r="AE2" s="86" t="s">
        <v>103</v>
      </c>
      <c r="AF2" s="86" t="s">
        <v>104</v>
      </c>
      <c r="AG2" s="86" t="s">
        <v>105</v>
      </c>
      <c r="AH2" s="100" t="s">
        <v>106</v>
      </c>
      <c r="AI2" s="101" t="s">
        <v>107</v>
      </c>
      <c r="AJ2" s="100" t="s">
        <v>108</v>
      </c>
      <c r="AK2" s="28" t="s">
        <v>58</v>
      </c>
      <c r="AL2" s="100" t="s">
        <v>109</v>
      </c>
      <c r="AM2" s="29" t="s">
        <v>110</v>
      </c>
      <c r="AN2" s="29" t="s">
        <v>111</v>
      </c>
      <c r="AO2" s="111" t="s">
        <v>112</v>
      </c>
      <c r="AP2" s="29" t="s">
        <v>113</v>
      </c>
      <c r="AQ2" s="29" t="s">
        <v>114</v>
      </c>
      <c r="AR2" s="30" t="s">
        <v>115</v>
      </c>
      <c r="AS2" s="30" t="s">
        <v>116</v>
      </c>
      <c r="AT2" s="30" t="s">
        <v>117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118</v>
      </c>
      <c r="N3" s="70" t="s">
        <v>119</v>
      </c>
      <c r="O3" s="70" t="s">
        <v>120</v>
      </c>
      <c r="P3" s="70" t="s">
        <v>71</v>
      </c>
      <c r="Q3" s="35"/>
      <c r="R3" s="34"/>
      <c r="S3" s="35"/>
      <c r="T3" s="89"/>
      <c r="U3" s="35"/>
      <c r="V3" s="90" t="s">
        <v>121</v>
      </c>
      <c r="W3" s="90" t="s">
        <v>122</v>
      </c>
      <c r="X3" s="90" t="s">
        <v>123</v>
      </c>
      <c r="Y3" s="90" t="s">
        <v>124</v>
      </c>
      <c r="Z3" s="90" t="s">
        <v>125</v>
      </c>
      <c r="AA3" s="90" t="s">
        <v>126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179</v>
      </c>
      <c r="C4" s="37" t="s">
        <v>128</v>
      </c>
      <c r="D4" s="37" t="s">
        <v>129</v>
      </c>
      <c r="E4" s="37" t="s">
        <v>130</v>
      </c>
      <c r="F4" s="38" t="str">
        <f t="shared" ref="F4:F14" si="0">IF(MOD(MID(E4,17,1),2)=1,"男","女")</f>
        <v>女</v>
      </c>
      <c r="G4" s="39">
        <v>19801207903</v>
      </c>
      <c r="H4" s="40"/>
      <c r="I4" s="40"/>
      <c r="J4" s="71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L4+IFERROR(VLOOKUP($E:$E,'（居民）工资表-11月'!$E:$S,15,0),0)</f>
        <v>17574.7126436782</v>
      </c>
      <c r="T4" s="93">
        <f>5000+IFERROR(VLOOKUP($E:$E,'（居民）工资表-11月'!$E:$T,16,0),0)</f>
        <v>10000</v>
      </c>
      <c r="U4" s="93">
        <f>Q4+IFERROR(VLOOKUP($E:$E,'（居民）工资表-11月'!$E:$U,17,0),0)</f>
        <v>2019.6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R4+IFERROR(VLOOKUP($E:$E,'（居民）工资表-11月'!$E:$AC,25,0),0)</f>
        <v>0</v>
      </c>
      <c r="AD4" s="95">
        <f>ROUND(S4-T4-U4-AB4-AC4,2)</f>
        <v>5555.11</v>
      </c>
      <c r="AE4" s="96">
        <f>ROUND(MAX((AD4)*{0.03;0.1;0.2;0.25;0.3;0.35;0.45}-{0;2520;16920;31920;52920;85920;181920},0),2)</f>
        <v>166.65</v>
      </c>
      <c r="AF4" s="97">
        <f>IFERROR(VLOOKUP(E:E,'（居民）工资表-11月'!E:AF,28,0)+VLOOKUP(E:E,'（居民）工资表-11月'!E:AG,29,0),0)</f>
        <v>16.95</v>
      </c>
      <c r="AG4" s="97">
        <f>IF((AE4-AF4)&lt;0,0,AE4-AF4)</f>
        <v>149.7</v>
      </c>
      <c r="AH4" s="104">
        <f>ROUND(IF((L4-Q4-AG4)&lt;0,0,(L4-Q4-AG4)),2)</f>
        <v>9840.5</v>
      </c>
      <c r="AI4" s="105"/>
      <c r="AJ4" s="104">
        <f>AH4+AI4</f>
        <v>9840.5</v>
      </c>
      <c r="AK4" s="106"/>
      <c r="AL4" s="104">
        <f>AJ4+AG4+AK4</f>
        <v>9990.2</v>
      </c>
      <c r="AM4" s="106"/>
      <c r="AN4" s="106"/>
      <c r="AO4" s="106"/>
      <c r="AP4" s="106"/>
      <c r="AQ4" s="106"/>
      <c r="AR4" s="113" t="str">
        <f t="shared" ref="AR4:AR14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4" si="2">IF(SUMPRODUCT(N(E$1:E$14=E4))&gt;1,"重复","不")</f>
        <v>不</v>
      </c>
      <c r="AT4" s="113" t="str">
        <f t="shared" ref="AT4:AT14" si="3">IF(SUMPRODUCT(N(AO$1:AO$14=AO4))&gt;1,"重复","不")</f>
        <v>重复</v>
      </c>
    </row>
    <row r="5" s="12" customFormat="1" ht="18" customHeight="1" spans="1:46">
      <c r="A5" s="36">
        <v>2</v>
      </c>
      <c r="B5" s="37" t="s">
        <v>179</v>
      </c>
      <c r="C5" s="37" t="s">
        <v>131</v>
      </c>
      <c r="D5" s="37" t="s">
        <v>129</v>
      </c>
      <c r="E5" s="37" t="s">
        <v>132</v>
      </c>
      <c r="F5" s="38" t="str">
        <f t="shared" si="0"/>
        <v>男</v>
      </c>
      <c r="G5" s="39">
        <v>13288877699</v>
      </c>
      <c r="H5" s="40"/>
      <c r="I5" s="40"/>
      <c r="J5" s="71"/>
      <c r="K5" s="40"/>
      <c r="L5" s="72">
        <v>11000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14" si="4">ROUND(SUM(M5:P5),2)</f>
        <v>1009.8</v>
      </c>
      <c r="R5" s="72">
        <v>0</v>
      </c>
      <c r="S5" s="92">
        <f>L5+IFERROR(VLOOKUP($E:$E,'（居民）工资表-11月'!$E:$S,15,0),0)</f>
        <v>17574.7126436782</v>
      </c>
      <c r="T5" s="93">
        <f>5000+IFERROR(VLOOKUP($E:$E,'（居民）工资表-11月'!$E:$T,16,0),0)</f>
        <v>10000</v>
      </c>
      <c r="U5" s="93">
        <f>Q5+IFERROR(VLOOKUP($E:$E,'（居民）工资表-11月'!$E:$U,17,0),0)</f>
        <v>2019.6</v>
      </c>
      <c r="V5" s="72"/>
      <c r="W5" s="72"/>
      <c r="X5" s="72"/>
      <c r="Y5" s="72"/>
      <c r="Z5" s="72"/>
      <c r="AA5" s="72"/>
      <c r="AB5" s="92">
        <f t="shared" ref="AB5:AB14" si="5">ROUND(SUM(V5:AA5),2)</f>
        <v>0</v>
      </c>
      <c r="AC5" s="92">
        <f>R5+IFERROR(VLOOKUP($E:$E,'（居民）工资表-11月'!$E:$AC,25,0),0)</f>
        <v>0</v>
      </c>
      <c r="AD5" s="95">
        <f t="shared" ref="AD5:AD14" si="6">ROUND(S5-T5-U5-AB5-AC5,2)</f>
        <v>5555.11</v>
      </c>
      <c r="AE5" s="96">
        <f>ROUND(MAX((AD5)*{0.03;0.1;0.2;0.25;0.3;0.35;0.45}-{0;2520;16920;31920;52920;85920;181920},0),2)</f>
        <v>166.65</v>
      </c>
      <c r="AF5" s="97">
        <f>IFERROR(VLOOKUP(E:E,'（居民）工资表-11月'!E:AF,28,0)+VLOOKUP(E:E,'（居民）工资表-11月'!E:AG,29,0),0)</f>
        <v>16.95</v>
      </c>
      <c r="AG5" s="97">
        <f t="shared" ref="AG5:AG14" si="7">IF((AE5-AF5)&lt;0,0,AE5-AF5)</f>
        <v>149.7</v>
      </c>
      <c r="AH5" s="104">
        <f t="shared" ref="AH5:AH14" si="8">ROUND(IF((L5-Q5-AG5)&lt;0,0,(L5-Q5-AG5)),2)</f>
        <v>9840.5</v>
      </c>
      <c r="AI5" s="105"/>
      <c r="AJ5" s="104">
        <f t="shared" ref="AJ5:AJ14" si="9">AH5+AI5</f>
        <v>9840.5</v>
      </c>
      <c r="AK5" s="106"/>
      <c r="AL5" s="104">
        <f t="shared" ref="AL5:AL14" si="10">AJ5+AG5+AK5</f>
        <v>9990.2</v>
      </c>
      <c r="AM5" s="106"/>
      <c r="AN5" s="106"/>
      <c r="AO5" s="106"/>
      <c r="AP5" s="106"/>
      <c r="AQ5" s="106"/>
      <c r="AR5" s="113" t="str">
        <f t="shared" si="1"/>
        <v>正确</v>
      </c>
      <c r="AS5" s="113" t="str">
        <f t="shared" si="2"/>
        <v>不</v>
      </c>
      <c r="AT5" s="113" t="str">
        <f t="shared" si="3"/>
        <v>重复</v>
      </c>
    </row>
    <row r="6" s="12" customFormat="1" ht="18" customHeight="1" spans="1:46">
      <c r="A6" s="36">
        <v>3</v>
      </c>
      <c r="B6" s="37" t="s">
        <v>179</v>
      </c>
      <c r="C6" s="37" t="s">
        <v>133</v>
      </c>
      <c r="D6" s="37" t="s">
        <v>129</v>
      </c>
      <c r="E6" s="37" t="s">
        <v>134</v>
      </c>
      <c r="F6" s="38" t="str">
        <f t="shared" si="0"/>
        <v>女</v>
      </c>
      <c r="G6" s="39">
        <v>13520315667</v>
      </c>
      <c r="H6" s="40"/>
      <c r="I6" s="40"/>
      <c r="J6" s="71"/>
      <c r="K6" s="40"/>
      <c r="L6" s="72">
        <v>15000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4"/>
        <v>1009.8</v>
      </c>
      <c r="R6" s="72">
        <v>0</v>
      </c>
      <c r="S6" s="92">
        <f>L6+IFERROR(VLOOKUP($E:$E,'（居民）工资表-11月'!$E:$S,15,0),0)</f>
        <v>25344.8275862069</v>
      </c>
      <c r="T6" s="93">
        <f>5000+IFERROR(VLOOKUP($E:$E,'（居民）工资表-11月'!$E:$T,16,0),0)</f>
        <v>10000</v>
      </c>
      <c r="U6" s="93">
        <f>Q6+IFERROR(VLOOKUP($E:$E,'（居民）工资表-11月'!$E:$U,17,0),0)</f>
        <v>2019.6</v>
      </c>
      <c r="V6" s="72"/>
      <c r="W6" s="72"/>
      <c r="X6" s="72"/>
      <c r="Y6" s="72"/>
      <c r="Z6" s="72"/>
      <c r="AA6" s="72"/>
      <c r="AB6" s="92">
        <f t="shared" si="5"/>
        <v>0</v>
      </c>
      <c r="AC6" s="92">
        <f>R6+IFERROR(VLOOKUP($E:$E,'（居民）工资表-11月'!$E:$AC,25,0),0)</f>
        <v>0</v>
      </c>
      <c r="AD6" s="95">
        <f t="shared" si="6"/>
        <v>13325.23</v>
      </c>
      <c r="AE6" s="96">
        <f>ROUND(MAX((AD6)*{0.03;0.1;0.2;0.25;0.3;0.35;0.45}-{0;2520;16920;31920;52920;85920;181920},0),2)</f>
        <v>399.76</v>
      </c>
      <c r="AF6" s="97">
        <f>IFERROR(VLOOKUP(E:E,'（居民）工资表-11月'!E:AF,28,0)+VLOOKUP(E:E,'（居民）工资表-11月'!E:AG,29,0),0)</f>
        <v>130.05</v>
      </c>
      <c r="AG6" s="97">
        <f t="shared" si="7"/>
        <v>269.71</v>
      </c>
      <c r="AH6" s="104">
        <f t="shared" si="8"/>
        <v>13720.49</v>
      </c>
      <c r="AI6" s="105"/>
      <c r="AJ6" s="104">
        <f t="shared" si="9"/>
        <v>13720.49</v>
      </c>
      <c r="AK6" s="106"/>
      <c r="AL6" s="104">
        <f t="shared" si="10"/>
        <v>13990.2</v>
      </c>
      <c r="AM6" s="106"/>
      <c r="AN6" s="106"/>
      <c r="AO6" s="106"/>
      <c r="AP6" s="106"/>
      <c r="AQ6" s="106"/>
      <c r="AR6" s="113" t="str">
        <f t="shared" si="1"/>
        <v>正确</v>
      </c>
      <c r="AS6" s="113" t="str">
        <f t="shared" si="2"/>
        <v>不</v>
      </c>
      <c r="AT6" s="113" t="str">
        <f t="shared" si="3"/>
        <v>重复</v>
      </c>
    </row>
    <row r="7" s="12" customFormat="1" ht="18" customHeight="1" spans="1:46">
      <c r="A7" s="36">
        <v>4</v>
      </c>
      <c r="B7" s="37" t="s">
        <v>179</v>
      </c>
      <c r="C7" s="37" t="s">
        <v>186</v>
      </c>
      <c r="D7" s="37" t="s">
        <v>129</v>
      </c>
      <c r="E7" s="37" t="s">
        <v>187</v>
      </c>
      <c r="F7" s="38" t="str">
        <f t="shared" si="0"/>
        <v>女</v>
      </c>
      <c r="G7" s="39">
        <v>16600096727</v>
      </c>
      <c r="H7" s="40"/>
      <c r="I7" s="40"/>
      <c r="J7" s="71"/>
      <c r="K7" s="40"/>
      <c r="L7" s="72">
        <v>15000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4"/>
        <v>1009.8</v>
      </c>
      <c r="R7" s="72">
        <v>0</v>
      </c>
      <c r="S7" s="92">
        <f>L7+IFERROR(VLOOKUP($E:$E,'（居民）工资表-11月'!$E:$S,15,0),0)</f>
        <v>25344.8275862069</v>
      </c>
      <c r="T7" s="93">
        <f>5000+IFERROR(VLOOKUP($E:$E,'（居民）工资表-11月'!$E:$T,16,0),0)</f>
        <v>10000</v>
      </c>
      <c r="U7" s="93">
        <f>Q7+IFERROR(VLOOKUP($E:$E,'（居民）工资表-11月'!$E:$U,17,0),0)</f>
        <v>2019.6</v>
      </c>
      <c r="V7" s="72"/>
      <c r="W7" s="72"/>
      <c r="X7" s="72"/>
      <c r="Y7" s="72"/>
      <c r="Z7" s="72"/>
      <c r="AA7" s="72"/>
      <c r="AB7" s="92">
        <f t="shared" si="5"/>
        <v>0</v>
      </c>
      <c r="AC7" s="92">
        <f>R7+IFERROR(VLOOKUP($E:$E,'（居民）工资表-11月'!$E:$AC,25,0),0)</f>
        <v>0</v>
      </c>
      <c r="AD7" s="95">
        <f t="shared" si="6"/>
        <v>13325.23</v>
      </c>
      <c r="AE7" s="96">
        <f>ROUND(MAX((AD7)*{0.03;0.1;0.2;0.25;0.3;0.35;0.45}-{0;2520;16920;31920;52920;85920;181920},0),2)</f>
        <v>399.76</v>
      </c>
      <c r="AF7" s="97">
        <f>IFERROR(VLOOKUP(E:E,'（居民）工资表-11月'!E:AF,28,0)+VLOOKUP(E:E,'（居民）工资表-11月'!E:AG,29,0),0)</f>
        <v>130.05</v>
      </c>
      <c r="AG7" s="97">
        <f t="shared" si="7"/>
        <v>269.71</v>
      </c>
      <c r="AH7" s="104">
        <f t="shared" si="8"/>
        <v>13720.49</v>
      </c>
      <c r="AI7" s="105"/>
      <c r="AJ7" s="104">
        <f t="shared" si="9"/>
        <v>13720.49</v>
      </c>
      <c r="AK7" s="106"/>
      <c r="AL7" s="104">
        <f t="shared" si="10"/>
        <v>13990.2</v>
      </c>
      <c r="AM7" s="106"/>
      <c r="AN7" s="106"/>
      <c r="AO7" s="106"/>
      <c r="AP7" s="106"/>
      <c r="AQ7" s="106"/>
      <c r="AR7" s="113" t="str">
        <f t="shared" si="1"/>
        <v>正确</v>
      </c>
      <c r="AS7" s="113" t="str">
        <f t="shared" si="2"/>
        <v>不</v>
      </c>
      <c r="AT7" s="113" t="str">
        <f t="shared" si="3"/>
        <v>重复</v>
      </c>
    </row>
    <row r="8" s="12" customFormat="1" ht="18" customHeight="1" spans="1:46">
      <c r="A8" s="36">
        <v>5</v>
      </c>
      <c r="B8" s="37" t="s">
        <v>179</v>
      </c>
      <c r="C8" s="37" t="s">
        <v>135</v>
      </c>
      <c r="D8" s="37" t="s">
        <v>129</v>
      </c>
      <c r="E8" s="37" t="s">
        <v>136</v>
      </c>
      <c r="F8" s="38" t="str">
        <f t="shared" si="0"/>
        <v>男</v>
      </c>
      <c r="G8" s="39">
        <v>13683242969</v>
      </c>
      <c r="H8" s="40"/>
      <c r="I8" s="40"/>
      <c r="J8" s="71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4"/>
        <v>1009.8</v>
      </c>
      <c r="R8" s="72">
        <v>0</v>
      </c>
      <c r="S8" s="92">
        <f>L8+IFERROR(VLOOKUP($E:$E,'（居民）工资表-11月'!$E:$S,15,0),0)</f>
        <v>11839.0804597701</v>
      </c>
      <c r="T8" s="93">
        <f>5000+IFERROR(VLOOKUP($E:$E,'（居民）工资表-11月'!$E:$T,16,0),0)</f>
        <v>10000</v>
      </c>
      <c r="U8" s="93">
        <f>Q8+IFERROR(VLOOKUP($E:$E,'（居民）工资表-11月'!$E:$U,17,0),0)</f>
        <v>1009.8</v>
      </c>
      <c r="V8" s="72"/>
      <c r="W8" s="72"/>
      <c r="X8" s="72"/>
      <c r="Y8" s="72"/>
      <c r="Z8" s="72"/>
      <c r="AA8" s="72"/>
      <c r="AB8" s="92">
        <f t="shared" si="5"/>
        <v>0</v>
      </c>
      <c r="AC8" s="92">
        <f>R8+IFERROR(VLOOKUP($E:$E,'（居民）工资表-11月'!$E:$AC,25,0),0)</f>
        <v>0</v>
      </c>
      <c r="AD8" s="95">
        <f t="shared" si="6"/>
        <v>829.28</v>
      </c>
      <c r="AE8" s="96">
        <f>ROUND(MAX((AD8)*{0.03;0.1;0.2;0.25;0.3;0.35;0.45}-{0;2520;16920;31920;52920;85920;181920},0),2)</f>
        <v>24.88</v>
      </c>
      <c r="AF8" s="97">
        <f>IFERROR(VLOOKUP(E:E,'（居民）工资表-11月'!E:AF,28,0)+VLOOKUP(E:E,'（居民）工资表-11月'!E:AG,29,0),0)</f>
        <v>0</v>
      </c>
      <c r="AG8" s="97">
        <f t="shared" si="7"/>
        <v>24.88</v>
      </c>
      <c r="AH8" s="104">
        <f t="shared" si="8"/>
        <v>8965.32</v>
      </c>
      <c r="AI8" s="105"/>
      <c r="AJ8" s="104">
        <f t="shared" si="9"/>
        <v>8965.32</v>
      </c>
      <c r="AK8" s="106"/>
      <c r="AL8" s="104">
        <f t="shared" si="10"/>
        <v>8990.2</v>
      </c>
      <c r="AM8" s="106"/>
      <c r="AN8" s="106"/>
      <c r="AO8" s="106"/>
      <c r="AP8" s="106"/>
      <c r="AQ8" s="106"/>
      <c r="AR8" s="113" t="str">
        <f t="shared" si="1"/>
        <v>正确</v>
      </c>
      <c r="AS8" s="113" t="str">
        <f t="shared" si="2"/>
        <v>不</v>
      </c>
      <c r="AT8" s="113" t="str">
        <f t="shared" si="3"/>
        <v>重复</v>
      </c>
    </row>
    <row r="9" s="12" customFormat="1" ht="18" customHeight="1" spans="1:46">
      <c r="A9" s="36">
        <v>6</v>
      </c>
      <c r="B9" s="37" t="s">
        <v>179</v>
      </c>
      <c r="C9" s="37" t="s">
        <v>137</v>
      </c>
      <c r="D9" s="37" t="s">
        <v>129</v>
      </c>
      <c r="E9" s="37" t="s">
        <v>138</v>
      </c>
      <c r="F9" s="38" t="str">
        <f t="shared" si="0"/>
        <v>男</v>
      </c>
      <c r="G9" s="39">
        <v>13163127617</v>
      </c>
      <c r="H9" s="40"/>
      <c r="I9" s="40"/>
      <c r="J9" s="71"/>
      <c r="K9" s="40"/>
      <c r="L9" s="72">
        <v>8000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4"/>
        <v>1009.8</v>
      </c>
      <c r="R9" s="72">
        <v>0</v>
      </c>
      <c r="S9" s="92">
        <f>L9+IFERROR(VLOOKUP($E:$E,'（居民）工资表-11月'!$E:$S,15,0),0)</f>
        <v>9839.08045977011</v>
      </c>
      <c r="T9" s="93">
        <f>5000+IFERROR(VLOOKUP($E:$E,'（居民）工资表-11月'!$E:$T,16,0),0)</f>
        <v>10000</v>
      </c>
      <c r="U9" s="93">
        <f>Q9+IFERROR(VLOOKUP($E:$E,'（居民）工资表-11月'!$E:$U,17,0),0)</f>
        <v>1009.8</v>
      </c>
      <c r="V9" s="72"/>
      <c r="W9" s="72"/>
      <c r="X9" s="72"/>
      <c r="Y9" s="72"/>
      <c r="Z9" s="72"/>
      <c r="AA9" s="72"/>
      <c r="AB9" s="92">
        <f t="shared" si="5"/>
        <v>0</v>
      </c>
      <c r="AC9" s="92">
        <f>R9+IFERROR(VLOOKUP($E:$E,'（居民）工资表-11月'!$E:$AC,25,0),0)</f>
        <v>0</v>
      </c>
      <c r="AD9" s="95">
        <f t="shared" si="6"/>
        <v>-1170.72</v>
      </c>
      <c r="AE9" s="96">
        <f>ROUND(MAX((AD9)*{0.03;0.1;0.2;0.25;0.3;0.35;0.45}-{0;2520;16920;31920;52920;85920;181920},0),2)</f>
        <v>0</v>
      </c>
      <c r="AF9" s="97">
        <f>IFERROR(VLOOKUP(E:E,'（居民）工资表-11月'!E:AF,28,0)+VLOOKUP(E:E,'（居民）工资表-11月'!E:AG,29,0),0)</f>
        <v>0</v>
      </c>
      <c r="AG9" s="97">
        <f t="shared" si="7"/>
        <v>0</v>
      </c>
      <c r="AH9" s="104">
        <f t="shared" si="8"/>
        <v>6990.2</v>
      </c>
      <c r="AI9" s="105"/>
      <c r="AJ9" s="104">
        <f t="shared" si="9"/>
        <v>6990.2</v>
      </c>
      <c r="AK9" s="106"/>
      <c r="AL9" s="104">
        <f t="shared" si="10"/>
        <v>6990.2</v>
      </c>
      <c r="AM9" s="106"/>
      <c r="AN9" s="106"/>
      <c r="AO9" s="106"/>
      <c r="AP9" s="106"/>
      <c r="AQ9" s="106"/>
      <c r="AR9" s="113" t="str">
        <f t="shared" si="1"/>
        <v>正确</v>
      </c>
      <c r="AS9" s="113" t="str">
        <f t="shared" si="2"/>
        <v>不</v>
      </c>
      <c r="AT9" s="113" t="str">
        <f t="shared" si="3"/>
        <v>重复</v>
      </c>
    </row>
    <row r="10" s="12" customFormat="1" ht="18" customHeight="1" spans="1:46">
      <c r="A10" s="36">
        <v>7</v>
      </c>
      <c r="B10" s="37" t="s">
        <v>179</v>
      </c>
      <c r="C10" s="41" t="s">
        <v>139</v>
      </c>
      <c r="D10" s="37" t="s">
        <v>129</v>
      </c>
      <c r="E10" s="37" t="s">
        <v>140</v>
      </c>
      <c r="F10" s="38" t="str">
        <f t="shared" si="0"/>
        <v>男</v>
      </c>
      <c r="G10" s="39">
        <v>15652649555</v>
      </c>
      <c r="H10" s="40"/>
      <c r="I10" s="40"/>
      <c r="J10" s="71"/>
      <c r="K10" s="40"/>
      <c r="L10" s="72">
        <v>5149.43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4"/>
        <v>1009.8</v>
      </c>
      <c r="R10" s="72">
        <v>0</v>
      </c>
      <c r="S10" s="92">
        <f>L10+IFERROR(VLOOKUP($E:$E,'（居民）工资表-11月'!$E:$S,15,0),0)</f>
        <v>5149.43</v>
      </c>
      <c r="T10" s="93">
        <f>5000+IFERROR(VLOOKUP($E:$E,'（居民）工资表-11月'!$E:$T,16,0),0)</f>
        <v>5000</v>
      </c>
      <c r="U10" s="93">
        <f>Q10+IFERROR(VLOOKUP($E:$E,'（居民）工资表-11月'!$E:$U,17,0),0)</f>
        <v>1009.8</v>
      </c>
      <c r="V10" s="72"/>
      <c r="W10" s="72"/>
      <c r="X10" s="72"/>
      <c r="Y10" s="72"/>
      <c r="Z10" s="72"/>
      <c r="AA10" s="72"/>
      <c r="AB10" s="92">
        <f t="shared" si="5"/>
        <v>0</v>
      </c>
      <c r="AC10" s="92">
        <f>R10+IFERROR(VLOOKUP($E:$E,'（居民）工资表-11月'!$E:$AC,25,0),0)</f>
        <v>0</v>
      </c>
      <c r="AD10" s="95">
        <f t="shared" si="6"/>
        <v>-860.37</v>
      </c>
      <c r="AE10" s="96">
        <f>ROUND(MAX((AD10)*{0.03;0.1;0.2;0.25;0.3;0.35;0.45}-{0;2520;16920;31920;52920;85920;181920},0),2)</f>
        <v>0</v>
      </c>
      <c r="AF10" s="97">
        <f>IFERROR(VLOOKUP(E:E,'（居民）工资表-11月'!E:AF,28,0)+VLOOKUP(E:E,'（居民）工资表-11月'!E:AG,29,0),0)</f>
        <v>0</v>
      </c>
      <c r="AG10" s="97">
        <f t="shared" si="7"/>
        <v>0</v>
      </c>
      <c r="AH10" s="104">
        <f t="shared" si="8"/>
        <v>4139.63</v>
      </c>
      <c r="AI10" s="105"/>
      <c r="AJ10" s="104">
        <f t="shared" si="9"/>
        <v>4139.63</v>
      </c>
      <c r="AK10" s="106"/>
      <c r="AL10" s="104">
        <f t="shared" si="10"/>
        <v>4139.63</v>
      </c>
      <c r="AM10" s="106"/>
      <c r="AN10" s="106"/>
      <c r="AO10" s="106"/>
      <c r="AP10" s="106"/>
      <c r="AQ10" s="106"/>
      <c r="AR10" s="113" t="str">
        <f t="shared" si="1"/>
        <v>正确</v>
      </c>
      <c r="AS10" s="113" t="str">
        <f t="shared" si="2"/>
        <v>不</v>
      </c>
      <c r="AT10" s="113" t="str">
        <f t="shared" si="3"/>
        <v>重复</v>
      </c>
    </row>
    <row r="11" s="12" customFormat="1" ht="18" customHeight="1" spans="1:46">
      <c r="A11" s="36">
        <v>8</v>
      </c>
      <c r="B11" s="37" t="s">
        <v>179</v>
      </c>
      <c r="C11" s="41" t="s">
        <v>141</v>
      </c>
      <c r="D11" s="37" t="s">
        <v>129</v>
      </c>
      <c r="E11" s="313" t="s">
        <v>142</v>
      </c>
      <c r="F11" s="38" t="str">
        <f t="shared" si="0"/>
        <v>男</v>
      </c>
      <c r="G11" s="39">
        <v>17611149839</v>
      </c>
      <c r="H11" s="40"/>
      <c r="I11" s="40"/>
      <c r="J11" s="71"/>
      <c r="K11" s="40"/>
      <c r="L11" s="72">
        <v>4413.8</v>
      </c>
      <c r="M11" s="73"/>
      <c r="N11" s="73"/>
      <c r="O11" s="73"/>
      <c r="P11" s="73"/>
      <c r="Q11" s="91">
        <f t="shared" si="4"/>
        <v>0</v>
      </c>
      <c r="R11" s="72">
        <v>0</v>
      </c>
      <c r="S11" s="92">
        <f>L11+IFERROR(VLOOKUP($E:$E,'（居民）工资表-11月'!$E:$S,15,0),0)</f>
        <v>4413.8</v>
      </c>
      <c r="T11" s="93">
        <f>5000+IFERROR(VLOOKUP($E:$E,'（居民）工资表-11月'!$E:$T,16,0),0)</f>
        <v>5000</v>
      </c>
      <c r="U11" s="93">
        <f>Q11+IFERROR(VLOOKUP($E:$E,'（居民）工资表-11月'!$E:$U,17,0),0)</f>
        <v>0</v>
      </c>
      <c r="V11" s="72"/>
      <c r="W11" s="72"/>
      <c r="X11" s="72"/>
      <c r="Y11" s="72"/>
      <c r="Z11" s="72"/>
      <c r="AA11" s="72"/>
      <c r="AB11" s="92">
        <f t="shared" si="5"/>
        <v>0</v>
      </c>
      <c r="AC11" s="92">
        <f>R11+IFERROR(VLOOKUP($E:$E,'（居民）工资表-11月'!$E:$AC,25,0),0)</f>
        <v>0</v>
      </c>
      <c r="AD11" s="95">
        <f t="shared" si="6"/>
        <v>-586.2</v>
      </c>
      <c r="AE11" s="96">
        <f>ROUND(MAX((AD11)*{0.03;0.1;0.2;0.25;0.3;0.35;0.45}-{0;2520;16920;31920;52920;85920;181920},0),2)</f>
        <v>0</v>
      </c>
      <c r="AF11" s="97">
        <f>IFERROR(VLOOKUP(E:E,'（居民）工资表-11月'!E:AF,28,0)+VLOOKUP(E:E,'（居民）工资表-11月'!E:AG,29,0),0)</f>
        <v>0</v>
      </c>
      <c r="AG11" s="97">
        <f t="shared" si="7"/>
        <v>0</v>
      </c>
      <c r="AH11" s="104">
        <f t="shared" si="8"/>
        <v>4413.8</v>
      </c>
      <c r="AI11" s="105"/>
      <c r="AJ11" s="104">
        <f t="shared" si="9"/>
        <v>4413.8</v>
      </c>
      <c r="AK11" s="106"/>
      <c r="AL11" s="104">
        <f t="shared" si="10"/>
        <v>4413.8</v>
      </c>
      <c r="AM11" s="106"/>
      <c r="AN11" s="106"/>
      <c r="AO11" s="106"/>
      <c r="AP11" s="106"/>
      <c r="AQ11" s="106"/>
      <c r="AR11" s="113" t="str">
        <f t="shared" si="1"/>
        <v>正确</v>
      </c>
      <c r="AS11" s="113" t="str">
        <f t="shared" si="2"/>
        <v>不</v>
      </c>
      <c r="AT11" s="113" t="str">
        <f t="shared" si="3"/>
        <v>重复</v>
      </c>
    </row>
    <row r="12" s="12" customFormat="1" ht="18" customHeight="1" spans="1:46">
      <c r="A12" s="36">
        <v>9</v>
      </c>
      <c r="B12" s="37" t="s">
        <v>179</v>
      </c>
      <c r="C12" s="41" t="s">
        <v>143</v>
      </c>
      <c r="D12" s="37" t="s">
        <v>129</v>
      </c>
      <c r="E12" s="313" t="s">
        <v>144</v>
      </c>
      <c r="F12" s="38" t="str">
        <f t="shared" si="0"/>
        <v>男</v>
      </c>
      <c r="G12" s="39">
        <v>13596154643</v>
      </c>
      <c r="H12" s="40"/>
      <c r="I12" s="40"/>
      <c r="J12" s="71"/>
      <c r="K12" s="40"/>
      <c r="L12" s="72">
        <v>4045.98</v>
      </c>
      <c r="M12" s="73"/>
      <c r="N12" s="73"/>
      <c r="O12" s="73"/>
      <c r="P12" s="73"/>
      <c r="Q12" s="91">
        <f t="shared" si="4"/>
        <v>0</v>
      </c>
      <c r="R12" s="72">
        <v>0</v>
      </c>
      <c r="S12" s="92">
        <f>L12+IFERROR(VLOOKUP($E:$E,'（居民）工资表-11月'!$E:$S,15,0),0)</f>
        <v>4045.98</v>
      </c>
      <c r="T12" s="93">
        <f>5000+IFERROR(VLOOKUP($E:$E,'（居民）工资表-11月'!$E:$T,16,0),0)</f>
        <v>5000</v>
      </c>
      <c r="U12" s="93">
        <f>Q12+IFERROR(VLOOKUP($E:$E,'（居民）工资表-11月'!$E:$U,17,0),0)</f>
        <v>0</v>
      </c>
      <c r="V12" s="72"/>
      <c r="W12" s="72"/>
      <c r="X12" s="72"/>
      <c r="Y12" s="72"/>
      <c r="Z12" s="72"/>
      <c r="AA12" s="72"/>
      <c r="AB12" s="92">
        <f t="shared" si="5"/>
        <v>0</v>
      </c>
      <c r="AC12" s="92">
        <f>R12+IFERROR(VLOOKUP($E:$E,'（居民）工资表-11月'!$E:$AC,25,0),0)</f>
        <v>0</v>
      </c>
      <c r="AD12" s="95">
        <f t="shared" si="6"/>
        <v>-954.02</v>
      </c>
      <c r="AE12" s="96">
        <f>ROUND(MAX((AD12)*{0.03;0.1;0.2;0.25;0.3;0.35;0.45}-{0;2520;16920;31920;52920;85920;181920},0),2)</f>
        <v>0</v>
      </c>
      <c r="AF12" s="97">
        <f>IFERROR(VLOOKUP(E:E,'（居民）工资表-11月'!E:AF,28,0)+VLOOKUP(E:E,'（居民）工资表-11月'!E:AG,29,0),0)</f>
        <v>0</v>
      </c>
      <c r="AG12" s="97">
        <f t="shared" si="7"/>
        <v>0</v>
      </c>
      <c r="AH12" s="104">
        <f t="shared" si="8"/>
        <v>4045.98</v>
      </c>
      <c r="AI12" s="105"/>
      <c r="AJ12" s="104">
        <f t="shared" si="9"/>
        <v>4045.98</v>
      </c>
      <c r="AK12" s="106"/>
      <c r="AL12" s="104">
        <f t="shared" si="10"/>
        <v>4045.98</v>
      </c>
      <c r="AM12" s="106"/>
      <c r="AN12" s="106"/>
      <c r="AO12" s="106"/>
      <c r="AP12" s="106"/>
      <c r="AQ12" s="106"/>
      <c r="AR12" s="113" t="str">
        <f t="shared" si="1"/>
        <v>正确</v>
      </c>
      <c r="AS12" s="113" t="str">
        <f t="shared" si="2"/>
        <v>不</v>
      </c>
      <c r="AT12" s="113" t="str">
        <f t="shared" si="3"/>
        <v>重复</v>
      </c>
    </row>
    <row r="13" s="12" customFormat="1" ht="18" customHeight="1" spans="1:46">
      <c r="A13" s="36">
        <v>10</v>
      </c>
      <c r="B13" s="37" t="s">
        <v>179</v>
      </c>
      <c r="C13" s="41" t="s">
        <v>145</v>
      </c>
      <c r="D13" s="37" t="s">
        <v>129</v>
      </c>
      <c r="E13" s="313" t="s">
        <v>146</v>
      </c>
      <c r="F13" s="38" t="str">
        <f t="shared" si="0"/>
        <v>女</v>
      </c>
      <c r="G13" s="39">
        <v>15372592345</v>
      </c>
      <c r="H13" s="40"/>
      <c r="I13" s="40"/>
      <c r="J13" s="71"/>
      <c r="K13" s="40"/>
      <c r="L13" s="72">
        <v>3678.16</v>
      </c>
      <c r="M13" s="73"/>
      <c r="N13" s="73"/>
      <c r="O13" s="73"/>
      <c r="P13" s="73"/>
      <c r="Q13" s="91">
        <f t="shared" si="4"/>
        <v>0</v>
      </c>
      <c r="R13" s="72">
        <v>0</v>
      </c>
      <c r="S13" s="92">
        <f>L13+IFERROR(VLOOKUP($E:$E,'（居民）工资表-11月'!$E:$S,15,0),0)</f>
        <v>3678.16</v>
      </c>
      <c r="T13" s="93">
        <f>5000+IFERROR(VLOOKUP($E:$E,'（居民）工资表-11月'!$E:$T,16,0),0)</f>
        <v>5000</v>
      </c>
      <c r="U13" s="93">
        <f>Q13+IFERROR(VLOOKUP($E:$E,'（居民）工资表-11月'!$E:$U,17,0),0)</f>
        <v>0</v>
      </c>
      <c r="V13" s="72"/>
      <c r="W13" s="72"/>
      <c r="X13" s="72"/>
      <c r="Y13" s="72"/>
      <c r="Z13" s="72"/>
      <c r="AA13" s="72"/>
      <c r="AB13" s="92">
        <f t="shared" si="5"/>
        <v>0</v>
      </c>
      <c r="AC13" s="92">
        <f>R13+IFERROR(VLOOKUP($E:$E,'（居民）工资表-11月'!$E:$AC,25,0),0)</f>
        <v>0</v>
      </c>
      <c r="AD13" s="95">
        <f t="shared" si="6"/>
        <v>-1321.84</v>
      </c>
      <c r="AE13" s="96">
        <f>ROUND(MAX((AD13)*{0.03;0.1;0.2;0.25;0.3;0.35;0.45}-{0;2520;16920;31920;52920;85920;181920},0),2)</f>
        <v>0</v>
      </c>
      <c r="AF13" s="97">
        <f>IFERROR(VLOOKUP(E:E,'（居民）工资表-11月'!E:AF,28,0)+VLOOKUP(E:E,'（居民）工资表-11月'!E:AG,29,0),0)</f>
        <v>0</v>
      </c>
      <c r="AG13" s="97">
        <f t="shared" si="7"/>
        <v>0</v>
      </c>
      <c r="AH13" s="104">
        <f t="shared" si="8"/>
        <v>3678.16</v>
      </c>
      <c r="AI13" s="105"/>
      <c r="AJ13" s="104">
        <f t="shared" si="9"/>
        <v>3678.16</v>
      </c>
      <c r="AK13" s="106"/>
      <c r="AL13" s="104">
        <f t="shared" si="10"/>
        <v>3678.16</v>
      </c>
      <c r="AM13" s="106"/>
      <c r="AN13" s="106"/>
      <c r="AO13" s="106"/>
      <c r="AP13" s="106"/>
      <c r="AQ13" s="106"/>
      <c r="AR13" s="113" t="str">
        <f t="shared" si="1"/>
        <v>正确</v>
      </c>
      <c r="AS13" s="113" t="str">
        <f t="shared" si="2"/>
        <v>不</v>
      </c>
      <c r="AT13" s="113" t="str">
        <f t="shared" si="3"/>
        <v>重复</v>
      </c>
    </row>
    <row r="14" s="12" customFormat="1" ht="18" customHeight="1" spans="1:46">
      <c r="A14" s="36">
        <v>11</v>
      </c>
      <c r="B14" s="37" t="s">
        <v>179</v>
      </c>
      <c r="C14" s="42" t="s">
        <v>194</v>
      </c>
      <c r="D14" s="37" t="s">
        <v>129</v>
      </c>
      <c r="E14" s="37" t="s">
        <v>247</v>
      </c>
      <c r="F14" s="38" t="str">
        <f t="shared" si="0"/>
        <v>女</v>
      </c>
      <c r="G14" s="39">
        <v>15680913132</v>
      </c>
      <c r="H14" s="40"/>
      <c r="I14" s="40"/>
      <c r="J14" s="71"/>
      <c r="K14" s="40"/>
      <c r="L14" s="72">
        <v>8000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4"/>
        <v>1009.8</v>
      </c>
      <c r="R14" s="72">
        <v>0</v>
      </c>
      <c r="S14" s="92">
        <f>L14+IFERROR(VLOOKUP($E:$E,'（居民）工资表-11月'!$E:$S,15,0),0)</f>
        <v>9471.26436781609</v>
      </c>
      <c r="T14" s="93">
        <f>5000+IFERROR(VLOOKUP($E:$E,'（居民）工资表-11月'!$E:$T,16,0),0)</f>
        <v>10000</v>
      </c>
      <c r="U14" s="93">
        <f>Q14+IFERROR(VLOOKUP($E:$E,'（居民）工资表-11月'!$E:$U,17,0),0)</f>
        <v>1009.8</v>
      </c>
      <c r="V14" s="72"/>
      <c r="W14" s="72"/>
      <c r="X14" s="72"/>
      <c r="Y14" s="72"/>
      <c r="Z14" s="72"/>
      <c r="AA14" s="72"/>
      <c r="AB14" s="92">
        <f t="shared" si="5"/>
        <v>0</v>
      </c>
      <c r="AC14" s="92">
        <f>R14+IFERROR(VLOOKUP($E:$E,'（居民）工资表-11月'!$E:$AC,25,0),0)</f>
        <v>0</v>
      </c>
      <c r="AD14" s="95">
        <f t="shared" si="6"/>
        <v>-1538.54</v>
      </c>
      <c r="AE14" s="96">
        <f>ROUND(MAX((AD14)*{0.03;0.1;0.2;0.25;0.3;0.35;0.45}-{0;2520;16920;31920;52920;85920;181920},0),2)</f>
        <v>0</v>
      </c>
      <c r="AF14" s="97">
        <f>IFERROR(VLOOKUP(E:E,'（居民）工资表-11月'!E:AF,28,0)+VLOOKUP(E:E,'（居民）工资表-11月'!E:AG,29,0),0)</f>
        <v>0</v>
      </c>
      <c r="AG14" s="97">
        <f t="shared" si="7"/>
        <v>0</v>
      </c>
      <c r="AH14" s="104">
        <f t="shared" si="8"/>
        <v>6990.2</v>
      </c>
      <c r="AI14" s="105"/>
      <c r="AJ14" s="104">
        <f t="shared" si="9"/>
        <v>6990.2</v>
      </c>
      <c r="AK14" s="106"/>
      <c r="AL14" s="104">
        <f t="shared" si="10"/>
        <v>6990.2</v>
      </c>
      <c r="AM14" s="106"/>
      <c r="AN14" s="106"/>
      <c r="AO14" s="106"/>
      <c r="AP14" s="106"/>
      <c r="AQ14" s="106"/>
      <c r="AR14" s="113" t="str">
        <f t="shared" si="1"/>
        <v>正确</v>
      </c>
      <c r="AS14" s="113" t="str">
        <f t="shared" si="2"/>
        <v>不</v>
      </c>
      <c r="AT14" s="113" t="str">
        <f t="shared" si="3"/>
        <v>重复</v>
      </c>
    </row>
    <row r="15" s="13" customFormat="1" ht="18" customHeight="1" spans="1:46">
      <c r="A15" s="43"/>
      <c r="B15" s="44" t="s">
        <v>155</v>
      </c>
      <c r="C15" s="44"/>
      <c r="D15" s="45"/>
      <c r="E15" s="46"/>
      <c r="F15" s="47"/>
      <c r="G15" s="48"/>
      <c r="H15" s="47"/>
      <c r="I15" s="74"/>
      <c r="J15" s="75"/>
      <c r="K15" s="74"/>
      <c r="L15" s="76">
        <f t="shared" ref="L15:AL15" si="11">SUM(L4:L14)</f>
        <v>95287.37</v>
      </c>
      <c r="M15" s="76">
        <f t="shared" si="11"/>
        <v>3430.4</v>
      </c>
      <c r="N15" s="76">
        <f t="shared" si="11"/>
        <v>881.6</v>
      </c>
      <c r="O15" s="76">
        <f t="shared" si="11"/>
        <v>214.4</v>
      </c>
      <c r="P15" s="76">
        <f t="shared" si="11"/>
        <v>3552</v>
      </c>
      <c r="Q15" s="76">
        <f t="shared" si="11"/>
        <v>8078.4</v>
      </c>
      <c r="R15" s="76">
        <f t="shared" si="11"/>
        <v>0</v>
      </c>
      <c r="S15" s="76">
        <f t="shared" si="11"/>
        <v>134275.875747126</v>
      </c>
      <c r="T15" s="76">
        <f t="shared" si="11"/>
        <v>90000</v>
      </c>
      <c r="U15" s="76">
        <f t="shared" si="11"/>
        <v>12117.6</v>
      </c>
      <c r="V15" s="76">
        <f t="shared" si="11"/>
        <v>0</v>
      </c>
      <c r="W15" s="76">
        <f t="shared" si="11"/>
        <v>0</v>
      </c>
      <c r="X15" s="76">
        <f t="shared" si="11"/>
        <v>0</v>
      </c>
      <c r="Y15" s="76">
        <f t="shared" si="11"/>
        <v>0</v>
      </c>
      <c r="Z15" s="76">
        <f t="shared" si="11"/>
        <v>0</v>
      </c>
      <c r="AA15" s="76">
        <f t="shared" si="11"/>
        <v>0</v>
      </c>
      <c r="AB15" s="76">
        <f t="shared" si="11"/>
        <v>0</v>
      </c>
      <c r="AC15" s="76">
        <f t="shared" si="11"/>
        <v>0</v>
      </c>
      <c r="AD15" s="76">
        <f t="shared" si="11"/>
        <v>32158.27</v>
      </c>
      <c r="AE15" s="76">
        <f t="shared" si="11"/>
        <v>1157.7</v>
      </c>
      <c r="AF15" s="76">
        <f t="shared" si="11"/>
        <v>294</v>
      </c>
      <c r="AG15" s="76">
        <f t="shared" si="11"/>
        <v>863.7</v>
      </c>
      <c r="AH15" s="76">
        <f t="shared" si="11"/>
        <v>86345.27</v>
      </c>
      <c r="AI15" s="107">
        <f t="shared" si="11"/>
        <v>0</v>
      </c>
      <c r="AJ15" s="76">
        <f t="shared" si="11"/>
        <v>86345.27</v>
      </c>
      <c r="AK15" s="76">
        <f t="shared" si="11"/>
        <v>0</v>
      </c>
      <c r="AL15" s="76">
        <f t="shared" si="11"/>
        <v>87208.97</v>
      </c>
      <c r="AM15" s="108"/>
      <c r="AN15" s="108"/>
      <c r="AO15" s="108"/>
      <c r="AP15" s="108"/>
      <c r="AQ15" s="108"/>
      <c r="AR15" s="47"/>
      <c r="AS15" s="47"/>
      <c r="AT15" s="114"/>
    </row>
    <row r="18" spans="30:30">
      <c r="AD18" s="98"/>
    </row>
    <row r="19" ht="18.75" customHeight="1" spans="2:30">
      <c r="B19" s="49" t="s">
        <v>108</v>
      </c>
      <c r="C19" s="49" t="s">
        <v>156</v>
      </c>
      <c r="D19" s="49" t="s">
        <v>58</v>
      </c>
      <c r="E19" s="49" t="s">
        <v>59</v>
      </c>
      <c r="AD19" s="10"/>
    </row>
    <row r="20" ht="18.75" customHeight="1" spans="2:5">
      <c r="B20" s="50">
        <f>AJ15</f>
        <v>86345.27</v>
      </c>
      <c r="C20" s="50">
        <f>AG15</f>
        <v>863.7</v>
      </c>
      <c r="D20" s="50">
        <f>AK15</f>
        <v>0</v>
      </c>
      <c r="E20" s="50">
        <f>B20+C20+D20</f>
        <v>87208.97</v>
      </c>
    </row>
    <row r="21" spans="2:5">
      <c r="B21" s="51"/>
      <c r="C21" s="51"/>
      <c r="D21" s="51"/>
      <c r="E21" s="51">
        <f>E20*6.78%</f>
        <v>5912.768166</v>
      </c>
    </row>
    <row r="22" s="14" customFormat="1" spans="1:35">
      <c r="A22" s="52" t="s">
        <v>157</v>
      </c>
      <c r="B22" s="53" t="s">
        <v>158</v>
      </c>
      <c r="C22" s="54"/>
      <c r="D22" s="54"/>
      <c r="E22" s="54"/>
      <c r="G22" s="55"/>
      <c r="J22" s="77"/>
      <c r="M22" s="78"/>
      <c r="AI22" s="109"/>
    </row>
    <row r="23" s="14" customFormat="1" spans="1:35">
      <c r="A23" s="56"/>
      <c r="B23" s="57" t="s">
        <v>159</v>
      </c>
      <c r="C23" s="54"/>
      <c r="D23" s="54"/>
      <c r="E23" s="54"/>
      <c r="G23" s="55"/>
      <c r="J23" s="77"/>
      <c r="M23" s="78"/>
      <c r="AI23" s="109"/>
    </row>
    <row r="24" s="14" customFormat="1" spans="1:35">
      <c r="A24" s="53"/>
      <c r="B24" s="57" t="s">
        <v>160</v>
      </c>
      <c r="C24" s="58"/>
      <c r="D24" s="58"/>
      <c r="E24" s="58"/>
      <c r="F24" s="58"/>
      <c r="G24" s="58"/>
      <c r="H24" s="58"/>
      <c r="I24" s="58"/>
      <c r="J24" s="79"/>
      <c r="K24" s="58"/>
      <c r="L24" s="58"/>
      <c r="M24" s="80"/>
      <c r="N24" s="58"/>
      <c r="O24" s="58"/>
      <c r="P24" s="58"/>
      <c r="AI24" s="109"/>
    </row>
    <row r="25" s="14" customFormat="1" customHeight="1" spans="1:35">
      <c r="A25" s="57"/>
      <c r="B25" s="57" t="s">
        <v>161</v>
      </c>
      <c r="C25" s="59"/>
      <c r="D25" s="59"/>
      <c r="E25" s="59"/>
      <c r="F25" s="59"/>
      <c r="G25" s="59"/>
      <c r="H25" s="59"/>
      <c r="I25" s="81"/>
      <c r="J25" s="82"/>
      <c r="K25" s="81"/>
      <c r="L25" s="81"/>
      <c r="M25" s="83"/>
      <c r="N25" s="81"/>
      <c r="O25" s="81"/>
      <c r="P25" s="81"/>
      <c r="AI25" s="109"/>
    </row>
    <row r="26" s="14" customFormat="1" customHeight="1" spans="1:35">
      <c r="A26" s="57"/>
      <c r="B26" s="57" t="s">
        <v>162</v>
      </c>
      <c r="C26" s="59"/>
      <c r="D26" s="59"/>
      <c r="E26" s="59"/>
      <c r="F26" s="59"/>
      <c r="G26" s="59"/>
      <c r="H26" s="59"/>
      <c r="I26" s="59"/>
      <c r="J26" s="84"/>
      <c r="K26" s="59"/>
      <c r="L26" s="81"/>
      <c r="M26" s="83"/>
      <c r="N26" s="81"/>
      <c r="O26" s="81"/>
      <c r="P26" s="81"/>
      <c r="AI26" s="109"/>
    </row>
    <row r="27" s="14" customFormat="1" customHeight="1" spans="1:35">
      <c r="A27" s="57"/>
      <c r="B27" s="57" t="s">
        <v>163</v>
      </c>
      <c r="C27" s="59"/>
      <c r="D27" s="59"/>
      <c r="E27" s="59"/>
      <c r="F27" s="59"/>
      <c r="G27" s="59"/>
      <c r="H27" s="59"/>
      <c r="I27" s="81"/>
      <c r="J27" s="82"/>
      <c r="K27" s="81"/>
      <c r="L27" s="81"/>
      <c r="M27" s="83"/>
      <c r="N27" s="81"/>
      <c r="O27" s="81"/>
      <c r="P27" s="81"/>
      <c r="AI27" s="109"/>
    </row>
    <row r="29" ht="11.25" customHeight="1" spans="2:2">
      <c r="B29" s="60" t="s">
        <v>164</v>
      </c>
    </row>
    <row r="30" spans="2:2">
      <c r="B30" s="61" t="s">
        <v>165</v>
      </c>
    </row>
    <row r="31" spans="2:2">
      <c r="B31" s="61" t="s">
        <v>166</v>
      </c>
    </row>
  </sheetData>
  <autoFilter ref="A3:AT1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7">
    <cfRule type="duplicateValues" dxfId="2" priority="2" stopIfTrue="1"/>
  </conditionalFormatting>
  <conditionalFormatting sqref="B22:B26">
    <cfRule type="duplicateValues" dxfId="2" priority="3" stopIfTrue="1"/>
  </conditionalFormatting>
  <conditionalFormatting sqref="B30:B31">
    <cfRule type="duplicateValues" dxfId="2" priority="1" stopIfTrue="1"/>
  </conditionalFormatting>
  <conditionalFormatting sqref="C19:C21">
    <cfRule type="duplicateValues" dxfId="2" priority="4" stopIfTrue="1"/>
    <cfRule type="expression" dxfId="3" priority="5" stopIfTrue="1">
      <formula>AND(COUNTIF($B$15:$B$65451,C19)+COUNTIF($B$1:$B$3,C19)&gt;1,NOT(ISBLANK(C19)))</formula>
    </cfRule>
    <cfRule type="expression" dxfId="3" priority="6" stopIfTrue="1">
      <formula>AND(COUNTIF($B$26:$B$65402,C19)+COUNTIF($B$1:$B$25,C19)&gt;1,NOT(ISBLANK(C19)))</formula>
    </cfRule>
    <cfRule type="expression" dxfId="3" priority="7" stopIfTrue="1">
      <formula>AND(COUNTIF($B$15:$B$65440,C19)+COUNTIF($B$1:$B$3,C19)&gt;1,NOT(ISBLANK(C19)))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25" customWidth="1"/>
    <col min="5" max="5" width="16.0916666666667" customWidth="1"/>
  </cols>
  <sheetData>
    <row r="1" ht="57" customHeight="1" spans="2:5">
      <c r="B1" s="1" t="s">
        <v>248</v>
      </c>
      <c r="C1" s="1"/>
      <c r="D1" s="1"/>
      <c r="E1" s="1"/>
    </row>
    <row r="2" ht="21" spans="2:2">
      <c r="B2" s="2"/>
    </row>
    <row r="3" ht="27.75" customHeight="1" spans="2:5">
      <c r="B3" s="3" t="s">
        <v>249</v>
      </c>
      <c r="C3" s="4" t="s">
        <v>250</v>
      </c>
      <c r="D3" s="4" t="s">
        <v>251</v>
      </c>
      <c r="E3" s="4" t="s">
        <v>252</v>
      </c>
    </row>
    <row r="4" ht="29.25" customHeight="1" spans="2:5">
      <c r="B4" s="5">
        <v>1</v>
      </c>
      <c r="C4" s="6" t="s">
        <v>253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254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255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256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257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258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259</v>
      </c>
      <c r="D10" s="7">
        <v>0.45</v>
      </c>
      <c r="E10" s="8">
        <v>181920</v>
      </c>
    </row>
    <row r="13" ht="57" customHeight="1" spans="2:5">
      <c r="B13" s="1" t="s">
        <v>260</v>
      </c>
      <c r="C13" s="1"/>
      <c r="D13" s="1"/>
      <c r="E13" s="1"/>
    </row>
    <row r="14" ht="21" spans="2:2">
      <c r="B14" s="2"/>
    </row>
    <row r="15" ht="27.75" customHeight="1" spans="2:5">
      <c r="B15" s="3" t="s">
        <v>249</v>
      </c>
      <c r="C15" s="4" t="s">
        <v>261</v>
      </c>
      <c r="D15" s="4" t="s">
        <v>251</v>
      </c>
      <c r="E15" s="4" t="s">
        <v>252</v>
      </c>
    </row>
    <row r="16" ht="29.25" customHeight="1" spans="2:5">
      <c r="B16" s="5">
        <v>1</v>
      </c>
      <c r="C16" s="6" t="s">
        <v>262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263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264</v>
      </c>
      <c r="D18" s="7">
        <v>0.4</v>
      </c>
      <c r="E18" s="8">
        <v>7000</v>
      </c>
    </row>
    <row r="21" ht="47.25" customHeight="1" spans="2:5">
      <c r="B21" s="1" t="s">
        <v>265</v>
      </c>
      <c r="C21" s="1"/>
      <c r="D21" s="1"/>
      <c r="E21" s="1"/>
    </row>
    <row r="22" ht="21" spans="2:2">
      <c r="B22" s="2"/>
    </row>
    <row r="23" ht="27.75" customHeight="1" spans="2:5">
      <c r="B23" s="3" t="s">
        <v>249</v>
      </c>
      <c r="C23" s="4" t="s">
        <v>266</v>
      </c>
      <c r="D23" s="4" t="s">
        <v>251</v>
      </c>
      <c r="E23" s="4" t="s">
        <v>252</v>
      </c>
    </row>
    <row r="24" ht="29.25" customHeight="1" spans="2:5">
      <c r="B24" s="5">
        <v>1</v>
      </c>
      <c r="C24" s="6" t="s">
        <v>267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268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269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270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271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272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273</v>
      </c>
      <c r="D30" s="7">
        <v>0.45</v>
      </c>
      <c r="E30" s="8">
        <v>15160</v>
      </c>
    </row>
    <row r="35" ht="57" customHeight="1" spans="2:5">
      <c r="B35" s="9" t="s">
        <v>274</v>
      </c>
      <c r="C35" s="9"/>
      <c r="D35" s="9"/>
      <c r="E35" s="9"/>
    </row>
    <row r="36" ht="14.25"/>
    <row r="37" ht="21.75" customHeight="1" spans="2:5">
      <c r="B37" s="3" t="s">
        <v>249</v>
      </c>
      <c r="C37" s="4" t="s">
        <v>275</v>
      </c>
      <c r="D37" s="4" t="s">
        <v>276</v>
      </c>
      <c r="E37" s="4" t="s">
        <v>252</v>
      </c>
    </row>
    <row r="38" ht="21.75" customHeight="1" spans="2:5">
      <c r="B38" s="5">
        <v>1</v>
      </c>
      <c r="C38" s="6" t="s">
        <v>267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268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269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270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271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272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273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290"/>
  <sheetViews>
    <sheetView workbookViewId="0">
      <pane xSplit="10" ySplit="2" topLeftCell="R3" activePane="bottomRight" state="frozen"/>
      <selection/>
      <selection pane="topRight"/>
      <selection pane="bottomLeft"/>
      <selection pane="bottomRight" activeCell="I9" sqref="I9:I10"/>
    </sheetView>
  </sheetViews>
  <sheetFormatPr defaultColWidth="9" defaultRowHeight="13.5"/>
  <cols>
    <col min="1" max="1" width="2.26666666666667" style="137" customWidth="1"/>
    <col min="2" max="2" width="19.6333333333333" style="137" customWidth="1"/>
    <col min="3" max="3" width="6.81666666666667" style="137" customWidth="1"/>
    <col min="4" max="4" width="7.45" style="137" customWidth="1"/>
    <col min="5" max="5" width="17.0916666666667" style="137" customWidth="1"/>
    <col min="6" max="6" width="11.3666666666667" style="137" customWidth="1"/>
    <col min="7" max="10" width="9.26666666666667" style="137" customWidth="1"/>
    <col min="11" max="11" width="9" style="137" customWidth="1"/>
    <col min="12" max="12" width="8.45" style="137" customWidth="1"/>
    <col min="13" max="13" width="8.63333333333333" style="137" customWidth="1"/>
    <col min="14" max="14" width="7.45" style="137" customWidth="1"/>
    <col min="15" max="15" width="10.2666666666667" style="137" customWidth="1"/>
    <col min="16" max="16" width="9" style="137" customWidth="1"/>
    <col min="17" max="17" width="7.725" style="137" customWidth="1"/>
    <col min="18" max="18" width="10.2666666666667" style="137" customWidth="1"/>
    <col min="19" max="19" width="7.725" style="137" customWidth="1"/>
    <col min="20" max="20" width="11.725" style="137" customWidth="1"/>
    <col min="21" max="21" width="9" style="137" customWidth="1"/>
    <col min="22" max="22" width="7.725" style="137" customWidth="1"/>
    <col min="23" max="23" width="8.45" style="137" customWidth="1"/>
    <col min="24" max="25" width="7.725" style="137" customWidth="1"/>
    <col min="26" max="26" width="9" style="137" customWidth="1"/>
    <col min="27" max="27" width="7.45" style="137" customWidth="1"/>
    <col min="28" max="28" width="8.725" style="137" customWidth="1"/>
    <col min="29" max="29" width="9" style="137" customWidth="1"/>
    <col min="30" max="30" width="8.26666666666667" style="137" customWidth="1"/>
    <col min="31" max="31" width="10" style="137" customWidth="1"/>
    <col min="32" max="32" width="7.45" style="137" customWidth="1"/>
    <col min="33" max="33" width="7.725" style="137" customWidth="1"/>
    <col min="34" max="34" width="10.2666666666667" style="137" customWidth="1"/>
    <col min="35" max="35" width="7.725" style="137" customWidth="1"/>
    <col min="36" max="36" width="10" style="137" customWidth="1"/>
    <col min="37" max="37" width="11.725" style="137" hidden="1" customWidth="1"/>
    <col min="38" max="38" width="7.725" style="137" hidden="1" customWidth="1"/>
    <col min="39" max="39" width="10.45" style="137" hidden="1" customWidth="1"/>
    <col min="40" max="41" width="7.725" style="137" hidden="1" customWidth="1"/>
    <col min="42" max="42" width="10.2666666666667" style="137" hidden="1" customWidth="1"/>
    <col min="43" max="43" width="9" style="137" hidden="1" customWidth="1"/>
    <col min="44" max="44" width="11" style="137" customWidth="1"/>
    <col min="45" max="45" width="10.2666666666667" style="137" customWidth="1"/>
    <col min="46" max="47" width="13.9083333333333" style="137" customWidth="1"/>
    <col min="48" max="48" width="12.2666666666667" style="137" customWidth="1"/>
    <col min="49" max="49" width="11.3666666666667" style="137" customWidth="1"/>
    <col min="50" max="50" width="12" style="137" customWidth="1"/>
    <col min="51" max="51" width="9.90833333333333" style="137" customWidth="1"/>
    <col min="52" max="52" width="12.3666666666667" style="137" customWidth="1"/>
    <col min="53" max="53" width="40.0916666666667" style="137" customWidth="1"/>
    <col min="54" max="56" width="10.2666666666667" style="137" customWidth="1"/>
    <col min="57" max="16384" width="9" style="137"/>
  </cols>
  <sheetData>
    <row r="1" ht="30" customHeight="1" spans="1:55">
      <c r="A1" s="138" t="s">
        <v>19</v>
      </c>
      <c r="B1" s="139" t="s">
        <v>38</v>
      </c>
      <c r="C1" s="139" t="s">
        <v>39</v>
      </c>
      <c r="D1" s="139" t="s">
        <v>40</v>
      </c>
      <c r="E1" s="140" t="s">
        <v>41</v>
      </c>
      <c r="F1" s="139" t="s">
        <v>42</v>
      </c>
      <c r="G1" s="139" t="s">
        <v>43</v>
      </c>
      <c r="H1" s="139" t="s">
        <v>44</v>
      </c>
      <c r="I1" s="139" t="s">
        <v>45</v>
      </c>
      <c r="J1" s="139" t="s">
        <v>46</v>
      </c>
      <c r="K1" s="139" t="s">
        <v>47</v>
      </c>
      <c r="L1" s="139"/>
      <c r="M1" s="139"/>
      <c r="N1" s="139"/>
      <c r="O1" s="139"/>
      <c r="P1" s="139" t="s">
        <v>48</v>
      </c>
      <c r="Q1" s="139"/>
      <c r="R1" s="139"/>
      <c r="S1" s="139"/>
      <c r="T1" s="139"/>
      <c r="U1" s="139" t="s">
        <v>49</v>
      </c>
      <c r="V1" s="139"/>
      <c r="W1" s="139"/>
      <c r="X1" s="139"/>
      <c r="Y1" s="139"/>
      <c r="Z1" s="139" t="s">
        <v>50</v>
      </c>
      <c r="AA1" s="139"/>
      <c r="AB1" s="139"/>
      <c r="AC1" s="139" t="s">
        <v>51</v>
      </c>
      <c r="AD1" s="139"/>
      <c r="AE1" s="139"/>
      <c r="AF1" s="139" t="s">
        <v>52</v>
      </c>
      <c r="AG1" s="139"/>
      <c r="AH1" s="139"/>
      <c r="AI1" s="139"/>
      <c r="AJ1" s="139"/>
      <c r="AK1" s="139" t="s">
        <v>53</v>
      </c>
      <c r="AL1" s="139"/>
      <c r="AM1" s="139"/>
      <c r="AN1" s="139"/>
      <c r="AO1" s="139"/>
      <c r="AP1" s="139" t="s">
        <v>54</v>
      </c>
      <c r="AQ1" s="139"/>
      <c r="AR1" s="139" t="s">
        <v>55</v>
      </c>
      <c r="AS1" s="139"/>
      <c r="AT1" s="139"/>
      <c r="AU1" s="139"/>
      <c r="AV1" s="139"/>
      <c r="AW1" s="139" t="s">
        <v>56</v>
      </c>
      <c r="AX1" s="139" t="s">
        <v>57</v>
      </c>
      <c r="AY1" s="139" t="s">
        <v>58</v>
      </c>
      <c r="AZ1" s="139" t="s">
        <v>59</v>
      </c>
      <c r="BA1" s="184" t="s">
        <v>24</v>
      </c>
      <c r="BC1" s="185"/>
    </row>
    <row r="2" ht="30" customHeight="1" spans="1:53">
      <c r="A2" s="141"/>
      <c r="B2" s="142"/>
      <c r="C2" s="143"/>
      <c r="D2" s="143"/>
      <c r="E2" s="144"/>
      <c r="F2" s="143"/>
      <c r="G2" s="143"/>
      <c r="H2" s="143"/>
      <c r="I2" s="143"/>
      <c r="J2" s="143"/>
      <c r="K2" s="143" t="s">
        <v>60</v>
      </c>
      <c r="L2" s="157" t="s">
        <v>61</v>
      </c>
      <c r="M2" s="143" t="s">
        <v>62</v>
      </c>
      <c r="N2" s="157" t="s">
        <v>63</v>
      </c>
      <c r="O2" s="143" t="s">
        <v>64</v>
      </c>
      <c r="P2" s="143" t="s">
        <v>60</v>
      </c>
      <c r="Q2" s="143" t="s">
        <v>61</v>
      </c>
      <c r="R2" s="143" t="s">
        <v>62</v>
      </c>
      <c r="S2" s="143" t="s">
        <v>63</v>
      </c>
      <c r="T2" s="143" t="s">
        <v>64</v>
      </c>
      <c r="U2" s="143" t="s">
        <v>60</v>
      </c>
      <c r="V2" s="143" t="s">
        <v>61</v>
      </c>
      <c r="W2" s="143" t="s">
        <v>62</v>
      </c>
      <c r="X2" s="143" t="s">
        <v>63</v>
      </c>
      <c r="Y2" s="143" t="s">
        <v>64</v>
      </c>
      <c r="Z2" s="143" t="s">
        <v>60</v>
      </c>
      <c r="AA2" s="143" t="s">
        <v>65</v>
      </c>
      <c r="AB2" s="143" t="s">
        <v>23</v>
      </c>
      <c r="AC2" s="143" t="s">
        <v>60</v>
      </c>
      <c r="AD2" s="143" t="s">
        <v>65</v>
      </c>
      <c r="AE2" s="143" t="s">
        <v>23</v>
      </c>
      <c r="AF2" s="143" t="s">
        <v>60</v>
      </c>
      <c r="AG2" s="143" t="s">
        <v>61</v>
      </c>
      <c r="AH2" s="143" t="s">
        <v>62</v>
      </c>
      <c r="AI2" s="143" t="s">
        <v>63</v>
      </c>
      <c r="AJ2" s="143" t="s">
        <v>64</v>
      </c>
      <c r="AK2" s="143" t="s">
        <v>60</v>
      </c>
      <c r="AL2" s="143" t="s">
        <v>61</v>
      </c>
      <c r="AM2" s="143" t="s">
        <v>62</v>
      </c>
      <c r="AN2" s="143" t="s">
        <v>63</v>
      </c>
      <c r="AO2" s="143" t="s">
        <v>64</v>
      </c>
      <c r="AP2" s="181" t="s">
        <v>66</v>
      </c>
      <c r="AQ2" s="181" t="s">
        <v>67</v>
      </c>
      <c r="AR2" s="143" t="s">
        <v>68</v>
      </c>
      <c r="AS2" s="143" t="s">
        <v>69</v>
      </c>
      <c r="AT2" s="143" t="s">
        <v>70</v>
      </c>
      <c r="AU2" s="143" t="s">
        <v>71</v>
      </c>
      <c r="AV2" s="143" t="s">
        <v>31</v>
      </c>
      <c r="AW2" s="143"/>
      <c r="AX2" s="143"/>
      <c r="AY2" s="143"/>
      <c r="AZ2" s="143"/>
      <c r="BA2" s="186"/>
    </row>
    <row r="3" ht="21" customHeight="1" spans="1:55">
      <c r="A3" s="145" t="s">
        <v>72</v>
      </c>
      <c r="B3" s="146" t="s">
        <v>73</v>
      </c>
      <c r="C3" s="146" t="s">
        <v>74</v>
      </c>
      <c r="D3" s="147" t="s">
        <v>75</v>
      </c>
      <c r="E3" s="127" t="s">
        <v>76</v>
      </c>
      <c r="F3" s="148" t="s">
        <v>77</v>
      </c>
      <c r="G3" s="146" t="s">
        <v>78</v>
      </c>
      <c r="H3" s="146" t="s">
        <v>78</v>
      </c>
      <c r="I3" s="146" t="s">
        <v>79</v>
      </c>
      <c r="J3" s="146" t="s">
        <v>79</v>
      </c>
      <c r="K3" s="158">
        <v>6000</v>
      </c>
      <c r="L3" s="159">
        <v>0.16</v>
      </c>
      <c r="M3" s="158">
        <f>ROUNDUP(K3*L3,2)</f>
        <v>960</v>
      </c>
      <c r="N3" s="160">
        <v>0.08</v>
      </c>
      <c r="O3" s="158">
        <f>ROUNDUP(K3*N3,2)</f>
        <v>480</v>
      </c>
      <c r="P3" s="158">
        <v>6000</v>
      </c>
      <c r="Q3" s="165">
        <v>0.098</v>
      </c>
      <c r="R3" s="158">
        <f>ROUNDUP(P3*Q3,2)</f>
        <v>588</v>
      </c>
      <c r="S3" s="166">
        <v>0.02</v>
      </c>
      <c r="T3" s="167">
        <f>ROUNDUP(P3*S3,1)+3</f>
        <v>123</v>
      </c>
      <c r="U3" s="158">
        <v>6000</v>
      </c>
      <c r="V3" s="168">
        <v>0.005</v>
      </c>
      <c r="W3" s="167">
        <f>ROUNDUP(U3*V3,1)</f>
        <v>30</v>
      </c>
      <c r="X3" s="168">
        <v>0.005</v>
      </c>
      <c r="Y3" s="167">
        <f>ROUNDUP(U3*X3,1)</f>
        <v>30</v>
      </c>
      <c r="Z3" s="158"/>
      <c r="AA3" s="173"/>
      <c r="AB3" s="158"/>
      <c r="AC3" s="158">
        <v>6000</v>
      </c>
      <c r="AD3" s="174">
        <v>0.0024</v>
      </c>
      <c r="AE3" s="167">
        <f>ROUNDUP(AC3*AD3,25)</f>
        <v>14.4</v>
      </c>
      <c r="AF3" s="158">
        <v>6000</v>
      </c>
      <c r="AG3" s="177">
        <v>0.12</v>
      </c>
      <c r="AH3" s="167">
        <f>ROUND(AF3*AG3,0)</f>
        <v>720</v>
      </c>
      <c r="AI3" s="177">
        <v>0.12</v>
      </c>
      <c r="AJ3" s="167">
        <f>ROUND(AF3*AI3,0)</f>
        <v>720</v>
      </c>
      <c r="AK3" s="178"/>
      <c r="AL3" s="167"/>
      <c r="AM3" s="167"/>
      <c r="AN3" s="167"/>
      <c r="AO3" s="167"/>
      <c r="AP3" s="182"/>
      <c r="AQ3" s="182"/>
      <c r="AR3" s="167">
        <f>ROUND(SUM(M3,R3,W3,AB3,AE3,AM3,AP3),2)</f>
        <v>1592.4</v>
      </c>
      <c r="AS3" s="167">
        <f>ROUND(SUM(O3,T3,Y3,AO3,AQ3),2)</f>
        <v>633</v>
      </c>
      <c r="AT3" s="167">
        <f>AH3</f>
        <v>720</v>
      </c>
      <c r="AU3" s="167">
        <f>AJ3</f>
        <v>720</v>
      </c>
      <c r="AV3" s="167">
        <f>AR3+AS3+AT3+AU3</f>
        <v>3665.4</v>
      </c>
      <c r="AW3" s="167">
        <f>ROUND(AR3+AS3,2)</f>
        <v>2225.4</v>
      </c>
      <c r="AX3" s="167">
        <f>ROUND(AU3+AT3,2)</f>
        <v>1440</v>
      </c>
      <c r="AY3" s="167">
        <v>120</v>
      </c>
      <c r="AZ3" s="167">
        <f>ROUND(SUM(AW3:AY3),2)</f>
        <v>3785.4</v>
      </c>
      <c r="BA3" s="187"/>
      <c r="BB3" s="188"/>
      <c r="BC3" s="189"/>
    </row>
    <row r="4" ht="20" customHeight="1" spans="1:55">
      <c r="A4" s="149"/>
      <c r="B4" s="150"/>
      <c r="C4" s="150"/>
      <c r="D4" s="151"/>
      <c r="E4" s="152"/>
      <c r="F4" s="153"/>
      <c r="G4" s="150"/>
      <c r="H4" s="150"/>
      <c r="I4" s="150"/>
      <c r="J4" s="150"/>
      <c r="K4" s="161"/>
      <c r="L4" s="162"/>
      <c r="M4" s="161"/>
      <c r="N4" s="163"/>
      <c r="O4" s="161"/>
      <c r="P4" s="161"/>
      <c r="Q4" s="169"/>
      <c r="R4" s="161"/>
      <c r="S4" s="170"/>
      <c r="T4" s="171"/>
      <c r="U4" s="161"/>
      <c r="V4" s="172"/>
      <c r="W4" s="171"/>
      <c r="X4" s="172"/>
      <c r="Y4" s="171"/>
      <c r="Z4" s="161"/>
      <c r="AA4" s="175"/>
      <c r="AB4" s="161"/>
      <c r="AC4" s="161"/>
      <c r="AD4" s="176"/>
      <c r="AE4" s="171"/>
      <c r="AF4" s="161"/>
      <c r="AG4" s="179"/>
      <c r="AH4" s="171"/>
      <c r="AI4" s="179"/>
      <c r="AJ4" s="171"/>
      <c r="AK4" s="180"/>
      <c r="AL4" s="171"/>
      <c r="AM4" s="171"/>
      <c r="AN4" s="171"/>
      <c r="AO4" s="171"/>
      <c r="AP4" s="183"/>
      <c r="AQ4" s="183"/>
      <c r="AR4" s="171"/>
      <c r="AS4" s="171"/>
      <c r="AT4" s="171"/>
      <c r="AU4" s="171"/>
      <c r="AV4" s="171"/>
      <c r="AW4" s="171"/>
      <c r="AX4" s="171"/>
      <c r="AY4" s="171"/>
      <c r="AZ4" s="171"/>
      <c r="BA4" s="190"/>
      <c r="BB4" s="188"/>
      <c r="BC4" s="189"/>
    </row>
    <row r="5" ht="20.15" customHeight="1" spans="1:53">
      <c r="A5" s="154" t="s">
        <v>59</v>
      </c>
      <c r="B5" s="155"/>
      <c r="C5" s="155"/>
      <c r="D5" s="155"/>
      <c r="E5" s="155"/>
      <c r="F5" s="155"/>
      <c r="G5" s="155"/>
      <c r="H5" s="155"/>
      <c r="I5" s="155"/>
      <c r="J5" s="155"/>
      <c r="K5" s="155">
        <f t="shared" ref="K5:AZ5" si="0">ROUND(SUM(K3:K4),2)</f>
        <v>6000</v>
      </c>
      <c r="L5" s="155">
        <f t="shared" si="0"/>
        <v>0.16</v>
      </c>
      <c r="M5" s="155">
        <f t="shared" si="0"/>
        <v>960</v>
      </c>
      <c r="N5" s="155">
        <f t="shared" si="0"/>
        <v>0.08</v>
      </c>
      <c r="O5" s="155">
        <f t="shared" si="0"/>
        <v>480</v>
      </c>
      <c r="P5" s="155">
        <f t="shared" si="0"/>
        <v>6000</v>
      </c>
      <c r="Q5" s="155">
        <f t="shared" si="0"/>
        <v>0.1</v>
      </c>
      <c r="R5" s="155">
        <f t="shared" si="0"/>
        <v>588</v>
      </c>
      <c r="S5" s="155">
        <f t="shared" si="0"/>
        <v>0.02</v>
      </c>
      <c r="T5" s="155">
        <f t="shared" si="0"/>
        <v>123</v>
      </c>
      <c r="U5" s="155">
        <f t="shared" si="0"/>
        <v>6000</v>
      </c>
      <c r="V5" s="155">
        <f t="shared" si="0"/>
        <v>0.01</v>
      </c>
      <c r="W5" s="155">
        <f t="shared" si="0"/>
        <v>30</v>
      </c>
      <c r="X5" s="155">
        <f t="shared" si="0"/>
        <v>0.01</v>
      </c>
      <c r="Y5" s="155">
        <f t="shared" si="0"/>
        <v>30</v>
      </c>
      <c r="Z5" s="155">
        <f t="shared" si="0"/>
        <v>0</v>
      </c>
      <c r="AA5" s="155">
        <f t="shared" si="0"/>
        <v>0</v>
      </c>
      <c r="AB5" s="155">
        <f t="shared" si="0"/>
        <v>0</v>
      </c>
      <c r="AC5" s="155">
        <f t="shared" si="0"/>
        <v>6000</v>
      </c>
      <c r="AD5" s="155">
        <f t="shared" si="0"/>
        <v>0</v>
      </c>
      <c r="AE5" s="155">
        <f t="shared" si="0"/>
        <v>14.4</v>
      </c>
      <c r="AF5" s="155">
        <f t="shared" si="0"/>
        <v>6000</v>
      </c>
      <c r="AG5" s="155">
        <f t="shared" si="0"/>
        <v>0.12</v>
      </c>
      <c r="AH5" s="155">
        <f t="shared" si="0"/>
        <v>720</v>
      </c>
      <c r="AI5" s="155">
        <f t="shared" si="0"/>
        <v>0.12</v>
      </c>
      <c r="AJ5" s="155">
        <f t="shared" si="0"/>
        <v>720</v>
      </c>
      <c r="AK5" s="155">
        <f t="shared" si="0"/>
        <v>0</v>
      </c>
      <c r="AL5" s="155">
        <f t="shared" si="0"/>
        <v>0</v>
      </c>
      <c r="AM5" s="155">
        <f t="shared" si="0"/>
        <v>0</v>
      </c>
      <c r="AN5" s="155">
        <f t="shared" si="0"/>
        <v>0</v>
      </c>
      <c r="AO5" s="155">
        <f t="shared" si="0"/>
        <v>0</v>
      </c>
      <c r="AP5" s="155">
        <f t="shared" si="0"/>
        <v>0</v>
      </c>
      <c r="AQ5" s="155">
        <f t="shared" si="0"/>
        <v>0</v>
      </c>
      <c r="AR5" s="155">
        <f t="shared" si="0"/>
        <v>1592.4</v>
      </c>
      <c r="AS5" s="155">
        <f t="shared" si="0"/>
        <v>633</v>
      </c>
      <c r="AT5" s="155">
        <f t="shared" si="0"/>
        <v>720</v>
      </c>
      <c r="AU5" s="155">
        <f t="shared" si="0"/>
        <v>720</v>
      </c>
      <c r="AV5" s="155">
        <f t="shared" si="0"/>
        <v>3665.4</v>
      </c>
      <c r="AW5" s="155">
        <f t="shared" si="0"/>
        <v>2225.4</v>
      </c>
      <c r="AX5" s="155">
        <f t="shared" si="0"/>
        <v>1440</v>
      </c>
      <c r="AY5" s="155">
        <f t="shared" si="0"/>
        <v>120</v>
      </c>
      <c r="AZ5" s="155">
        <f t="shared" si="0"/>
        <v>3785.4</v>
      </c>
      <c r="BA5" s="191"/>
    </row>
    <row r="6" ht="16.5" spans="9:52">
      <c r="I6" s="164"/>
      <c r="L6" s="156"/>
      <c r="N6" s="156"/>
      <c r="AY6" s="192"/>
      <c r="AZ6" s="136"/>
    </row>
    <row r="7" ht="16.5" spans="3:52">
      <c r="C7" s="156"/>
      <c r="I7" s="164"/>
      <c r="L7" s="156"/>
      <c r="N7" s="156"/>
      <c r="AZ7" s="136"/>
    </row>
    <row r="8" ht="16.5" spans="10:52">
      <c r="J8" s="164"/>
      <c r="N8" s="156"/>
      <c r="AZ8" s="136"/>
    </row>
    <row r="9" ht="16.5" spans="3:14">
      <c r="C9" s="156"/>
      <c r="J9" s="164"/>
      <c r="N9" s="156"/>
    </row>
    <row r="10" ht="16.5" spans="10:14">
      <c r="J10" s="164"/>
      <c r="N10" s="156"/>
    </row>
    <row r="11" ht="16.5" spans="10:14">
      <c r="J11" s="164"/>
      <c r="N11" s="156"/>
    </row>
    <row r="12" ht="16.5" spans="10:14">
      <c r="J12" s="164"/>
      <c r="N12" s="156"/>
    </row>
    <row r="13" ht="16.5" spans="10:14">
      <c r="J13" s="164"/>
      <c r="N13" s="156"/>
    </row>
    <row r="14" ht="16.5" spans="10:14">
      <c r="J14" s="164"/>
      <c r="N14" s="156"/>
    </row>
    <row r="15" ht="16.5" spans="10:14">
      <c r="J15" s="164"/>
      <c r="N15" s="156"/>
    </row>
    <row r="16" ht="16.5" spans="10:14">
      <c r="J16" s="164"/>
      <c r="N16" s="156"/>
    </row>
    <row r="17" ht="16.5" spans="10:14">
      <c r="J17" s="164"/>
      <c r="N17" s="156"/>
    </row>
    <row r="18" ht="16.5" spans="10:10">
      <c r="J18" s="164"/>
    </row>
    <row r="19" ht="16.5" spans="10:10">
      <c r="J19" s="164"/>
    </row>
    <row r="20" ht="16.5" spans="10:10">
      <c r="J20" s="164"/>
    </row>
    <row r="21" ht="16.5" spans="10:10">
      <c r="J21" s="164"/>
    </row>
    <row r="22" ht="16.5" spans="10:10">
      <c r="J22" s="164"/>
    </row>
    <row r="290" ht="16.5" spans="6:6">
      <c r="F290" s="156">
        <v>-2470</v>
      </c>
    </row>
  </sheetData>
  <mergeCells count="24">
    <mergeCell ref="K1:O1"/>
    <mergeCell ref="P1:T1"/>
    <mergeCell ref="U1:Y1"/>
    <mergeCell ref="Z1:AB1"/>
    <mergeCell ref="AC1:AE1"/>
    <mergeCell ref="AF1:AJ1"/>
    <mergeCell ref="AK1:AO1"/>
    <mergeCell ref="AP1:AQ1"/>
    <mergeCell ref="AR1:AV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AW1:AW2"/>
    <mergeCell ref="AX1:AX2"/>
    <mergeCell ref="AY1:AY2"/>
    <mergeCell ref="AZ1:AZ2"/>
    <mergeCell ref="BA1:BA2"/>
  </mergeCells>
  <dataValidations count="1">
    <dataValidation type="list" allowBlank="1" showInputMessage="1" showErrorMessage="1" sqref="F3 F4">
      <formula1>"本地城镇,本地农村,外地城镇,外地农村"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3"/>
  <sheetViews>
    <sheetView zoomScale="90" zoomScaleNormal="90" workbookViewId="0">
      <pane xSplit="6" ySplit="3" topLeftCell="G4" activePane="bottomRight" state="frozen"/>
      <selection/>
      <selection pane="topRight"/>
      <selection pane="bottomLeft"/>
      <selection pane="bottomRight" activeCell="A4" sqref="A4:R16"/>
    </sheetView>
  </sheetViews>
  <sheetFormatPr defaultColWidth="9" defaultRowHeight="13.5"/>
  <cols>
    <col min="1" max="1" width="4.45" style="15" customWidth="1"/>
    <col min="2" max="2" width="14" style="15" customWidth="1"/>
    <col min="3" max="3" width="10.45" style="15" customWidth="1"/>
    <col min="4" max="4" width="8.725" style="15" customWidth="1"/>
    <col min="5" max="5" width="19.45" style="16" customWidth="1"/>
    <col min="6" max="6" width="9.54166666666667" style="15" customWidth="1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22.2666666666667" style="15" customWidth="1"/>
    <col min="42" max="42" width="28.541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80</v>
      </c>
      <c r="B1" s="21"/>
      <c r="C1" s="22"/>
      <c r="D1" s="23"/>
      <c r="E1" s="24"/>
      <c r="F1" s="24"/>
      <c r="G1" s="25"/>
      <c r="J1" s="62"/>
      <c r="L1" s="63"/>
      <c r="M1" s="64" t="s">
        <v>81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82</v>
      </c>
      <c r="C2" s="28" t="s">
        <v>83</v>
      </c>
      <c r="D2" s="28" t="s">
        <v>84</v>
      </c>
      <c r="E2" s="29" t="s">
        <v>85</v>
      </c>
      <c r="F2" s="30" t="s">
        <v>86</v>
      </c>
      <c r="G2" s="29" t="s">
        <v>87</v>
      </c>
      <c r="H2" s="29" t="s">
        <v>88</v>
      </c>
      <c r="I2" s="29" t="s">
        <v>89</v>
      </c>
      <c r="J2" s="65" t="s">
        <v>90</v>
      </c>
      <c r="K2" s="29" t="s">
        <v>91</v>
      </c>
      <c r="L2" s="29" t="s">
        <v>92</v>
      </c>
      <c r="M2" s="66" t="s">
        <v>93</v>
      </c>
      <c r="N2" s="67"/>
      <c r="O2" s="67"/>
      <c r="P2" s="68"/>
      <c r="Q2" s="30" t="s">
        <v>94</v>
      </c>
      <c r="R2" s="29" t="s">
        <v>95</v>
      </c>
      <c r="S2" s="30" t="s">
        <v>96</v>
      </c>
      <c r="T2" s="86" t="s">
        <v>97</v>
      </c>
      <c r="U2" s="30" t="s">
        <v>98</v>
      </c>
      <c r="V2" s="87" t="s">
        <v>99</v>
      </c>
      <c r="W2" s="88"/>
      <c r="X2" s="88"/>
      <c r="Y2" s="88"/>
      <c r="Z2" s="88"/>
      <c r="AA2" s="94"/>
      <c r="AB2" s="30" t="s">
        <v>100</v>
      </c>
      <c r="AC2" s="30" t="s">
        <v>101</v>
      </c>
      <c r="AD2" s="86" t="s">
        <v>102</v>
      </c>
      <c r="AE2" s="86" t="s">
        <v>103</v>
      </c>
      <c r="AF2" s="86" t="s">
        <v>104</v>
      </c>
      <c r="AG2" s="86" t="s">
        <v>105</v>
      </c>
      <c r="AH2" s="100" t="s">
        <v>106</v>
      </c>
      <c r="AI2" s="101" t="s">
        <v>107</v>
      </c>
      <c r="AJ2" s="100" t="s">
        <v>108</v>
      </c>
      <c r="AK2" s="28" t="s">
        <v>58</v>
      </c>
      <c r="AL2" s="100" t="s">
        <v>109</v>
      </c>
      <c r="AM2" s="29" t="s">
        <v>110</v>
      </c>
      <c r="AN2" s="29" t="s">
        <v>111</v>
      </c>
      <c r="AO2" s="111" t="s">
        <v>112</v>
      </c>
      <c r="AP2" s="29" t="s">
        <v>113</v>
      </c>
      <c r="AQ2" s="29" t="s">
        <v>114</v>
      </c>
      <c r="AR2" s="30" t="s">
        <v>115</v>
      </c>
      <c r="AS2" s="30" t="s">
        <v>116</v>
      </c>
      <c r="AT2" s="30" t="s">
        <v>117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118</v>
      </c>
      <c r="N3" s="70" t="s">
        <v>119</v>
      </c>
      <c r="O3" s="70" t="s">
        <v>120</v>
      </c>
      <c r="P3" s="70" t="s">
        <v>71</v>
      </c>
      <c r="Q3" s="35"/>
      <c r="R3" s="34"/>
      <c r="S3" s="35"/>
      <c r="T3" s="89"/>
      <c r="U3" s="35"/>
      <c r="V3" s="90" t="s">
        <v>121</v>
      </c>
      <c r="W3" s="90" t="s">
        <v>122</v>
      </c>
      <c r="X3" s="90" t="s">
        <v>123</v>
      </c>
      <c r="Y3" s="90" t="s">
        <v>124</v>
      </c>
      <c r="Z3" s="90" t="s">
        <v>125</v>
      </c>
      <c r="AA3" s="90" t="s">
        <v>126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127</v>
      </c>
      <c r="C4" s="37" t="s">
        <v>128</v>
      </c>
      <c r="D4" s="37" t="s">
        <v>129</v>
      </c>
      <c r="E4" s="37" t="s">
        <v>130</v>
      </c>
      <c r="F4" s="38" t="str">
        <f>IF(MOD(MID(E4,17,1),2)=1,"男","女")</f>
        <v>女</v>
      </c>
      <c r="G4" s="39">
        <v>19801207903</v>
      </c>
      <c r="H4" s="40"/>
      <c r="I4" s="40"/>
      <c r="J4" s="115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</f>
        <v>11000</v>
      </c>
      <c r="T4" s="93">
        <v>5000</v>
      </c>
      <c r="U4" s="93">
        <f>Q4</f>
        <v>1009.8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</f>
        <v>0</v>
      </c>
      <c r="AD4" s="95">
        <f>ROUND(S4-T4-U4-AB4-AC4,2)</f>
        <v>4990.2</v>
      </c>
      <c r="AE4" s="96">
        <f>ROUND(MAX((AD4)*{0.03;0.1;0.2;0.25;0.3;0.35;0.45}-{0;2520;16920;31920;52920;85920;181920},0),2)</f>
        <v>149.71</v>
      </c>
      <c r="AF4" s="97">
        <v>0</v>
      </c>
      <c r="AG4" s="97">
        <f>IF((AE4-AF4)&lt;0,0,AE4-AF4)</f>
        <v>149.71</v>
      </c>
      <c r="AH4" s="104">
        <f>ROUND(IF((L4-Q4-AG4)&lt;0,0,(L4-Q4-AG4)),2)</f>
        <v>9840.49</v>
      </c>
      <c r="AI4" s="105"/>
      <c r="AJ4" s="104">
        <f>AH4+AI4</f>
        <v>9840.49</v>
      </c>
      <c r="AK4" s="106"/>
      <c r="AL4" s="104">
        <f>AJ4+AG4+AK4</f>
        <v>9990.2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IF(SUMPRODUCT(N(E$1:E$16=E4))&gt;1,"重复","不")</f>
        <v>不</v>
      </c>
      <c r="AT4" s="113" t="str">
        <f>IF(SUMPRODUCT(N(AO$1:AO$16=AO4))&gt;1,"重复","不")</f>
        <v>重复</v>
      </c>
    </row>
    <row r="5" s="12" customFormat="1" ht="18" customHeight="1" spans="1:46">
      <c r="A5" s="36">
        <v>2</v>
      </c>
      <c r="B5" s="37" t="s">
        <v>127</v>
      </c>
      <c r="C5" s="37" t="s">
        <v>131</v>
      </c>
      <c r="D5" s="37" t="s">
        <v>129</v>
      </c>
      <c r="E5" s="37" t="s">
        <v>132</v>
      </c>
      <c r="F5" s="38" t="str">
        <f t="shared" ref="F5:F16" si="0">IF(MOD(MID(E5,17,1),2)=1,"男","女")</f>
        <v>男</v>
      </c>
      <c r="G5" s="39">
        <v>13288877699</v>
      </c>
      <c r="H5" s="40"/>
      <c r="I5" s="40"/>
      <c r="J5" s="115"/>
      <c r="K5" s="40"/>
      <c r="L5" s="72">
        <v>11000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16" si="1">ROUND(SUM(M5:P5),2)</f>
        <v>1009.8</v>
      </c>
      <c r="R5" s="72">
        <v>0</v>
      </c>
      <c r="S5" s="92">
        <f t="shared" ref="S5:S16" si="2">L5</f>
        <v>11000</v>
      </c>
      <c r="T5" s="93">
        <v>5000</v>
      </c>
      <c r="U5" s="93">
        <f t="shared" ref="U5:U16" si="3">Q5</f>
        <v>1009.8</v>
      </c>
      <c r="V5" s="72"/>
      <c r="W5" s="72"/>
      <c r="X5" s="72"/>
      <c r="Y5" s="72"/>
      <c r="Z5" s="72"/>
      <c r="AA5" s="72"/>
      <c r="AB5" s="92">
        <f t="shared" ref="AB5:AB16" si="4">ROUND(SUM(V5:AA5),2)</f>
        <v>0</v>
      </c>
      <c r="AC5" s="92">
        <f t="shared" ref="AC5:AC16" si="5">R5</f>
        <v>0</v>
      </c>
      <c r="AD5" s="95">
        <f t="shared" ref="AD5:AD16" si="6">ROUND(S5-T5-U5-AB5-AC5,2)</f>
        <v>4990.2</v>
      </c>
      <c r="AE5" s="96">
        <f>ROUND(MAX((AD5)*{0.03;0.1;0.2;0.25;0.3;0.35;0.45}-{0;2520;16920;31920;52920;85920;181920},0),2)</f>
        <v>149.71</v>
      </c>
      <c r="AF5" s="97">
        <v>0</v>
      </c>
      <c r="AG5" s="97">
        <f t="shared" ref="AG5:AG16" si="7">IF((AE5-AF5)&lt;0,0,AE5-AF5)</f>
        <v>149.71</v>
      </c>
      <c r="AH5" s="104">
        <f t="shared" ref="AH5:AH16" si="8">ROUND(IF((L5-Q5-AG5)&lt;0,0,(L5-Q5-AG5)),2)</f>
        <v>9840.49</v>
      </c>
      <c r="AI5" s="105"/>
      <c r="AJ5" s="104">
        <f t="shared" ref="AJ5:AJ16" si="9">AH5+AI5</f>
        <v>9840.49</v>
      </c>
      <c r="AK5" s="106"/>
      <c r="AL5" s="104">
        <f t="shared" ref="AL5:AL16" si="10">AJ5+AG5+AK5</f>
        <v>9990.2</v>
      </c>
      <c r="AM5" s="106"/>
      <c r="AN5" s="106"/>
      <c r="AO5" s="106"/>
      <c r="AP5" s="106"/>
      <c r="AQ5" s="106"/>
      <c r="AR5" s="113" t="str">
        <f t="shared" ref="AR5:AR16" si="11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3" t="str">
        <f t="shared" ref="AS5:AS16" si="12">IF(SUMPRODUCT(N(E$1:E$16=E5))&gt;1,"重复","不")</f>
        <v>不</v>
      </c>
      <c r="AT5" s="113" t="str">
        <f t="shared" ref="AT5:AT16" si="13">IF(SUMPRODUCT(N(AO$1:AO$16=AO5))&gt;1,"重复","不")</f>
        <v>重复</v>
      </c>
    </row>
    <row r="6" s="12" customFormat="1" ht="18" customHeight="1" spans="1:46">
      <c r="A6" s="36">
        <v>3</v>
      </c>
      <c r="B6" s="37" t="s">
        <v>127</v>
      </c>
      <c r="C6" s="37" t="s">
        <v>133</v>
      </c>
      <c r="D6" s="37" t="s">
        <v>129</v>
      </c>
      <c r="E6" s="37" t="s">
        <v>134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12000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 t="shared" si="2"/>
        <v>12000</v>
      </c>
      <c r="T6" s="93">
        <v>5000</v>
      </c>
      <c r="U6" s="93">
        <f t="shared" si="3"/>
        <v>1009.8</v>
      </c>
      <c r="V6" s="72"/>
      <c r="W6" s="72"/>
      <c r="X6" s="72"/>
      <c r="Y6" s="72"/>
      <c r="Z6" s="72"/>
      <c r="AA6" s="72"/>
      <c r="AB6" s="92">
        <f t="shared" si="4"/>
        <v>0</v>
      </c>
      <c r="AC6" s="92">
        <f t="shared" si="5"/>
        <v>0</v>
      </c>
      <c r="AD6" s="95">
        <f t="shared" si="6"/>
        <v>5990.2</v>
      </c>
      <c r="AE6" s="96">
        <f>ROUND(MAX((AD6)*{0.03;0.1;0.2;0.25;0.3;0.35;0.45}-{0;2520;16920;31920;52920;85920;181920},0),2)</f>
        <v>179.71</v>
      </c>
      <c r="AF6" s="97">
        <v>0</v>
      </c>
      <c r="AG6" s="97">
        <f t="shared" si="7"/>
        <v>179.71</v>
      </c>
      <c r="AH6" s="104">
        <f t="shared" si="8"/>
        <v>10810.49</v>
      </c>
      <c r="AI6" s="105"/>
      <c r="AJ6" s="104">
        <f t="shared" si="9"/>
        <v>10810.49</v>
      </c>
      <c r="AK6" s="106"/>
      <c r="AL6" s="104">
        <f t="shared" si="10"/>
        <v>10990.2</v>
      </c>
      <c r="AM6" s="106"/>
      <c r="AN6" s="106"/>
      <c r="AO6" s="106"/>
      <c r="AP6" s="106"/>
      <c r="AQ6" s="106"/>
      <c r="AR6" s="113" t="str">
        <f t="shared" si="11"/>
        <v>正确</v>
      </c>
      <c r="AS6" s="113" t="str">
        <f t="shared" si="12"/>
        <v>不</v>
      </c>
      <c r="AT6" s="113" t="str">
        <f t="shared" si="13"/>
        <v>重复</v>
      </c>
    </row>
    <row r="7" s="12" customFormat="1" ht="18" customHeight="1" spans="1:46">
      <c r="A7" s="36">
        <v>4</v>
      </c>
      <c r="B7" s="37" t="s">
        <v>127</v>
      </c>
      <c r="C7" s="37" t="s">
        <v>135</v>
      </c>
      <c r="D7" s="37" t="s">
        <v>129</v>
      </c>
      <c r="E7" s="37" t="s">
        <v>136</v>
      </c>
      <c r="F7" s="38" t="str">
        <f t="shared" si="0"/>
        <v>男</v>
      </c>
      <c r="G7" s="39">
        <v>13683242969</v>
      </c>
      <c r="H7" s="40"/>
      <c r="I7" s="40"/>
      <c r="J7" s="115"/>
      <c r="K7" s="40"/>
      <c r="L7" s="72">
        <v>12298.8505747126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 t="shared" si="2"/>
        <v>12298.8505747126</v>
      </c>
      <c r="T7" s="93">
        <v>5000</v>
      </c>
      <c r="U7" s="93">
        <f t="shared" si="3"/>
        <v>1009.8</v>
      </c>
      <c r="V7" s="72"/>
      <c r="W7" s="72"/>
      <c r="X7" s="72"/>
      <c r="Y7" s="72"/>
      <c r="Z7" s="72"/>
      <c r="AA7" s="72"/>
      <c r="AB7" s="92">
        <f t="shared" si="4"/>
        <v>0</v>
      </c>
      <c r="AC7" s="92">
        <f t="shared" si="5"/>
        <v>0</v>
      </c>
      <c r="AD7" s="95">
        <f t="shared" si="6"/>
        <v>6289.05</v>
      </c>
      <c r="AE7" s="96">
        <f>ROUND(MAX((AD7)*{0.03;0.1;0.2;0.25;0.3;0.35;0.45}-{0;2520;16920;31920;52920;85920;181920},0),2)</f>
        <v>188.67</v>
      </c>
      <c r="AF7" s="97">
        <v>0</v>
      </c>
      <c r="AG7" s="97">
        <f t="shared" si="7"/>
        <v>188.67</v>
      </c>
      <c r="AH7" s="104">
        <f t="shared" si="8"/>
        <v>11100.38</v>
      </c>
      <c r="AI7" s="105"/>
      <c r="AJ7" s="104">
        <f t="shared" si="9"/>
        <v>11100.38</v>
      </c>
      <c r="AK7" s="106"/>
      <c r="AL7" s="104">
        <f t="shared" si="10"/>
        <v>11289.05</v>
      </c>
      <c r="AM7" s="106"/>
      <c r="AN7" s="106"/>
      <c r="AO7" s="106"/>
      <c r="AP7" s="106"/>
      <c r="AQ7" s="106"/>
      <c r="AR7" s="113" t="str">
        <f t="shared" si="11"/>
        <v>正确</v>
      </c>
      <c r="AS7" s="113" t="str">
        <f t="shared" si="12"/>
        <v>不</v>
      </c>
      <c r="AT7" s="113" t="str">
        <f t="shared" si="13"/>
        <v>重复</v>
      </c>
    </row>
    <row r="8" s="12" customFormat="1" ht="18" customHeight="1" spans="1:46">
      <c r="A8" s="36">
        <v>5</v>
      </c>
      <c r="B8" s="37" t="s">
        <v>127</v>
      </c>
      <c r="C8" s="37" t="s">
        <v>137</v>
      </c>
      <c r="D8" s="37" t="s">
        <v>129</v>
      </c>
      <c r="E8" s="37" t="s">
        <v>138</v>
      </c>
      <c r="F8" s="38" t="str">
        <f t="shared" si="0"/>
        <v>男</v>
      </c>
      <c r="G8" s="39">
        <v>13163127617</v>
      </c>
      <c r="H8" s="40"/>
      <c r="I8" s="40"/>
      <c r="J8" s="115"/>
      <c r="K8" s="40"/>
      <c r="L8" s="72">
        <v>10574.71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1"/>
        <v>1009.8</v>
      </c>
      <c r="R8" s="72">
        <v>0</v>
      </c>
      <c r="S8" s="92">
        <f t="shared" si="2"/>
        <v>10574.71</v>
      </c>
      <c r="T8" s="93">
        <v>5000</v>
      </c>
      <c r="U8" s="93">
        <f t="shared" si="3"/>
        <v>1009.8</v>
      </c>
      <c r="V8" s="72"/>
      <c r="W8" s="72"/>
      <c r="X8" s="72"/>
      <c r="Y8" s="72"/>
      <c r="Z8" s="72"/>
      <c r="AA8" s="72"/>
      <c r="AB8" s="92">
        <f t="shared" si="4"/>
        <v>0</v>
      </c>
      <c r="AC8" s="92">
        <f t="shared" si="5"/>
        <v>0</v>
      </c>
      <c r="AD8" s="95">
        <f t="shared" si="6"/>
        <v>4564.91</v>
      </c>
      <c r="AE8" s="96">
        <f>ROUND(MAX((AD8)*{0.03;0.1;0.2;0.25;0.3;0.35;0.45}-{0;2520;16920;31920;52920;85920;181920},0),2)</f>
        <v>136.95</v>
      </c>
      <c r="AF8" s="97">
        <v>0</v>
      </c>
      <c r="AG8" s="97">
        <f t="shared" si="7"/>
        <v>136.95</v>
      </c>
      <c r="AH8" s="104">
        <f t="shared" si="8"/>
        <v>9427.96</v>
      </c>
      <c r="AI8" s="105"/>
      <c r="AJ8" s="104">
        <f t="shared" si="9"/>
        <v>9427.96</v>
      </c>
      <c r="AK8" s="106"/>
      <c r="AL8" s="104">
        <f t="shared" si="10"/>
        <v>9564.91</v>
      </c>
      <c r="AM8" s="106"/>
      <c r="AN8" s="106"/>
      <c r="AO8" s="106"/>
      <c r="AP8" s="106"/>
      <c r="AQ8" s="106"/>
      <c r="AR8" s="113" t="str">
        <f t="shared" si="11"/>
        <v>正确</v>
      </c>
      <c r="AS8" s="113" t="str">
        <f t="shared" si="12"/>
        <v>不</v>
      </c>
      <c r="AT8" s="113" t="str">
        <f t="shared" si="13"/>
        <v>重复</v>
      </c>
    </row>
    <row r="9" s="12" customFormat="1" ht="18" customHeight="1" spans="1:46">
      <c r="A9" s="36">
        <v>6</v>
      </c>
      <c r="B9" s="37" t="s">
        <v>127</v>
      </c>
      <c r="C9" s="37" t="s">
        <v>139</v>
      </c>
      <c r="D9" s="37" t="s">
        <v>129</v>
      </c>
      <c r="E9" s="37" t="s">
        <v>140</v>
      </c>
      <c r="F9" s="38" t="str">
        <f t="shared" si="0"/>
        <v>男</v>
      </c>
      <c r="G9" s="39">
        <v>15652649555</v>
      </c>
      <c r="H9" s="40"/>
      <c r="I9" s="40"/>
      <c r="J9" s="115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 t="shared" si="2"/>
        <v>10000</v>
      </c>
      <c r="T9" s="93">
        <v>5000</v>
      </c>
      <c r="U9" s="93">
        <f t="shared" si="3"/>
        <v>1009.8</v>
      </c>
      <c r="V9" s="72"/>
      <c r="W9" s="72"/>
      <c r="X9" s="72"/>
      <c r="Y9" s="72"/>
      <c r="Z9" s="72"/>
      <c r="AA9" s="72"/>
      <c r="AB9" s="92">
        <f t="shared" si="4"/>
        <v>0</v>
      </c>
      <c r="AC9" s="92">
        <f t="shared" si="5"/>
        <v>0</v>
      </c>
      <c r="AD9" s="95">
        <f t="shared" si="6"/>
        <v>3990.2</v>
      </c>
      <c r="AE9" s="96">
        <f>ROUND(MAX((AD9)*{0.03;0.1;0.2;0.25;0.3;0.35;0.45}-{0;2520;16920;31920;52920;85920;181920},0),2)</f>
        <v>119.71</v>
      </c>
      <c r="AF9" s="97">
        <v>0</v>
      </c>
      <c r="AG9" s="97">
        <f t="shared" si="7"/>
        <v>119.71</v>
      </c>
      <c r="AH9" s="104">
        <f t="shared" si="8"/>
        <v>8870.49</v>
      </c>
      <c r="AI9" s="105"/>
      <c r="AJ9" s="104">
        <f t="shared" si="9"/>
        <v>8870.49</v>
      </c>
      <c r="AK9" s="106"/>
      <c r="AL9" s="104">
        <f t="shared" si="10"/>
        <v>8990.2</v>
      </c>
      <c r="AM9" s="106"/>
      <c r="AN9" s="106"/>
      <c r="AO9" s="106"/>
      <c r="AP9" s="106"/>
      <c r="AQ9" s="106"/>
      <c r="AR9" s="113" t="str">
        <f t="shared" si="11"/>
        <v>正确</v>
      </c>
      <c r="AS9" s="113" t="str">
        <f t="shared" si="12"/>
        <v>不</v>
      </c>
      <c r="AT9" s="113" t="str">
        <f t="shared" si="13"/>
        <v>重复</v>
      </c>
    </row>
    <row r="10" s="12" customFormat="1" ht="18" customHeight="1" spans="1:46">
      <c r="A10" s="36">
        <v>7</v>
      </c>
      <c r="B10" s="37" t="s">
        <v>127</v>
      </c>
      <c r="C10" s="37" t="s">
        <v>141</v>
      </c>
      <c r="D10" s="37" t="s">
        <v>129</v>
      </c>
      <c r="E10" s="313" t="s">
        <v>142</v>
      </c>
      <c r="F10" s="38" t="str">
        <f t="shared" si="0"/>
        <v>男</v>
      </c>
      <c r="G10" s="39">
        <v>17611149839</v>
      </c>
      <c r="H10" s="40"/>
      <c r="I10" s="40"/>
      <c r="J10" s="115"/>
      <c r="K10" s="40"/>
      <c r="L10" s="72">
        <v>8000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 t="shared" si="2"/>
        <v>8000</v>
      </c>
      <c r="T10" s="93">
        <v>5000</v>
      </c>
      <c r="U10" s="93">
        <f t="shared" si="3"/>
        <v>1009.8</v>
      </c>
      <c r="V10" s="72"/>
      <c r="W10" s="72"/>
      <c r="X10" s="72"/>
      <c r="Y10" s="72"/>
      <c r="Z10" s="72"/>
      <c r="AA10" s="72"/>
      <c r="AB10" s="92">
        <f t="shared" si="4"/>
        <v>0</v>
      </c>
      <c r="AC10" s="92">
        <f t="shared" si="5"/>
        <v>0</v>
      </c>
      <c r="AD10" s="95">
        <f t="shared" si="6"/>
        <v>1990.2</v>
      </c>
      <c r="AE10" s="96">
        <f>ROUND(MAX((AD10)*{0.03;0.1;0.2;0.25;0.3;0.35;0.45}-{0;2520;16920;31920;52920;85920;181920},0),2)</f>
        <v>59.71</v>
      </c>
      <c r="AF10" s="97">
        <v>0</v>
      </c>
      <c r="AG10" s="97">
        <f t="shared" si="7"/>
        <v>59.71</v>
      </c>
      <c r="AH10" s="104">
        <f t="shared" si="8"/>
        <v>6930.49</v>
      </c>
      <c r="AI10" s="105"/>
      <c r="AJ10" s="104">
        <f t="shared" si="9"/>
        <v>6930.49</v>
      </c>
      <c r="AK10" s="106"/>
      <c r="AL10" s="104">
        <f t="shared" si="10"/>
        <v>6990.2</v>
      </c>
      <c r="AM10" s="106"/>
      <c r="AN10" s="106"/>
      <c r="AO10" s="106"/>
      <c r="AP10" s="106"/>
      <c r="AQ10" s="106"/>
      <c r="AR10" s="113" t="str">
        <f t="shared" si="11"/>
        <v>正确</v>
      </c>
      <c r="AS10" s="113" t="str">
        <f t="shared" si="12"/>
        <v>不</v>
      </c>
      <c r="AT10" s="113" t="str">
        <f t="shared" si="13"/>
        <v>重复</v>
      </c>
    </row>
    <row r="11" s="12" customFormat="1" ht="18" customHeight="1" spans="1:46">
      <c r="A11" s="36">
        <v>8</v>
      </c>
      <c r="B11" s="37" t="s">
        <v>127</v>
      </c>
      <c r="C11" s="37" t="s">
        <v>143</v>
      </c>
      <c r="D11" s="37" t="s">
        <v>129</v>
      </c>
      <c r="E11" s="313" t="s">
        <v>144</v>
      </c>
      <c r="F11" s="38" t="str">
        <f t="shared" si="0"/>
        <v>男</v>
      </c>
      <c r="G11" s="39">
        <v>13596154643</v>
      </c>
      <c r="H11" s="40"/>
      <c r="I11" s="40"/>
      <c r="J11" s="115"/>
      <c r="K11" s="40"/>
      <c r="L11" s="72">
        <v>10000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1"/>
        <v>1009.8</v>
      </c>
      <c r="R11" s="72">
        <v>0</v>
      </c>
      <c r="S11" s="92">
        <f t="shared" si="2"/>
        <v>10000</v>
      </c>
      <c r="T11" s="93">
        <v>5000</v>
      </c>
      <c r="U11" s="93">
        <f t="shared" si="3"/>
        <v>1009.8</v>
      </c>
      <c r="V11" s="72"/>
      <c r="W11" s="72"/>
      <c r="X11" s="72"/>
      <c r="Y11" s="72"/>
      <c r="Z11" s="72"/>
      <c r="AA11" s="72"/>
      <c r="AB11" s="92">
        <f t="shared" si="4"/>
        <v>0</v>
      </c>
      <c r="AC11" s="92">
        <f t="shared" si="5"/>
        <v>0</v>
      </c>
      <c r="AD11" s="95">
        <f t="shared" si="6"/>
        <v>3990.2</v>
      </c>
      <c r="AE11" s="96">
        <f>ROUND(MAX((AD11)*{0.03;0.1;0.2;0.25;0.3;0.35;0.45}-{0;2520;16920;31920;52920;85920;181920},0),2)</f>
        <v>119.71</v>
      </c>
      <c r="AF11" s="97">
        <v>0</v>
      </c>
      <c r="AG11" s="97">
        <f t="shared" si="7"/>
        <v>119.71</v>
      </c>
      <c r="AH11" s="104">
        <f t="shared" si="8"/>
        <v>8870.49</v>
      </c>
      <c r="AI11" s="105"/>
      <c r="AJ11" s="104">
        <f t="shared" si="9"/>
        <v>8870.49</v>
      </c>
      <c r="AK11" s="106"/>
      <c r="AL11" s="104">
        <f t="shared" si="10"/>
        <v>8990.2</v>
      </c>
      <c r="AM11" s="106"/>
      <c r="AN11" s="106"/>
      <c r="AO11" s="106"/>
      <c r="AP11" s="106"/>
      <c r="AQ11" s="106"/>
      <c r="AR11" s="113" t="str">
        <f t="shared" si="11"/>
        <v>正确</v>
      </c>
      <c r="AS11" s="113" t="str">
        <f t="shared" si="12"/>
        <v>不</v>
      </c>
      <c r="AT11" s="113" t="str">
        <f t="shared" si="13"/>
        <v>重复</v>
      </c>
    </row>
    <row r="12" s="12" customFormat="1" ht="18" customHeight="1" spans="1:46">
      <c r="A12" s="36">
        <v>9</v>
      </c>
      <c r="B12" s="37" t="s">
        <v>127</v>
      </c>
      <c r="C12" s="37" t="s">
        <v>145</v>
      </c>
      <c r="D12" s="37" t="s">
        <v>129</v>
      </c>
      <c r="E12" s="313" t="s">
        <v>146</v>
      </c>
      <c r="F12" s="38" t="str">
        <f t="shared" si="0"/>
        <v>女</v>
      </c>
      <c r="G12" s="39">
        <v>15372592345</v>
      </c>
      <c r="H12" s="40"/>
      <c r="I12" s="40"/>
      <c r="J12" s="115"/>
      <c r="K12" s="40"/>
      <c r="L12" s="72">
        <v>12298.8505747126</v>
      </c>
      <c r="M12" s="73">
        <v>428.8</v>
      </c>
      <c r="N12" s="73">
        <v>110.2</v>
      </c>
      <c r="O12" s="73">
        <v>26.8</v>
      </c>
      <c r="P12" s="73">
        <v>444</v>
      </c>
      <c r="Q12" s="91">
        <f t="shared" si="1"/>
        <v>1009.8</v>
      </c>
      <c r="R12" s="72">
        <v>0</v>
      </c>
      <c r="S12" s="92">
        <f t="shared" si="2"/>
        <v>12298.8505747126</v>
      </c>
      <c r="T12" s="93">
        <v>5000</v>
      </c>
      <c r="U12" s="93">
        <f t="shared" si="3"/>
        <v>1009.8</v>
      </c>
      <c r="V12" s="72"/>
      <c r="W12" s="72"/>
      <c r="X12" s="72"/>
      <c r="Y12" s="72"/>
      <c r="Z12" s="72"/>
      <c r="AA12" s="72"/>
      <c r="AB12" s="92">
        <f t="shared" si="4"/>
        <v>0</v>
      </c>
      <c r="AC12" s="92">
        <f t="shared" si="5"/>
        <v>0</v>
      </c>
      <c r="AD12" s="95">
        <f t="shared" si="6"/>
        <v>6289.05</v>
      </c>
      <c r="AE12" s="96">
        <f>ROUND(MAX((AD12)*{0.03;0.1;0.2;0.25;0.3;0.35;0.45}-{0;2520;16920;31920;52920;85920;181920},0),2)</f>
        <v>188.67</v>
      </c>
      <c r="AF12" s="97">
        <v>0</v>
      </c>
      <c r="AG12" s="97">
        <f t="shared" si="7"/>
        <v>188.67</v>
      </c>
      <c r="AH12" s="104">
        <f t="shared" si="8"/>
        <v>11100.38</v>
      </c>
      <c r="AI12" s="105"/>
      <c r="AJ12" s="104">
        <f t="shared" si="9"/>
        <v>11100.38</v>
      </c>
      <c r="AK12" s="106"/>
      <c r="AL12" s="104">
        <f t="shared" si="10"/>
        <v>11289.05</v>
      </c>
      <c r="AM12" s="106"/>
      <c r="AN12" s="106"/>
      <c r="AO12" s="106"/>
      <c r="AP12" s="106"/>
      <c r="AQ12" s="106"/>
      <c r="AR12" s="113" t="str">
        <f t="shared" si="11"/>
        <v>正确</v>
      </c>
      <c r="AS12" s="113" t="str">
        <f t="shared" si="12"/>
        <v>不</v>
      </c>
      <c r="AT12" s="113" t="str">
        <f t="shared" si="13"/>
        <v>重复</v>
      </c>
    </row>
    <row r="13" s="12" customFormat="1" ht="18" customHeight="1" spans="1:46">
      <c r="A13" s="36">
        <v>10</v>
      </c>
      <c r="B13" s="37" t="s">
        <v>127</v>
      </c>
      <c r="C13" s="37" t="s">
        <v>147</v>
      </c>
      <c r="D13" s="37" t="s">
        <v>129</v>
      </c>
      <c r="E13" s="313" t="s">
        <v>148</v>
      </c>
      <c r="F13" s="38" t="str">
        <f t="shared" si="0"/>
        <v>男</v>
      </c>
      <c r="G13" s="39">
        <v>13626366929</v>
      </c>
      <c r="H13" s="40"/>
      <c r="I13" s="40"/>
      <c r="J13" s="115"/>
      <c r="K13" s="40"/>
      <c r="L13" s="72">
        <v>16379.3103448276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1"/>
        <v>1009.8</v>
      </c>
      <c r="R13" s="72">
        <v>0</v>
      </c>
      <c r="S13" s="92">
        <f t="shared" si="2"/>
        <v>16379.3103448276</v>
      </c>
      <c r="T13" s="93">
        <v>5000</v>
      </c>
      <c r="U13" s="93">
        <f t="shared" si="3"/>
        <v>1009.8</v>
      </c>
      <c r="V13" s="72"/>
      <c r="W13" s="72"/>
      <c r="X13" s="72"/>
      <c r="Y13" s="72"/>
      <c r="Z13" s="72"/>
      <c r="AA13" s="72"/>
      <c r="AB13" s="92">
        <f t="shared" si="4"/>
        <v>0</v>
      </c>
      <c r="AC13" s="92">
        <f t="shared" si="5"/>
        <v>0</v>
      </c>
      <c r="AD13" s="95">
        <f t="shared" si="6"/>
        <v>10369.51</v>
      </c>
      <c r="AE13" s="96">
        <f>ROUND(MAX((AD13)*{0.03;0.1;0.2;0.25;0.3;0.35;0.45}-{0;2520;16920;31920;52920;85920;181920},0),2)</f>
        <v>311.09</v>
      </c>
      <c r="AF13" s="97">
        <v>0</v>
      </c>
      <c r="AG13" s="97">
        <f t="shared" si="7"/>
        <v>311.09</v>
      </c>
      <c r="AH13" s="104">
        <f t="shared" si="8"/>
        <v>15058.42</v>
      </c>
      <c r="AI13" s="105"/>
      <c r="AJ13" s="104">
        <f t="shared" si="9"/>
        <v>15058.42</v>
      </c>
      <c r="AK13" s="106"/>
      <c r="AL13" s="104">
        <f t="shared" si="10"/>
        <v>15369.51</v>
      </c>
      <c r="AM13" s="106"/>
      <c r="AN13" s="106"/>
      <c r="AO13" s="106"/>
      <c r="AP13" s="106"/>
      <c r="AQ13" s="106"/>
      <c r="AR13" s="113" t="str">
        <f t="shared" si="11"/>
        <v>正确</v>
      </c>
      <c r="AS13" s="113" t="str">
        <f t="shared" si="12"/>
        <v>不</v>
      </c>
      <c r="AT13" s="113" t="str">
        <f t="shared" si="13"/>
        <v>重复</v>
      </c>
    </row>
    <row r="14" s="12" customFormat="1" ht="18" customHeight="1" spans="1:46">
      <c r="A14" s="36">
        <v>11</v>
      </c>
      <c r="B14" s="37" t="s">
        <v>127</v>
      </c>
      <c r="C14" s="37" t="s">
        <v>149</v>
      </c>
      <c r="D14" s="37" t="s">
        <v>129</v>
      </c>
      <c r="E14" s="313" t="s">
        <v>150</v>
      </c>
      <c r="F14" s="38" t="str">
        <f t="shared" si="0"/>
        <v>女</v>
      </c>
      <c r="G14" s="39">
        <v>15201493035</v>
      </c>
      <c r="H14" s="40"/>
      <c r="I14" s="40"/>
      <c r="J14" s="115"/>
      <c r="K14" s="40"/>
      <c r="L14" s="72">
        <v>10114.9425287356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"/>
        <v>1009.8</v>
      </c>
      <c r="R14" s="72">
        <v>0</v>
      </c>
      <c r="S14" s="92">
        <f t="shared" si="2"/>
        <v>10114.9425287356</v>
      </c>
      <c r="T14" s="93">
        <v>5000</v>
      </c>
      <c r="U14" s="93">
        <f t="shared" si="3"/>
        <v>1009.8</v>
      </c>
      <c r="V14" s="72"/>
      <c r="W14" s="72"/>
      <c r="X14" s="72"/>
      <c r="Y14" s="72"/>
      <c r="Z14" s="72"/>
      <c r="AA14" s="72"/>
      <c r="AB14" s="92">
        <f t="shared" si="4"/>
        <v>0</v>
      </c>
      <c r="AC14" s="92">
        <f t="shared" si="5"/>
        <v>0</v>
      </c>
      <c r="AD14" s="95">
        <f t="shared" si="6"/>
        <v>4105.14</v>
      </c>
      <c r="AE14" s="96">
        <f>ROUND(MAX((AD14)*{0.03;0.1;0.2;0.25;0.3;0.35;0.45}-{0;2520;16920;31920;52920;85920;181920},0),2)</f>
        <v>123.15</v>
      </c>
      <c r="AF14" s="97">
        <v>0</v>
      </c>
      <c r="AG14" s="97">
        <f t="shared" si="7"/>
        <v>123.15</v>
      </c>
      <c r="AH14" s="104">
        <f t="shared" si="8"/>
        <v>8981.99</v>
      </c>
      <c r="AI14" s="105"/>
      <c r="AJ14" s="104">
        <f t="shared" si="9"/>
        <v>8981.99</v>
      </c>
      <c r="AK14" s="106"/>
      <c r="AL14" s="104">
        <f t="shared" si="10"/>
        <v>9105.14</v>
      </c>
      <c r="AM14" s="106"/>
      <c r="AN14" s="106"/>
      <c r="AO14" s="106"/>
      <c r="AP14" s="106"/>
      <c r="AQ14" s="106"/>
      <c r="AR14" s="113" t="str">
        <f t="shared" si="11"/>
        <v>正确</v>
      </c>
      <c r="AS14" s="113" t="str">
        <f t="shared" si="12"/>
        <v>不</v>
      </c>
      <c r="AT14" s="113" t="str">
        <f t="shared" si="13"/>
        <v>重复</v>
      </c>
    </row>
    <row r="15" s="12" customFormat="1" ht="18" customHeight="1" spans="1:46">
      <c r="A15" s="36">
        <v>12</v>
      </c>
      <c r="B15" s="37" t="s">
        <v>127</v>
      </c>
      <c r="C15" s="37" t="s">
        <v>151</v>
      </c>
      <c r="D15" s="37" t="s">
        <v>129</v>
      </c>
      <c r="E15" s="313" t="s">
        <v>152</v>
      </c>
      <c r="F15" s="38" t="str">
        <f t="shared" si="0"/>
        <v>女</v>
      </c>
      <c r="G15" s="39">
        <v>18674014622</v>
      </c>
      <c r="H15" s="40"/>
      <c r="I15" s="40"/>
      <c r="J15" s="115"/>
      <c r="K15" s="40"/>
      <c r="L15" s="72">
        <v>8275.86206896552</v>
      </c>
      <c r="M15" s="73">
        <v>428.8</v>
      </c>
      <c r="N15" s="73">
        <v>110.2</v>
      </c>
      <c r="O15" s="73">
        <v>26.8</v>
      </c>
      <c r="P15" s="73">
        <v>600</v>
      </c>
      <c r="Q15" s="91">
        <f t="shared" si="1"/>
        <v>1165.8</v>
      </c>
      <c r="R15" s="72">
        <v>0</v>
      </c>
      <c r="S15" s="92">
        <f t="shared" si="2"/>
        <v>8275.86206896552</v>
      </c>
      <c r="T15" s="93">
        <v>5000</v>
      </c>
      <c r="U15" s="93">
        <f t="shared" si="3"/>
        <v>1165.8</v>
      </c>
      <c r="V15" s="72"/>
      <c r="W15" s="72"/>
      <c r="X15" s="72"/>
      <c r="Y15" s="72"/>
      <c r="Z15" s="72"/>
      <c r="AA15" s="72"/>
      <c r="AB15" s="92">
        <f t="shared" si="4"/>
        <v>0</v>
      </c>
      <c r="AC15" s="92">
        <f t="shared" si="5"/>
        <v>0</v>
      </c>
      <c r="AD15" s="95">
        <f t="shared" si="6"/>
        <v>2110.06</v>
      </c>
      <c r="AE15" s="96">
        <f>ROUND(MAX((AD15)*{0.03;0.1;0.2;0.25;0.3;0.35;0.45}-{0;2520;16920;31920;52920;85920;181920},0),2)</f>
        <v>63.3</v>
      </c>
      <c r="AF15" s="97">
        <v>0</v>
      </c>
      <c r="AG15" s="97">
        <f t="shared" si="7"/>
        <v>63.3</v>
      </c>
      <c r="AH15" s="104">
        <f t="shared" si="8"/>
        <v>7046.76</v>
      </c>
      <c r="AI15" s="105"/>
      <c r="AJ15" s="104">
        <f t="shared" si="9"/>
        <v>7046.76</v>
      </c>
      <c r="AK15" s="106"/>
      <c r="AL15" s="104">
        <f t="shared" si="10"/>
        <v>7110.06</v>
      </c>
      <c r="AM15" s="106"/>
      <c r="AN15" s="106"/>
      <c r="AO15" s="106"/>
      <c r="AP15" s="106"/>
      <c r="AQ15" s="106"/>
      <c r="AR15" s="113" t="str">
        <f t="shared" si="11"/>
        <v>正确</v>
      </c>
      <c r="AS15" s="113" t="str">
        <f t="shared" si="12"/>
        <v>不</v>
      </c>
      <c r="AT15" s="113" t="str">
        <f t="shared" si="13"/>
        <v>重复</v>
      </c>
    </row>
    <row r="16" s="12" customFormat="1" ht="18" customHeight="1" spans="1:46">
      <c r="A16" s="36">
        <v>13</v>
      </c>
      <c r="B16" s="37" t="s">
        <v>127</v>
      </c>
      <c r="C16" s="37" t="s">
        <v>153</v>
      </c>
      <c r="D16" s="37" t="s">
        <v>129</v>
      </c>
      <c r="E16" s="313" t="s">
        <v>154</v>
      </c>
      <c r="F16" s="38" t="str">
        <f t="shared" si="0"/>
        <v>女</v>
      </c>
      <c r="G16" s="39">
        <v>15145001723</v>
      </c>
      <c r="H16" s="40"/>
      <c r="I16" s="40"/>
      <c r="J16" s="115"/>
      <c r="K16" s="40"/>
      <c r="L16" s="72">
        <v>3678.16091954023</v>
      </c>
      <c r="M16" s="73"/>
      <c r="N16" s="73"/>
      <c r="O16" s="73"/>
      <c r="P16" s="73"/>
      <c r="Q16" s="91">
        <f t="shared" si="1"/>
        <v>0</v>
      </c>
      <c r="R16" s="72">
        <v>0</v>
      </c>
      <c r="S16" s="92">
        <f t="shared" si="2"/>
        <v>3678.16091954023</v>
      </c>
      <c r="T16" s="93">
        <v>5000</v>
      </c>
      <c r="U16" s="93">
        <f t="shared" si="3"/>
        <v>0</v>
      </c>
      <c r="V16" s="72"/>
      <c r="W16" s="72"/>
      <c r="X16" s="72"/>
      <c r="Y16" s="72"/>
      <c r="Z16" s="72"/>
      <c r="AA16" s="72"/>
      <c r="AB16" s="92">
        <f t="shared" si="4"/>
        <v>0</v>
      </c>
      <c r="AC16" s="92">
        <f t="shared" si="5"/>
        <v>0</v>
      </c>
      <c r="AD16" s="95">
        <f t="shared" si="6"/>
        <v>-1321.84</v>
      </c>
      <c r="AE16" s="96">
        <f>ROUND(MAX((AD16)*{0.03;0.1;0.2;0.25;0.3;0.35;0.45}-{0;2520;16920;31920;52920;85920;181920},0),2)</f>
        <v>0</v>
      </c>
      <c r="AF16" s="97">
        <v>0</v>
      </c>
      <c r="AG16" s="97">
        <f t="shared" si="7"/>
        <v>0</v>
      </c>
      <c r="AH16" s="104">
        <f t="shared" si="8"/>
        <v>3678.16</v>
      </c>
      <c r="AI16" s="105"/>
      <c r="AJ16" s="104">
        <f t="shared" si="9"/>
        <v>3678.16</v>
      </c>
      <c r="AK16" s="106"/>
      <c r="AL16" s="104">
        <f t="shared" si="10"/>
        <v>3678.16</v>
      </c>
      <c r="AM16" s="106"/>
      <c r="AN16" s="106"/>
      <c r="AO16" s="106"/>
      <c r="AP16" s="106"/>
      <c r="AQ16" s="106"/>
      <c r="AR16" s="113" t="str">
        <f t="shared" si="11"/>
        <v>正确</v>
      </c>
      <c r="AS16" s="113" t="str">
        <f t="shared" si="12"/>
        <v>不</v>
      </c>
      <c r="AT16" s="113" t="str">
        <f t="shared" si="13"/>
        <v>重复</v>
      </c>
    </row>
    <row r="17" s="13" customFormat="1" ht="18" customHeight="1" spans="1:46">
      <c r="A17" s="43"/>
      <c r="B17" s="44" t="s">
        <v>155</v>
      </c>
      <c r="C17" s="44"/>
      <c r="D17" s="45"/>
      <c r="E17" s="46"/>
      <c r="F17" s="47"/>
      <c r="G17" s="48"/>
      <c r="H17" s="47"/>
      <c r="I17" s="74"/>
      <c r="J17" s="75"/>
      <c r="K17" s="74"/>
      <c r="L17" s="76">
        <f t="shared" ref="L17:AL17" si="14">SUM(L4:L16)</f>
        <v>135620.687011494</v>
      </c>
      <c r="M17" s="76">
        <f t="shared" si="14"/>
        <v>5145.6</v>
      </c>
      <c r="N17" s="76">
        <f t="shared" si="14"/>
        <v>1322.4</v>
      </c>
      <c r="O17" s="76">
        <f t="shared" si="14"/>
        <v>321.6</v>
      </c>
      <c r="P17" s="76">
        <f t="shared" si="14"/>
        <v>5484</v>
      </c>
      <c r="Q17" s="76">
        <f t="shared" si="14"/>
        <v>12273.6</v>
      </c>
      <c r="R17" s="76">
        <f t="shared" si="14"/>
        <v>0</v>
      </c>
      <c r="S17" s="76">
        <f t="shared" si="14"/>
        <v>135620.687011494</v>
      </c>
      <c r="T17" s="76">
        <f t="shared" si="14"/>
        <v>65000</v>
      </c>
      <c r="U17" s="76">
        <f t="shared" si="14"/>
        <v>12273.6</v>
      </c>
      <c r="V17" s="76">
        <f t="shared" si="14"/>
        <v>0</v>
      </c>
      <c r="W17" s="76">
        <f t="shared" si="14"/>
        <v>0</v>
      </c>
      <c r="X17" s="76">
        <f t="shared" si="14"/>
        <v>0</v>
      </c>
      <c r="Y17" s="76">
        <f t="shared" si="14"/>
        <v>0</v>
      </c>
      <c r="Z17" s="76">
        <f t="shared" si="14"/>
        <v>0</v>
      </c>
      <c r="AA17" s="76">
        <f t="shared" si="14"/>
        <v>0</v>
      </c>
      <c r="AB17" s="76">
        <f t="shared" si="14"/>
        <v>0</v>
      </c>
      <c r="AC17" s="76">
        <f t="shared" si="14"/>
        <v>0</v>
      </c>
      <c r="AD17" s="76">
        <f t="shared" si="14"/>
        <v>58347.08</v>
      </c>
      <c r="AE17" s="76">
        <f t="shared" si="14"/>
        <v>1790.09</v>
      </c>
      <c r="AF17" s="76">
        <f t="shared" si="14"/>
        <v>0</v>
      </c>
      <c r="AG17" s="76">
        <f t="shared" si="14"/>
        <v>1790.09</v>
      </c>
      <c r="AH17" s="76">
        <f t="shared" si="14"/>
        <v>121556.99</v>
      </c>
      <c r="AI17" s="107">
        <f t="shared" si="14"/>
        <v>0</v>
      </c>
      <c r="AJ17" s="76">
        <f t="shared" si="14"/>
        <v>121556.99</v>
      </c>
      <c r="AK17" s="76">
        <f t="shared" si="14"/>
        <v>0</v>
      </c>
      <c r="AL17" s="76">
        <f t="shared" si="14"/>
        <v>123347.08</v>
      </c>
      <c r="AM17" s="108"/>
      <c r="AN17" s="108"/>
      <c r="AO17" s="108"/>
      <c r="AP17" s="108"/>
      <c r="AQ17" s="108"/>
      <c r="AR17" s="47"/>
      <c r="AS17" s="47"/>
      <c r="AT17" s="114"/>
    </row>
    <row r="20" spans="30:30">
      <c r="AD20" s="98"/>
    </row>
    <row r="21" ht="18.75" customHeight="1" spans="2:30">
      <c r="B21" s="49" t="s">
        <v>108</v>
      </c>
      <c r="C21" s="49" t="s">
        <v>156</v>
      </c>
      <c r="D21" s="49" t="s">
        <v>58</v>
      </c>
      <c r="E21" s="49" t="s">
        <v>59</v>
      </c>
      <c r="AD21" s="10"/>
    </row>
    <row r="22" ht="18.75" customHeight="1" spans="2:6">
      <c r="B22" s="50">
        <f>AJ17</f>
        <v>121556.99</v>
      </c>
      <c r="C22" s="50">
        <f>AG17</f>
        <v>1790.09</v>
      </c>
      <c r="D22" s="50">
        <f>AK17</f>
        <v>0</v>
      </c>
      <c r="E22" s="50">
        <f>B22+C22+D22</f>
        <v>123347.08</v>
      </c>
      <c r="F22" s="15">
        <f>E22*6.78%</f>
        <v>8362.932024</v>
      </c>
    </row>
    <row r="23" spans="2:5">
      <c r="B23" s="51"/>
      <c r="C23" s="51"/>
      <c r="D23" s="51"/>
      <c r="E23" s="51"/>
    </row>
    <row r="24" s="14" customFormat="1" spans="1:35">
      <c r="A24" s="52" t="s">
        <v>157</v>
      </c>
      <c r="B24" s="53" t="s">
        <v>158</v>
      </c>
      <c r="C24" s="54"/>
      <c r="D24" s="54"/>
      <c r="E24" s="54"/>
      <c r="G24" s="55"/>
      <c r="J24" s="77"/>
      <c r="M24" s="78"/>
      <c r="AI24" s="109"/>
    </row>
    <row r="25" s="14" customFormat="1" spans="1:35">
      <c r="A25" s="56"/>
      <c r="B25" s="57" t="s">
        <v>159</v>
      </c>
      <c r="C25" s="54"/>
      <c r="D25" s="54"/>
      <c r="E25" s="54"/>
      <c r="G25" s="55"/>
      <c r="J25" s="77"/>
      <c r="M25" s="78"/>
      <c r="AI25" s="109"/>
    </row>
    <row r="26" s="14" customFormat="1" spans="1:35">
      <c r="A26" s="53"/>
      <c r="B26" s="57" t="s">
        <v>160</v>
      </c>
      <c r="C26" s="58"/>
      <c r="D26" s="58"/>
      <c r="E26" s="58"/>
      <c r="F26" s="58"/>
      <c r="G26" s="58"/>
      <c r="H26" s="58"/>
      <c r="I26" s="58"/>
      <c r="J26" s="79"/>
      <c r="K26" s="58"/>
      <c r="L26" s="58"/>
      <c r="M26" s="80"/>
      <c r="N26" s="58"/>
      <c r="O26" s="58"/>
      <c r="P26" s="58"/>
      <c r="AI26" s="109"/>
    </row>
    <row r="27" s="14" customFormat="1" customHeight="1" spans="1:35">
      <c r="A27" s="57"/>
      <c r="B27" s="57" t="s">
        <v>161</v>
      </c>
      <c r="C27" s="59"/>
      <c r="D27" s="59"/>
      <c r="E27" s="59"/>
      <c r="F27" s="59"/>
      <c r="G27" s="59"/>
      <c r="H27" s="59"/>
      <c r="I27" s="81"/>
      <c r="J27" s="82"/>
      <c r="K27" s="81"/>
      <c r="L27" s="81"/>
      <c r="M27" s="83"/>
      <c r="N27" s="81"/>
      <c r="O27" s="81"/>
      <c r="P27" s="81"/>
      <c r="AI27" s="109"/>
    </row>
    <row r="28" s="14" customFormat="1" customHeight="1" spans="1:35">
      <c r="A28" s="57"/>
      <c r="B28" s="57" t="s">
        <v>162</v>
      </c>
      <c r="C28" s="59"/>
      <c r="D28" s="59"/>
      <c r="E28" s="59"/>
      <c r="F28" s="59"/>
      <c r="G28" s="59"/>
      <c r="H28" s="59"/>
      <c r="I28" s="59"/>
      <c r="J28" s="84"/>
      <c r="K28" s="59"/>
      <c r="L28" s="81"/>
      <c r="M28" s="83"/>
      <c r="N28" s="81"/>
      <c r="O28" s="81"/>
      <c r="P28" s="81"/>
      <c r="AI28" s="109"/>
    </row>
    <row r="29" s="14" customFormat="1" customHeight="1" spans="1:35">
      <c r="A29" s="57"/>
      <c r="B29" s="57" t="s">
        <v>163</v>
      </c>
      <c r="C29" s="59"/>
      <c r="D29" s="59"/>
      <c r="E29" s="59"/>
      <c r="F29" s="59"/>
      <c r="G29" s="59"/>
      <c r="H29" s="59"/>
      <c r="I29" s="81"/>
      <c r="J29" s="82"/>
      <c r="K29" s="81"/>
      <c r="L29" s="81"/>
      <c r="M29" s="83"/>
      <c r="N29" s="81"/>
      <c r="O29" s="81"/>
      <c r="P29" s="81"/>
      <c r="AI29" s="109"/>
    </row>
    <row r="31" ht="11.25" customHeight="1" spans="2:2">
      <c r="B31" s="60" t="s">
        <v>164</v>
      </c>
    </row>
    <row r="32" spans="2:2">
      <c r="B32" s="61" t="s">
        <v>165</v>
      </c>
    </row>
    <row r="33" spans="2:2">
      <c r="B33" s="61" t="s">
        <v>166</v>
      </c>
    </row>
  </sheetData>
  <autoFilter ref="A3:AT1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9">
    <cfRule type="duplicateValues" dxfId="2" priority="10" stopIfTrue="1"/>
  </conditionalFormatting>
  <conditionalFormatting sqref="B24:B28">
    <cfRule type="duplicateValues" dxfId="2" priority="13" stopIfTrue="1"/>
  </conditionalFormatting>
  <conditionalFormatting sqref="B32:B33">
    <cfRule type="duplicateValues" dxfId="2" priority="1" stopIfTrue="1"/>
  </conditionalFormatting>
  <conditionalFormatting sqref="C21:C23">
    <cfRule type="duplicateValues" dxfId="2" priority="17" stopIfTrue="1"/>
    <cfRule type="expression" dxfId="3" priority="19" stopIfTrue="1">
      <formula>AND(COUNTIF($B$17:$B$65453,C21)+COUNTIF($B$1:$B$3,C21)&gt;1,NOT(ISBLANK(C21)))</formula>
    </cfRule>
    <cfRule type="expression" dxfId="3" priority="21" stopIfTrue="1">
      <formula>AND(COUNTIF($B$28:$B$65404,C21)+COUNTIF($B$1:$B$27,C21)&gt;1,NOT(ISBLANK(C21)))</formula>
    </cfRule>
    <cfRule type="expression" dxfId="3" priority="23" stopIfTrue="1">
      <formula>AND(COUNTIF($B$17:$B$65442,C21)+COUNTIF($B$1:$B$3,C21)&gt;1,NOT(ISBLANK(C21)))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33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80</v>
      </c>
      <c r="B1" s="21"/>
      <c r="C1" s="22"/>
      <c r="D1" s="23"/>
      <c r="E1" s="24"/>
      <c r="F1" s="24"/>
      <c r="G1" s="25"/>
      <c r="J1" s="62"/>
      <c r="L1" s="63"/>
      <c r="M1" s="64" t="s">
        <v>81</v>
      </c>
      <c r="N1" s="64"/>
      <c r="O1" s="64"/>
      <c r="P1" s="64"/>
      <c r="Q1" s="85"/>
      <c r="R1" s="85"/>
      <c r="S1" s="85"/>
      <c r="T1" s="85"/>
      <c r="U1" s="85">
        <f>U4/2</f>
        <v>1009.8</v>
      </c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82</v>
      </c>
      <c r="C2" s="28" t="s">
        <v>83</v>
      </c>
      <c r="D2" s="28" t="s">
        <v>84</v>
      </c>
      <c r="E2" s="29" t="s">
        <v>85</v>
      </c>
      <c r="F2" s="30" t="s">
        <v>86</v>
      </c>
      <c r="G2" s="29" t="s">
        <v>87</v>
      </c>
      <c r="H2" s="29" t="s">
        <v>88</v>
      </c>
      <c r="I2" s="29" t="s">
        <v>89</v>
      </c>
      <c r="J2" s="65" t="s">
        <v>90</v>
      </c>
      <c r="K2" s="29" t="s">
        <v>91</v>
      </c>
      <c r="L2" s="29" t="s">
        <v>92</v>
      </c>
      <c r="M2" s="66" t="s">
        <v>93</v>
      </c>
      <c r="N2" s="67"/>
      <c r="O2" s="67"/>
      <c r="P2" s="68"/>
      <c r="Q2" s="30" t="s">
        <v>94</v>
      </c>
      <c r="R2" s="29" t="s">
        <v>95</v>
      </c>
      <c r="S2" s="30" t="s">
        <v>96</v>
      </c>
      <c r="T2" s="86" t="s">
        <v>97</v>
      </c>
      <c r="U2" s="30" t="s">
        <v>98</v>
      </c>
      <c r="V2" s="87" t="s">
        <v>99</v>
      </c>
      <c r="W2" s="88"/>
      <c r="X2" s="88"/>
      <c r="Y2" s="88"/>
      <c r="Z2" s="88"/>
      <c r="AA2" s="94"/>
      <c r="AB2" s="30" t="s">
        <v>100</v>
      </c>
      <c r="AC2" s="30" t="s">
        <v>101</v>
      </c>
      <c r="AD2" s="86" t="s">
        <v>102</v>
      </c>
      <c r="AE2" s="86" t="s">
        <v>103</v>
      </c>
      <c r="AF2" s="86" t="s">
        <v>104</v>
      </c>
      <c r="AG2" s="86" t="s">
        <v>105</v>
      </c>
      <c r="AH2" s="100" t="s">
        <v>106</v>
      </c>
      <c r="AI2" s="101" t="s">
        <v>107</v>
      </c>
      <c r="AJ2" s="100" t="s">
        <v>108</v>
      </c>
      <c r="AK2" s="28" t="s">
        <v>58</v>
      </c>
      <c r="AL2" s="100" t="s">
        <v>109</v>
      </c>
      <c r="AM2" s="29" t="s">
        <v>110</v>
      </c>
      <c r="AN2" s="29" t="s">
        <v>111</v>
      </c>
      <c r="AO2" s="111" t="s">
        <v>112</v>
      </c>
      <c r="AP2" s="29" t="s">
        <v>113</v>
      </c>
      <c r="AQ2" s="29" t="s">
        <v>114</v>
      </c>
      <c r="AR2" s="30" t="s">
        <v>115</v>
      </c>
      <c r="AS2" s="30" t="s">
        <v>116</v>
      </c>
      <c r="AT2" s="30" t="s">
        <v>117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118</v>
      </c>
      <c r="N3" s="70" t="s">
        <v>119</v>
      </c>
      <c r="O3" s="70" t="s">
        <v>120</v>
      </c>
      <c r="P3" s="70" t="s">
        <v>71</v>
      </c>
      <c r="Q3" s="35"/>
      <c r="R3" s="34"/>
      <c r="S3" s="35"/>
      <c r="T3" s="89"/>
      <c r="U3" s="35"/>
      <c r="V3" s="90" t="s">
        <v>121</v>
      </c>
      <c r="W3" s="90" t="s">
        <v>122</v>
      </c>
      <c r="X3" s="90" t="s">
        <v>123</v>
      </c>
      <c r="Y3" s="90" t="s">
        <v>124</v>
      </c>
      <c r="Z3" s="90" t="s">
        <v>125</v>
      </c>
      <c r="AA3" s="90" t="s">
        <v>126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127</v>
      </c>
      <c r="C4" s="37" t="s">
        <v>128</v>
      </c>
      <c r="D4" s="37" t="s">
        <v>129</v>
      </c>
      <c r="E4" s="37" t="s">
        <v>130</v>
      </c>
      <c r="F4" s="38" t="str">
        <f t="shared" ref="F4:F16" si="0">IF(MOD(MID(E4,17,1),2)=1,"男","女")</f>
        <v>女</v>
      </c>
      <c r="G4" s="39">
        <v>19801207903</v>
      </c>
      <c r="H4" s="40"/>
      <c r="I4" s="40"/>
      <c r="J4" s="115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6" si="1">ROUND(SUM(M4:P4),2)</f>
        <v>1009.8</v>
      </c>
      <c r="R4" s="72">
        <v>0</v>
      </c>
      <c r="S4" s="92">
        <f>L4+IFERROR(VLOOKUP($E:$E,'（居民）工资表-1月'!$E:$S,15,0),0)</f>
        <v>22000</v>
      </c>
      <c r="T4" s="93">
        <f>5000+IFERROR(VLOOKUP($E:$E,'（居民）工资表-1月'!$E:$T,16,0),0)</f>
        <v>10000</v>
      </c>
      <c r="U4" s="93">
        <f>Q4+IFERROR(VLOOKUP($E:$E,'（居民）工资表-1月'!$E:$U,17,0),0)</f>
        <v>2019.6</v>
      </c>
      <c r="V4" s="72"/>
      <c r="W4" s="72"/>
      <c r="X4" s="72"/>
      <c r="Y4" s="72"/>
      <c r="Z4" s="72"/>
      <c r="AA4" s="72"/>
      <c r="AB4" s="92">
        <f t="shared" ref="AB4:AB16" si="2">ROUND(SUM(V4:AA4),2)</f>
        <v>0</v>
      </c>
      <c r="AC4" s="92">
        <f>R4+IFERROR(VLOOKUP($E:$E,'（居民）工资表-1月'!$E:$AC,25,0),0)</f>
        <v>0</v>
      </c>
      <c r="AD4" s="95">
        <f t="shared" ref="AD4:AD16" si="3">ROUND(S4-T4-U4-AB4-AC4,2)</f>
        <v>9980.4</v>
      </c>
      <c r="AE4" s="96">
        <f>ROUND(MAX((AD4)*{0.03;0.1;0.2;0.25;0.3;0.35;0.45}-{0;2520;16920;31920;52920;85920;181920},0),2)</f>
        <v>299.41</v>
      </c>
      <c r="AF4" s="97">
        <f>IFERROR(VLOOKUP(E:E,'（居民）工资表-1月'!E:AF,28,0)+VLOOKUP(E:E,'（居民）工资表-1月'!E:AG,29,0),0)</f>
        <v>149.71</v>
      </c>
      <c r="AG4" s="97">
        <f t="shared" ref="AG4:AG16" si="4">IF((AE4-AF4)&lt;0,0,AE4-AF4)</f>
        <v>149.7</v>
      </c>
      <c r="AH4" s="104">
        <f t="shared" ref="AH4:AH16" si="5">ROUND(IF((L4-Q4-AG4)&lt;0,0,(L4-Q4-AG4)),2)</f>
        <v>9840.5</v>
      </c>
      <c r="AI4" s="105"/>
      <c r="AJ4" s="104">
        <f t="shared" ref="AJ4:AJ16" si="6">AH4+AI4</f>
        <v>9840.5</v>
      </c>
      <c r="AK4" s="106"/>
      <c r="AL4" s="104">
        <f t="shared" ref="AL4:AL16" si="7">AJ4+AG4+AK4</f>
        <v>9990.2</v>
      </c>
      <c r="AM4" s="106"/>
      <c r="AN4" s="106"/>
      <c r="AO4" s="106"/>
      <c r="AP4" s="106"/>
      <c r="AQ4" s="106"/>
      <c r="AR4" s="113" t="str">
        <f t="shared" ref="AR4:AR16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6" si="9">IF(SUMPRODUCT(N(E$1:E$16=E4))&gt;1,"重复","不")</f>
        <v>不</v>
      </c>
      <c r="AT4" s="113" t="str">
        <f t="shared" ref="AT4:AT16" si="10">IF(SUMPRODUCT(N(AO$1:AO$16=AO4))&gt;1,"重复","不")</f>
        <v>重复</v>
      </c>
    </row>
    <row r="5" s="12" customFormat="1" ht="18" customHeight="1" spans="1:46">
      <c r="A5" s="36">
        <v>2</v>
      </c>
      <c r="B5" s="37" t="s">
        <v>127</v>
      </c>
      <c r="C5" s="37" t="s">
        <v>131</v>
      </c>
      <c r="D5" s="37" t="s">
        <v>129</v>
      </c>
      <c r="E5" s="37" t="s">
        <v>132</v>
      </c>
      <c r="F5" s="38" t="str">
        <f t="shared" si="0"/>
        <v>男</v>
      </c>
      <c r="G5" s="39">
        <v>13288877699</v>
      </c>
      <c r="H5" s="40"/>
      <c r="I5" s="40"/>
      <c r="J5" s="115"/>
      <c r="K5" s="40"/>
      <c r="L5" s="72">
        <v>11000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L5+IFERROR(VLOOKUP($E:$E,'（居民）工资表-1月'!$E:$S,15,0),0)</f>
        <v>22000</v>
      </c>
      <c r="T5" s="93">
        <f>5000+IFERROR(VLOOKUP($E:$E,'（居民）工资表-1月'!$E:$T,16,0),0)</f>
        <v>10000</v>
      </c>
      <c r="U5" s="93">
        <f>Q5+IFERROR(VLOOKUP($E:$E,'（居民）工资表-1月'!$E:$U,17,0),0)</f>
        <v>2019.6</v>
      </c>
      <c r="V5" s="72"/>
      <c r="W5" s="72"/>
      <c r="X5" s="72"/>
      <c r="Y5" s="72"/>
      <c r="Z5" s="72"/>
      <c r="AA5" s="72"/>
      <c r="AB5" s="92">
        <f t="shared" si="2"/>
        <v>0</v>
      </c>
      <c r="AC5" s="92">
        <f>R5+IFERROR(VLOOKUP($E:$E,'（居民）工资表-1月'!$E:$AC,25,0),0)</f>
        <v>0</v>
      </c>
      <c r="AD5" s="95">
        <f t="shared" si="3"/>
        <v>9980.4</v>
      </c>
      <c r="AE5" s="96">
        <f>ROUND(MAX((AD5)*{0.03;0.1;0.2;0.25;0.3;0.35;0.45}-{0;2520;16920;31920;52920;85920;181920},0),2)</f>
        <v>299.41</v>
      </c>
      <c r="AF5" s="97">
        <f>IFERROR(VLOOKUP(E:E,'（居民）工资表-1月'!E:AF,28,0)+VLOOKUP(E:E,'（居民）工资表-1月'!E:AG,29,0),0)</f>
        <v>149.71</v>
      </c>
      <c r="AG5" s="97">
        <f t="shared" si="4"/>
        <v>149.7</v>
      </c>
      <c r="AH5" s="104">
        <f t="shared" si="5"/>
        <v>9840.5</v>
      </c>
      <c r="AI5" s="105"/>
      <c r="AJ5" s="104">
        <f t="shared" si="6"/>
        <v>9840.5</v>
      </c>
      <c r="AK5" s="106"/>
      <c r="AL5" s="104">
        <f t="shared" si="7"/>
        <v>9990.2</v>
      </c>
      <c r="AM5" s="106"/>
      <c r="AN5" s="106"/>
      <c r="AO5" s="106"/>
      <c r="AP5" s="106"/>
      <c r="AQ5" s="106"/>
      <c r="AR5" s="113" t="str">
        <f t="shared" si="8"/>
        <v>正确</v>
      </c>
      <c r="AS5" s="113" t="str">
        <f t="shared" si="9"/>
        <v>不</v>
      </c>
      <c r="AT5" s="113" t="str">
        <f t="shared" si="10"/>
        <v>重复</v>
      </c>
    </row>
    <row r="6" s="12" customFormat="1" ht="18" customHeight="1" spans="1:46">
      <c r="A6" s="36">
        <v>3</v>
      </c>
      <c r="B6" s="37" t="s">
        <v>127</v>
      </c>
      <c r="C6" s="37" t="s">
        <v>133</v>
      </c>
      <c r="D6" s="37" t="s">
        <v>129</v>
      </c>
      <c r="E6" s="37" t="s">
        <v>134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12000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L6+IFERROR(VLOOKUP($E:$E,'（居民）工资表-1月'!$E:$S,15,0),0)</f>
        <v>24000</v>
      </c>
      <c r="T6" s="93">
        <f>5000+IFERROR(VLOOKUP($E:$E,'（居民）工资表-1月'!$E:$T,16,0),0)</f>
        <v>10000</v>
      </c>
      <c r="U6" s="93">
        <f>Q6+IFERROR(VLOOKUP($E:$E,'（居民）工资表-1月'!$E:$U,17,0),0)</f>
        <v>2019.6</v>
      </c>
      <c r="V6" s="72"/>
      <c r="W6" s="72"/>
      <c r="X6" s="72"/>
      <c r="Y6" s="72"/>
      <c r="Z6" s="72"/>
      <c r="AA6" s="72"/>
      <c r="AB6" s="92">
        <f t="shared" si="2"/>
        <v>0</v>
      </c>
      <c r="AC6" s="92">
        <f>R6+IFERROR(VLOOKUP($E:$E,'（居民）工资表-1月'!$E:$AC,25,0),0)</f>
        <v>0</v>
      </c>
      <c r="AD6" s="95">
        <f t="shared" si="3"/>
        <v>11980.4</v>
      </c>
      <c r="AE6" s="96">
        <f>ROUND(MAX((AD6)*{0.03;0.1;0.2;0.25;0.3;0.35;0.45}-{0;2520;16920;31920;52920;85920;181920},0),2)</f>
        <v>359.41</v>
      </c>
      <c r="AF6" s="97">
        <f>IFERROR(VLOOKUP(E:E,'（居民）工资表-1月'!E:AF,28,0)+VLOOKUP(E:E,'（居民）工资表-1月'!E:AG,29,0),0)</f>
        <v>179.71</v>
      </c>
      <c r="AG6" s="97">
        <f t="shared" si="4"/>
        <v>179.7</v>
      </c>
      <c r="AH6" s="104">
        <f t="shared" si="5"/>
        <v>10810.5</v>
      </c>
      <c r="AI6" s="105"/>
      <c r="AJ6" s="104">
        <f t="shared" si="6"/>
        <v>10810.5</v>
      </c>
      <c r="AK6" s="106"/>
      <c r="AL6" s="104">
        <f t="shared" si="7"/>
        <v>10990.2</v>
      </c>
      <c r="AM6" s="106"/>
      <c r="AN6" s="106"/>
      <c r="AO6" s="106"/>
      <c r="AP6" s="106"/>
      <c r="AQ6" s="106"/>
      <c r="AR6" s="113" t="str">
        <f t="shared" si="8"/>
        <v>正确</v>
      </c>
      <c r="AS6" s="113" t="str">
        <f t="shared" si="9"/>
        <v>不</v>
      </c>
      <c r="AT6" s="113" t="str">
        <f t="shared" si="10"/>
        <v>重复</v>
      </c>
    </row>
    <row r="7" s="12" customFormat="1" ht="18" customHeight="1" spans="1:46">
      <c r="A7" s="36">
        <v>4</v>
      </c>
      <c r="B7" s="37" t="s">
        <v>127</v>
      </c>
      <c r="C7" s="37" t="s">
        <v>139</v>
      </c>
      <c r="D7" s="37" t="s">
        <v>129</v>
      </c>
      <c r="E7" s="37" t="s">
        <v>140</v>
      </c>
      <c r="F7" s="38" t="str">
        <f t="shared" si="0"/>
        <v>男</v>
      </c>
      <c r="G7" s="39">
        <v>15652649555</v>
      </c>
      <c r="H7" s="40"/>
      <c r="I7" s="40"/>
      <c r="J7" s="115"/>
      <c r="K7" s="40"/>
      <c r="L7" s="72">
        <v>10000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L7+IFERROR(VLOOKUP($E:$E,'（居民）工资表-1月'!$E:$S,15,0),0)</f>
        <v>20000</v>
      </c>
      <c r="T7" s="93">
        <f>5000+IFERROR(VLOOKUP($E:$E,'（居民）工资表-1月'!$E:$T,16,0),0)</f>
        <v>10000</v>
      </c>
      <c r="U7" s="93">
        <f>Q7+IFERROR(VLOOKUP($E:$E,'（居民）工资表-1月'!$E:$U,17,0),0)</f>
        <v>2019.6</v>
      </c>
      <c r="V7" s="72"/>
      <c r="W7" s="72"/>
      <c r="X7" s="72"/>
      <c r="Y7" s="72"/>
      <c r="Z7" s="72"/>
      <c r="AA7" s="72"/>
      <c r="AB7" s="92">
        <f t="shared" si="2"/>
        <v>0</v>
      </c>
      <c r="AC7" s="92">
        <f>R7+IFERROR(VLOOKUP($E:$E,'（居民）工资表-1月'!$E:$AC,25,0),0)</f>
        <v>0</v>
      </c>
      <c r="AD7" s="95">
        <f t="shared" si="3"/>
        <v>7980.4</v>
      </c>
      <c r="AE7" s="96">
        <f>ROUND(MAX((AD7)*{0.03;0.1;0.2;0.25;0.3;0.35;0.45}-{0;2520;16920;31920;52920;85920;181920},0),2)</f>
        <v>239.41</v>
      </c>
      <c r="AF7" s="97">
        <f>IFERROR(VLOOKUP(E:E,'（居民）工资表-1月'!E:AF,28,0)+VLOOKUP(E:E,'（居民）工资表-1月'!E:AG,29,0),0)</f>
        <v>119.71</v>
      </c>
      <c r="AG7" s="97">
        <f t="shared" si="4"/>
        <v>119.7</v>
      </c>
      <c r="AH7" s="104">
        <f t="shared" si="5"/>
        <v>8870.5</v>
      </c>
      <c r="AI7" s="105"/>
      <c r="AJ7" s="104">
        <f t="shared" si="6"/>
        <v>8870.5</v>
      </c>
      <c r="AK7" s="106"/>
      <c r="AL7" s="104">
        <f t="shared" si="7"/>
        <v>8990.2</v>
      </c>
      <c r="AM7" s="106"/>
      <c r="AN7" s="106"/>
      <c r="AO7" s="106"/>
      <c r="AP7" s="106"/>
      <c r="AQ7" s="106"/>
      <c r="AR7" s="113" t="str">
        <f t="shared" si="8"/>
        <v>正确</v>
      </c>
      <c r="AS7" s="113" t="str">
        <f t="shared" si="9"/>
        <v>不</v>
      </c>
      <c r="AT7" s="113" t="str">
        <f t="shared" si="10"/>
        <v>重复</v>
      </c>
    </row>
    <row r="8" s="12" customFormat="1" ht="18" customHeight="1" spans="1:46">
      <c r="A8" s="36">
        <v>5</v>
      </c>
      <c r="B8" s="37" t="s">
        <v>127</v>
      </c>
      <c r="C8" s="37" t="s">
        <v>141</v>
      </c>
      <c r="D8" s="37" t="s">
        <v>129</v>
      </c>
      <c r="E8" s="313" t="s">
        <v>142</v>
      </c>
      <c r="F8" s="38" t="str">
        <f t="shared" si="0"/>
        <v>男</v>
      </c>
      <c r="G8" s="39">
        <v>17611149839</v>
      </c>
      <c r="H8" s="40"/>
      <c r="I8" s="40"/>
      <c r="J8" s="115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1"/>
        <v>1009.8</v>
      </c>
      <c r="R8" s="72">
        <v>0</v>
      </c>
      <c r="S8" s="92">
        <f>L8+IFERROR(VLOOKUP($E:$E,'（居民）工资表-1月'!$E:$S,15,0),0)</f>
        <v>18000</v>
      </c>
      <c r="T8" s="93">
        <f>5000+IFERROR(VLOOKUP($E:$E,'（居民）工资表-1月'!$E:$T,16,0),0)</f>
        <v>10000</v>
      </c>
      <c r="U8" s="93">
        <f>Q8+IFERROR(VLOOKUP($E:$E,'（居民）工资表-1月'!$E:$U,17,0),0)</f>
        <v>2019.6</v>
      </c>
      <c r="V8" s="72"/>
      <c r="W8" s="72"/>
      <c r="X8" s="72"/>
      <c r="Y8" s="72"/>
      <c r="Z8" s="72"/>
      <c r="AA8" s="72"/>
      <c r="AB8" s="92">
        <f t="shared" si="2"/>
        <v>0</v>
      </c>
      <c r="AC8" s="92">
        <f>R8+IFERROR(VLOOKUP($E:$E,'（居民）工资表-1月'!$E:$AC,25,0),0)</f>
        <v>0</v>
      </c>
      <c r="AD8" s="95">
        <f t="shared" si="3"/>
        <v>5980.4</v>
      </c>
      <c r="AE8" s="96">
        <f>ROUND(MAX((AD8)*{0.03;0.1;0.2;0.25;0.3;0.35;0.45}-{0;2520;16920;31920;52920;85920;181920},0),2)</f>
        <v>179.41</v>
      </c>
      <c r="AF8" s="97">
        <f>IFERROR(VLOOKUP(E:E,'（居民）工资表-1月'!E:AF,28,0)+VLOOKUP(E:E,'（居民）工资表-1月'!E:AG,29,0),0)</f>
        <v>59.71</v>
      </c>
      <c r="AG8" s="97">
        <f t="shared" si="4"/>
        <v>119.7</v>
      </c>
      <c r="AH8" s="104">
        <f t="shared" si="5"/>
        <v>8870.5</v>
      </c>
      <c r="AI8" s="105"/>
      <c r="AJ8" s="104">
        <f t="shared" si="6"/>
        <v>8870.5</v>
      </c>
      <c r="AK8" s="106"/>
      <c r="AL8" s="104">
        <f t="shared" si="7"/>
        <v>8990.2</v>
      </c>
      <c r="AM8" s="106"/>
      <c r="AN8" s="106"/>
      <c r="AO8" s="106"/>
      <c r="AP8" s="106"/>
      <c r="AQ8" s="106"/>
      <c r="AR8" s="113" t="str">
        <f t="shared" si="8"/>
        <v>正确</v>
      </c>
      <c r="AS8" s="113" t="str">
        <f t="shared" si="9"/>
        <v>不</v>
      </c>
      <c r="AT8" s="113" t="str">
        <f t="shared" si="10"/>
        <v>重复</v>
      </c>
    </row>
    <row r="9" s="12" customFormat="1" ht="18" customHeight="1" spans="1:46">
      <c r="A9" s="36">
        <v>6</v>
      </c>
      <c r="B9" s="37" t="s">
        <v>127</v>
      </c>
      <c r="C9" s="37" t="s">
        <v>143</v>
      </c>
      <c r="D9" s="37" t="s">
        <v>129</v>
      </c>
      <c r="E9" s="313" t="s">
        <v>144</v>
      </c>
      <c r="F9" s="38" t="str">
        <f t="shared" si="0"/>
        <v>男</v>
      </c>
      <c r="G9" s="39">
        <v>13596154643</v>
      </c>
      <c r="H9" s="40"/>
      <c r="I9" s="40"/>
      <c r="J9" s="115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>L9+IFERROR(VLOOKUP($E:$E,'（居民）工资表-1月'!$E:$S,15,0),0)</f>
        <v>20000</v>
      </c>
      <c r="T9" s="93">
        <f>5000+IFERROR(VLOOKUP($E:$E,'（居民）工资表-1月'!$E:$T,16,0),0)</f>
        <v>10000</v>
      </c>
      <c r="U9" s="93">
        <f>Q9+IFERROR(VLOOKUP($E:$E,'（居民）工资表-1月'!$E:$U,17,0),0)</f>
        <v>2019.6</v>
      </c>
      <c r="V9" s="72"/>
      <c r="W9" s="72"/>
      <c r="X9" s="72"/>
      <c r="Y9" s="72"/>
      <c r="Z9" s="72"/>
      <c r="AA9" s="72"/>
      <c r="AB9" s="92">
        <f t="shared" si="2"/>
        <v>0</v>
      </c>
      <c r="AC9" s="92">
        <f>R9+IFERROR(VLOOKUP($E:$E,'（居民）工资表-1月'!$E:$AC,25,0),0)</f>
        <v>0</v>
      </c>
      <c r="AD9" s="95">
        <f t="shared" si="3"/>
        <v>7980.4</v>
      </c>
      <c r="AE9" s="96">
        <f>ROUND(MAX((AD9)*{0.03;0.1;0.2;0.25;0.3;0.35;0.45}-{0;2520;16920;31920;52920;85920;181920},0),2)</f>
        <v>239.41</v>
      </c>
      <c r="AF9" s="97">
        <f>IFERROR(VLOOKUP(E:E,'（居民）工资表-1月'!E:AF,28,0)+VLOOKUP(E:E,'（居民）工资表-1月'!E:AG,29,0),0)</f>
        <v>119.71</v>
      </c>
      <c r="AG9" s="97">
        <f t="shared" si="4"/>
        <v>119.7</v>
      </c>
      <c r="AH9" s="104">
        <f t="shared" si="5"/>
        <v>8870.5</v>
      </c>
      <c r="AI9" s="105"/>
      <c r="AJ9" s="104">
        <f t="shared" si="6"/>
        <v>8870.5</v>
      </c>
      <c r="AK9" s="106"/>
      <c r="AL9" s="104">
        <f t="shared" si="7"/>
        <v>8990.2</v>
      </c>
      <c r="AM9" s="106"/>
      <c r="AN9" s="106"/>
      <c r="AO9" s="106"/>
      <c r="AP9" s="106"/>
      <c r="AQ9" s="106"/>
      <c r="AR9" s="113" t="str">
        <f t="shared" si="8"/>
        <v>正确</v>
      </c>
      <c r="AS9" s="113" t="str">
        <f t="shared" si="9"/>
        <v>不</v>
      </c>
      <c r="AT9" s="113" t="str">
        <f t="shared" si="10"/>
        <v>重复</v>
      </c>
    </row>
    <row r="10" s="12" customFormat="1" ht="18" customHeight="1" spans="1:46">
      <c r="A10" s="36">
        <v>7</v>
      </c>
      <c r="B10" s="37" t="s">
        <v>127</v>
      </c>
      <c r="C10" s="37" t="s">
        <v>147</v>
      </c>
      <c r="D10" s="37" t="s">
        <v>129</v>
      </c>
      <c r="E10" s="313" t="s">
        <v>148</v>
      </c>
      <c r="F10" s="38" t="str">
        <f t="shared" si="0"/>
        <v>男</v>
      </c>
      <c r="G10" s="39">
        <v>13626366929</v>
      </c>
      <c r="H10" s="40"/>
      <c r="I10" s="40"/>
      <c r="J10" s="115"/>
      <c r="K10" s="40"/>
      <c r="L10" s="72">
        <v>14220.3448275862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>L10+IFERROR(VLOOKUP($E:$E,'（居民）工资表-1月'!$E:$S,15,0),0)</f>
        <v>30599.6551724138</v>
      </c>
      <c r="T10" s="93">
        <f>5000+IFERROR(VLOOKUP($E:$E,'（居民）工资表-1月'!$E:$T,16,0),0)</f>
        <v>10000</v>
      </c>
      <c r="U10" s="93">
        <f>Q10+IFERROR(VLOOKUP($E:$E,'（居民）工资表-1月'!$E:$U,17,0),0)</f>
        <v>2019.6</v>
      </c>
      <c r="V10" s="72"/>
      <c r="W10" s="72"/>
      <c r="X10" s="72"/>
      <c r="Y10" s="72"/>
      <c r="Z10" s="72"/>
      <c r="AA10" s="72"/>
      <c r="AB10" s="92">
        <f t="shared" si="2"/>
        <v>0</v>
      </c>
      <c r="AC10" s="92">
        <f>R10+IFERROR(VLOOKUP($E:$E,'（居民）工资表-1月'!$E:$AC,25,0),0)</f>
        <v>0</v>
      </c>
      <c r="AD10" s="95">
        <f t="shared" si="3"/>
        <v>18580.06</v>
      </c>
      <c r="AE10" s="96">
        <f>ROUND(MAX((AD10)*{0.03;0.1;0.2;0.25;0.3;0.35;0.45}-{0;2520;16920;31920;52920;85920;181920},0),2)</f>
        <v>557.4</v>
      </c>
      <c r="AF10" s="97">
        <f>IFERROR(VLOOKUP(E:E,'（居民）工资表-1月'!E:AF,28,0)+VLOOKUP(E:E,'（居民）工资表-1月'!E:AG,29,0),0)</f>
        <v>311.09</v>
      </c>
      <c r="AG10" s="97">
        <f t="shared" si="4"/>
        <v>246.31</v>
      </c>
      <c r="AH10" s="104">
        <f t="shared" si="5"/>
        <v>12964.23</v>
      </c>
      <c r="AI10" s="105"/>
      <c r="AJ10" s="104">
        <f t="shared" si="6"/>
        <v>12964.23</v>
      </c>
      <c r="AK10" s="106"/>
      <c r="AL10" s="104">
        <f t="shared" si="7"/>
        <v>13210.54</v>
      </c>
      <c r="AM10" s="106"/>
      <c r="AN10" s="106"/>
      <c r="AO10" s="106"/>
      <c r="AP10" s="106"/>
      <c r="AQ10" s="106"/>
      <c r="AR10" s="113" t="str">
        <f t="shared" si="8"/>
        <v>正确</v>
      </c>
      <c r="AS10" s="113" t="str">
        <f t="shared" si="9"/>
        <v>不</v>
      </c>
      <c r="AT10" s="113" t="str">
        <f t="shared" si="10"/>
        <v>重复</v>
      </c>
    </row>
    <row r="11" s="12" customFormat="1" ht="18" customHeight="1" spans="1:46">
      <c r="A11" s="36">
        <v>8</v>
      </c>
      <c r="B11" s="37" t="s">
        <v>127</v>
      </c>
      <c r="C11" s="37" t="s">
        <v>149</v>
      </c>
      <c r="D11" s="37" t="s">
        <v>129</v>
      </c>
      <c r="E11" s="313" t="s">
        <v>150</v>
      </c>
      <c r="F11" s="38" t="str">
        <f t="shared" si="0"/>
        <v>女</v>
      </c>
      <c r="G11" s="39">
        <v>15201493035</v>
      </c>
      <c r="H11" s="40"/>
      <c r="I11" s="40"/>
      <c r="J11" s="115"/>
      <c r="K11" s="40"/>
      <c r="L11" s="72">
        <v>10444.2528735632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1"/>
        <v>1009.8</v>
      </c>
      <c r="R11" s="72">
        <v>0</v>
      </c>
      <c r="S11" s="92">
        <f>L11+IFERROR(VLOOKUP($E:$E,'（居民）工资表-1月'!$E:$S,15,0),0)</f>
        <v>20559.1954022988</v>
      </c>
      <c r="T11" s="93">
        <f>5000+IFERROR(VLOOKUP($E:$E,'（居民）工资表-1月'!$E:$T,16,0),0)</f>
        <v>10000</v>
      </c>
      <c r="U11" s="93">
        <f>Q11+IFERROR(VLOOKUP($E:$E,'（居民）工资表-1月'!$E:$U,17,0),0)</f>
        <v>2019.6</v>
      </c>
      <c r="V11" s="72"/>
      <c r="W11" s="72"/>
      <c r="X11" s="72"/>
      <c r="Y11" s="72"/>
      <c r="Z11" s="72"/>
      <c r="AA11" s="72"/>
      <c r="AB11" s="92">
        <f t="shared" si="2"/>
        <v>0</v>
      </c>
      <c r="AC11" s="92">
        <f>R11+IFERROR(VLOOKUP($E:$E,'（居民）工资表-1月'!$E:$AC,25,0),0)</f>
        <v>0</v>
      </c>
      <c r="AD11" s="95">
        <f t="shared" si="3"/>
        <v>8539.6</v>
      </c>
      <c r="AE11" s="96">
        <f>ROUND(MAX((AD11)*{0.03;0.1;0.2;0.25;0.3;0.35;0.45}-{0;2520;16920;31920;52920;85920;181920},0),2)</f>
        <v>256.19</v>
      </c>
      <c r="AF11" s="97">
        <f>IFERROR(VLOOKUP(E:E,'（居民）工资表-1月'!E:AF,28,0)+VLOOKUP(E:E,'（居民）工资表-1月'!E:AG,29,0),0)</f>
        <v>123.15</v>
      </c>
      <c r="AG11" s="97">
        <f t="shared" si="4"/>
        <v>133.04</v>
      </c>
      <c r="AH11" s="104">
        <f t="shared" si="5"/>
        <v>9301.41</v>
      </c>
      <c r="AI11" s="105"/>
      <c r="AJ11" s="104">
        <f t="shared" si="6"/>
        <v>9301.41</v>
      </c>
      <c r="AK11" s="106"/>
      <c r="AL11" s="104">
        <f t="shared" si="7"/>
        <v>9434.45</v>
      </c>
      <c r="AM11" s="106"/>
      <c r="AN11" s="106"/>
      <c r="AO11" s="106"/>
      <c r="AP11" s="106"/>
      <c r="AQ11" s="106"/>
      <c r="AR11" s="113" t="str">
        <f t="shared" si="8"/>
        <v>正确</v>
      </c>
      <c r="AS11" s="113" t="str">
        <f t="shared" si="9"/>
        <v>不</v>
      </c>
      <c r="AT11" s="113" t="str">
        <f t="shared" si="10"/>
        <v>重复</v>
      </c>
    </row>
    <row r="12" s="12" customFormat="1" ht="18" customHeight="1" spans="1:46">
      <c r="A12" s="36">
        <v>9</v>
      </c>
      <c r="B12" s="37" t="s">
        <v>127</v>
      </c>
      <c r="C12" s="37" t="s">
        <v>151</v>
      </c>
      <c r="D12" s="37" t="s">
        <v>129</v>
      </c>
      <c r="E12" s="313" t="s">
        <v>152</v>
      </c>
      <c r="F12" s="38" t="str">
        <f t="shared" si="0"/>
        <v>女</v>
      </c>
      <c r="G12" s="39">
        <v>18674014622</v>
      </c>
      <c r="H12" s="40"/>
      <c r="I12" s="40"/>
      <c r="J12" s="115"/>
      <c r="K12" s="40"/>
      <c r="L12" s="72">
        <v>10000</v>
      </c>
      <c r="M12" s="73">
        <v>428.8</v>
      </c>
      <c r="N12" s="73">
        <v>110.2</v>
      </c>
      <c r="O12" s="73">
        <v>26.8</v>
      </c>
      <c r="P12" s="73">
        <v>600</v>
      </c>
      <c r="Q12" s="91">
        <f t="shared" si="1"/>
        <v>1165.8</v>
      </c>
      <c r="R12" s="72">
        <v>0</v>
      </c>
      <c r="S12" s="92">
        <f>L12+IFERROR(VLOOKUP($E:$E,'（居民）工资表-1月'!$E:$S,15,0),0)</f>
        <v>18275.8620689655</v>
      </c>
      <c r="T12" s="93">
        <f>5000+IFERROR(VLOOKUP($E:$E,'（居民）工资表-1月'!$E:$T,16,0),0)</f>
        <v>10000</v>
      </c>
      <c r="U12" s="93">
        <f>Q12+IFERROR(VLOOKUP($E:$E,'（居民）工资表-1月'!$E:$U,17,0),0)</f>
        <v>2331.6</v>
      </c>
      <c r="V12" s="72"/>
      <c r="W12" s="72"/>
      <c r="X12" s="72"/>
      <c r="Y12" s="72"/>
      <c r="Z12" s="72"/>
      <c r="AA12" s="72"/>
      <c r="AB12" s="92">
        <f t="shared" si="2"/>
        <v>0</v>
      </c>
      <c r="AC12" s="92">
        <f>R12+IFERROR(VLOOKUP($E:$E,'（居民）工资表-1月'!$E:$AC,25,0),0)</f>
        <v>0</v>
      </c>
      <c r="AD12" s="95">
        <f t="shared" si="3"/>
        <v>5944.26</v>
      </c>
      <c r="AE12" s="96">
        <f>ROUND(MAX((AD12)*{0.03;0.1;0.2;0.25;0.3;0.35;0.45}-{0;2520;16920;31920;52920;85920;181920},0),2)</f>
        <v>178.33</v>
      </c>
      <c r="AF12" s="97">
        <f>IFERROR(VLOOKUP(E:E,'（居民）工资表-1月'!E:AF,28,0)+VLOOKUP(E:E,'（居民）工资表-1月'!E:AG,29,0),0)</f>
        <v>63.3</v>
      </c>
      <c r="AG12" s="97">
        <f t="shared" si="4"/>
        <v>115.03</v>
      </c>
      <c r="AH12" s="104">
        <f t="shared" si="5"/>
        <v>8719.17</v>
      </c>
      <c r="AI12" s="105"/>
      <c r="AJ12" s="104">
        <f t="shared" si="6"/>
        <v>8719.17</v>
      </c>
      <c r="AK12" s="106"/>
      <c r="AL12" s="104">
        <f t="shared" si="7"/>
        <v>8834.2</v>
      </c>
      <c r="AM12" s="106"/>
      <c r="AN12" s="106"/>
      <c r="AO12" s="106"/>
      <c r="AP12" s="106"/>
      <c r="AQ12" s="106"/>
      <c r="AR12" s="113" t="str">
        <f t="shared" si="8"/>
        <v>正确</v>
      </c>
      <c r="AS12" s="113" t="str">
        <f t="shared" si="9"/>
        <v>不</v>
      </c>
      <c r="AT12" s="113" t="str">
        <f t="shared" si="10"/>
        <v>重复</v>
      </c>
    </row>
    <row r="13" s="12" customFormat="1" ht="18" customHeight="1" spans="1:46">
      <c r="A13" s="36">
        <v>10</v>
      </c>
      <c r="B13" s="37" t="s">
        <v>127</v>
      </c>
      <c r="C13" s="37" t="s">
        <v>153</v>
      </c>
      <c r="D13" s="37" t="s">
        <v>129</v>
      </c>
      <c r="E13" s="313" t="s">
        <v>154</v>
      </c>
      <c r="F13" s="38" t="str">
        <f t="shared" si="0"/>
        <v>女</v>
      </c>
      <c r="G13" s="39">
        <v>15145001723</v>
      </c>
      <c r="H13" s="40"/>
      <c r="I13" s="40"/>
      <c r="J13" s="115"/>
      <c r="K13" s="40"/>
      <c r="L13" s="72">
        <v>9540.22988505747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1"/>
        <v>1009.8</v>
      </c>
      <c r="R13" s="72">
        <v>0</v>
      </c>
      <c r="S13" s="92">
        <f>L13+IFERROR(VLOOKUP($E:$E,'（居民）工资表-1月'!$E:$S,15,0),0)</f>
        <v>13218.3908045977</v>
      </c>
      <c r="T13" s="93">
        <f>5000+IFERROR(VLOOKUP($E:$E,'（居民）工资表-1月'!$E:$T,16,0),0)</f>
        <v>10000</v>
      </c>
      <c r="U13" s="93">
        <f>Q13+IFERROR(VLOOKUP($E:$E,'（居民）工资表-1月'!$E:$U,17,0),0)</f>
        <v>1009.8</v>
      </c>
      <c r="V13" s="72"/>
      <c r="W13" s="72"/>
      <c r="X13" s="72"/>
      <c r="Y13" s="72"/>
      <c r="Z13" s="72"/>
      <c r="AA13" s="72"/>
      <c r="AB13" s="92">
        <f t="shared" si="2"/>
        <v>0</v>
      </c>
      <c r="AC13" s="92">
        <f>R13+IFERROR(VLOOKUP($E:$E,'（居民）工资表-1月'!$E:$AC,25,0),0)</f>
        <v>0</v>
      </c>
      <c r="AD13" s="95">
        <f t="shared" si="3"/>
        <v>2208.59</v>
      </c>
      <c r="AE13" s="96">
        <f>ROUND(MAX((AD13)*{0.03;0.1;0.2;0.25;0.3;0.35;0.45}-{0;2520;16920;31920;52920;85920;181920},0),2)</f>
        <v>66.26</v>
      </c>
      <c r="AF13" s="97">
        <f>IFERROR(VLOOKUP(E:E,'（居民）工资表-1月'!E:AF,28,0)+VLOOKUP(E:E,'（居民）工资表-1月'!E:AG,29,0),0)</f>
        <v>0</v>
      </c>
      <c r="AG13" s="97">
        <f t="shared" si="4"/>
        <v>66.26</v>
      </c>
      <c r="AH13" s="104">
        <f t="shared" si="5"/>
        <v>8464.17</v>
      </c>
      <c r="AI13" s="105"/>
      <c r="AJ13" s="104">
        <f t="shared" si="6"/>
        <v>8464.17</v>
      </c>
      <c r="AK13" s="106"/>
      <c r="AL13" s="104">
        <f t="shared" si="7"/>
        <v>8530.43</v>
      </c>
      <c r="AM13" s="106"/>
      <c r="AN13" s="106"/>
      <c r="AO13" s="106"/>
      <c r="AP13" s="106"/>
      <c r="AQ13" s="106"/>
      <c r="AR13" s="113" t="str">
        <f t="shared" si="8"/>
        <v>正确</v>
      </c>
      <c r="AS13" s="113" t="str">
        <f t="shared" si="9"/>
        <v>不</v>
      </c>
      <c r="AT13" s="113" t="str">
        <f t="shared" si="10"/>
        <v>重复</v>
      </c>
    </row>
    <row r="14" s="12" customFormat="1" ht="18" customHeight="1" spans="1:46">
      <c r="A14" s="36">
        <v>11</v>
      </c>
      <c r="B14" s="37" t="s">
        <v>127</v>
      </c>
      <c r="C14" s="37" t="s">
        <v>167</v>
      </c>
      <c r="D14" s="37" t="s">
        <v>129</v>
      </c>
      <c r="E14" s="313" t="s">
        <v>168</v>
      </c>
      <c r="F14" s="38" t="str">
        <f t="shared" si="0"/>
        <v>女</v>
      </c>
      <c r="G14" s="39">
        <v>15943200312</v>
      </c>
      <c r="H14" s="40"/>
      <c r="I14" s="40"/>
      <c r="J14" s="115"/>
      <c r="K14" s="40"/>
      <c r="L14" s="72">
        <v>11950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"/>
        <v>1009.8</v>
      </c>
      <c r="R14" s="72">
        <v>0</v>
      </c>
      <c r="S14" s="92">
        <f>L14+IFERROR(VLOOKUP($E:$E,'（居民）工资表-1月'!$E:$S,15,0),0)</f>
        <v>11950</v>
      </c>
      <c r="T14" s="93">
        <f>5000+IFERROR(VLOOKUP($E:$E,'（居民）工资表-1月'!$E:$T,16,0),0)</f>
        <v>5000</v>
      </c>
      <c r="U14" s="93">
        <f>Q14+IFERROR(VLOOKUP($E:$E,'（居民）工资表-1月'!$E:$U,17,0),0)</f>
        <v>1009.8</v>
      </c>
      <c r="V14" s="72"/>
      <c r="W14" s="72"/>
      <c r="X14" s="72"/>
      <c r="Y14" s="72"/>
      <c r="Z14" s="72"/>
      <c r="AA14" s="72"/>
      <c r="AB14" s="92">
        <f t="shared" si="2"/>
        <v>0</v>
      </c>
      <c r="AC14" s="92">
        <f>R14+IFERROR(VLOOKUP($E:$E,'（居民）工资表-1月'!$E:$AC,25,0),0)</f>
        <v>0</v>
      </c>
      <c r="AD14" s="95">
        <f t="shared" si="3"/>
        <v>5940.2</v>
      </c>
      <c r="AE14" s="96">
        <f>ROUND(MAX((AD14)*{0.03;0.1;0.2;0.25;0.3;0.35;0.45}-{0;2520;16920;31920;52920;85920;181920},0),2)</f>
        <v>178.21</v>
      </c>
      <c r="AF14" s="97">
        <f>IFERROR(VLOOKUP(E:E,'（居民）工资表-1月'!E:AF,28,0)+VLOOKUP(E:E,'（居民）工资表-1月'!E:AG,29,0),0)</f>
        <v>0</v>
      </c>
      <c r="AG14" s="97">
        <f t="shared" si="4"/>
        <v>178.21</v>
      </c>
      <c r="AH14" s="104">
        <f t="shared" si="5"/>
        <v>10761.99</v>
      </c>
      <c r="AI14" s="105"/>
      <c r="AJ14" s="104">
        <f t="shared" si="6"/>
        <v>10761.99</v>
      </c>
      <c r="AK14" s="106"/>
      <c r="AL14" s="104">
        <f t="shared" si="7"/>
        <v>10940.2</v>
      </c>
      <c r="AM14" s="106"/>
      <c r="AN14" s="106"/>
      <c r="AO14" s="106"/>
      <c r="AP14" s="106"/>
      <c r="AQ14" s="106"/>
      <c r="AR14" s="113" t="str">
        <f t="shared" si="8"/>
        <v>正确</v>
      </c>
      <c r="AS14" s="113" t="str">
        <f t="shared" si="9"/>
        <v>不</v>
      </c>
      <c r="AT14" s="113" t="str">
        <f t="shared" si="10"/>
        <v>重复</v>
      </c>
    </row>
    <row r="15" s="12" customFormat="1" ht="18" customHeight="1" spans="1:46">
      <c r="A15" s="36">
        <v>12</v>
      </c>
      <c r="B15" s="37" t="s">
        <v>127</v>
      </c>
      <c r="C15" s="37" t="s">
        <v>169</v>
      </c>
      <c r="D15" s="37" t="s">
        <v>129</v>
      </c>
      <c r="E15" s="313" t="s">
        <v>170</v>
      </c>
      <c r="F15" s="38" t="str">
        <f t="shared" si="0"/>
        <v>女</v>
      </c>
      <c r="G15" s="39">
        <v>18745463721</v>
      </c>
      <c r="H15" s="40"/>
      <c r="I15" s="40"/>
      <c r="J15" s="115"/>
      <c r="K15" s="40"/>
      <c r="L15" s="72">
        <v>8091.95402298851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1"/>
        <v>1009.8</v>
      </c>
      <c r="R15" s="72">
        <v>0</v>
      </c>
      <c r="S15" s="92">
        <f>L15+IFERROR(VLOOKUP($E:$E,'（居民）工资表-1月'!$E:$S,15,0),0)</f>
        <v>8091.95402298851</v>
      </c>
      <c r="T15" s="93">
        <f>5000+IFERROR(VLOOKUP($E:$E,'（居民）工资表-1月'!$E:$T,16,0),0)</f>
        <v>5000</v>
      </c>
      <c r="U15" s="93">
        <f>Q15+IFERROR(VLOOKUP($E:$E,'（居民）工资表-1月'!$E:$U,17,0),0)</f>
        <v>1009.8</v>
      </c>
      <c r="V15" s="72"/>
      <c r="W15" s="72"/>
      <c r="X15" s="72"/>
      <c r="Y15" s="72"/>
      <c r="Z15" s="72"/>
      <c r="AA15" s="72"/>
      <c r="AB15" s="92">
        <f t="shared" si="2"/>
        <v>0</v>
      </c>
      <c r="AC15" s="92">
        <f>R15+IFERROR(VLOOKUP($E:$E,'（居民）工资表-1月'!$E:$AC,25,0),0)</f>
        <v>0</v>
      </c>
      <c r="AD15" s="95">
        <f t="shared" si="3"/>
        <v>2082.15</v>
      </c>
      <c r="AE15" s="96">
        <f>ROUND(MAX((AD15)*{0.03;0.1;0.2;0.25;0.3;0.35;0.45}-{0;2520;16920;31920;52920;85920;181920},0),2)</f>
        <v>62.46</v>
      </c>
      <c r="AF15" s="97">
        <f>IFERROR(VLOOKUP(E:E,'（居民）工资表-1月'!E:AF,28,0)+VLOOKUP(E:E,'（居民）工资表-1月'!E:AG,29,0),0)</f>
        <v>0</v>
      </c>
      <c r="AG15" s="97">
        <f t="shared" si="4"/>
        <v>62.46</v>
      </c>
      <c r="AH15" s="104">
        <f t="shared" si="5"/>
        <v>7019.69</v>
      </c>
      <c r="AI15" s="105"/>
      <c r="AJ15" s="104">
        <f t="shared" si="6"/>
        <v>7019.69</v>
      </c>
      <c r="AK15" s="106"/>
      <c r="AL15" s="104">
        <f t="shared" si="7"/>
        <v>7082.15</v>
      </c>
      <c r="AM15" s="106"/>
      <c r="AN15" s="106"/>
      <c r="AO15" s="106"/>
      <c r="AP15" s="106"/>
      <c r="AQ15" s="106"/>
      <c r="AR15" s="113" t="str">
        <f t="shared" si="8"/>
        <v>正确</v>
      </c>
      <c r="AS15" s="113" t="str">
        <f t="shared" si="9"/>
        <v>不</v>
      </c>
      <c r="AT15" s="113" t="str">
        <f t="shared" si="10"/>
        <v>重复</v>
      </c>
    </row>
    <row r="16" s="12" customFormat="1" ht="18" customHeight="1" spans="1:46">
      <c r="A16" s="36">
        <v>13</v>
      </c>
      <c r="B16" s="37" t="s">
        <v>127</v>
      </c>
      <c r="C16" s="37" t="s">
        <v>171</v>
      </c>
      <c r="D16" s="37" t="s">
        <v>129</v>
      </c>
      <c r="E16" s="313" t="s">
        <v>172</v>
      </c>
      <c r="F16" s="38" t="str">
        <f t="shared" si="0"/>
        <v>女</v>
      </c>
      <c r="G16" s="39">
        <v>18935711299</v>
      </c>
      <c r="H16" s="40"/>
      <c r="I16" s="40"/>
      <c r="J16" s="115"/>
      <c r="K16" s="40"/>
      <c r="L16" s="72">
        <v>10000</v>
      </c>
      <c r="M16" s="73">
        <v>428.8</v>
      </c>
      <c r="N16" s="73">
        <v>110.2</v>
      </c>
      <c r="O16" s="73">
        <v>26.8</v>
      </c>
      <c r="P16" s="73">
        <v>444</v>
      </c>
      <c r="Q16" s="91">
        <f t="shared" si="1"/>
        <v>1009.8</v>
      </c>
      <c r="R16" s="72">
        <v>0</v>
      </c>
      <c r="S16" s="92">
        <f>L16+IFERROR(VLOOKUP($E:$E,'（居民）工资表-1月'!$E:$S,15,0),0)</f>
        <v>10000</v>
      </c>
      <c r="T16" s="93">
        <f>5000+IFERROR(VLOOKUP($E:$E,'（居民）工资表-1月'!$E:$T,16,0),0)</f>
        <v>5000</v>
      </c>
      <c r="U16" s="93">
        <f>Q16+IFERROR(VLOOKUP($E:$E,'（居民）工资表-1月'!$E:$U,17,0),0)</f>
        <v>1009.8</v>
      </c>
      <c r="V16" s="72"/>
      <c r="W16" s="72"/>
      <c r="X16" s="72"/>
      <c r="Y16" s="72"/>
      <c r="Z16" s="72"/>
      <c r="AA16" s="72"/>
      <c r="AB16" s="92">
        <f t="shared" si="2"/>
        <v>0</v>
      </c>
      <c r="AC16" s="92">
        <f>R16+IFERROR(VLOOKUP($E:$E,'（居民）工资表-1月'!$E:$AC,25,0),0)</f>
        <v>0</v>
      </c>
      <c r="AD16" s="95">
        <f t="shared" si="3"/>
        <v>3990.2</v>
      </c>
      <c r="AE16" s="96">
        <f>ROUND(MAX((AD16)*{0.03;0.1;0.2;0.25;0.3;0.35;0.45}-{0;2520;16920;31920;52920;85920;181920},0),2)</f>
        <v>119.71</v>
      </c>
      <c r="AF16" s="97">
        <f>IFERROR(VLOOKUP(E:E,'（居民）工资表-1月'!E:AF,28,0)+VLOOKUP(E:E,'（居民）工资表-1月'!E:AG,29,0),0)</f>
        <v>0</v>
      </c>
      <c r="AG16" s="97">
        <f t="shared" si="4"/>
        <v>119.71</v>
      </c>
      <c r="AH16" s="104">
        <f t="shared" si="5"/>
        <v>8870.49</v>
      </c>
      <c r="AI16" s="105"/>
      <c r="AJ16" s="104">
        <f t="shared" si="6"/>
        <v>8870.49</v>
      </c>
      <c r="AK16" s="106"/>
      <c r="AL16" s="104">
        <f t="shared" si="7"/>
        <v>8990.2</v>
      </c>
      <c r="AM16" s="106"/>
      <c r="AN16" s="106"/>
      <c r="AO16" s="106"/>
      <c r="AP16" s="106"/>
      <c r="AQ16" s="106"/>
      <c r="AR16" s="113" t="str">
        <f t="shared" si="8"/>
        <v>正确</v>
      </c>
      <c r="AS16" s="113" t="str">
        <f t="shared" si="9"/>
        <v>不</v>
      </c>
      <c r="AT16" s="113" t="str">
        <f t="shared" si="10"/>
        <v>重复</v>
      </c>
    </row>
    <row r="17" s="13" customFormat="1" ht="18" customHeight="1" spans="1:46">
      <c r="A17" s="43"/>
      <c r="B17" s="44" t="s">
        <v>155</v>
      </c>
      <c r="C17" s="44"/>
      <c r="D17" s="45"/>
      <c r="E17" s="46"/>
      <c r="F17" s="47"/>
      <c r="G17" s="48"/>
      <c r="H17" s="47"/>
      <c r="I17" s="74"/>
      <c r="J17" s="75"/>
      <c r="K17" s="74"/>
      <c r="L17" s="76">
        <f t="shared" ref="L17:AL17" si="11">SUM(L4:L16)</f>
        <v>138246.781609195</v>
      </c>
      <c r="M17" s="76">
        <f t="shared" si="11"/>
        <v>5574.4</v>
      </c>
      <c r="N17" s="76">
        <f t="shared" si="11"/>
        <v>1432.6</v>
      </c>
      <c r="O17" s="76">
        <f t="shared" si="11"/>
        <v>348.4</v>
      </c>
      <c r="P17" s="76">
        <f t="shared" si="11"/>
        <v>5928</v>
      </c>
      <c r="Q17" s="76">
        <f t="shared" si="11"/>
        <v>13283.4</v>
      </c>
      <c r="R17" s="76">
        <f t="shared" si="11"/>
        <v>0</v>
      </c>
      <c r="S17" s="76">
        <f t="shared" si="11"/>
        <v>238695.057471264</v>
      </c>
      <c r="T17" s="76">
        <f t="shared" si="11"/>
        <v>115000</v>
      </c>
      <c r="U17" s="76">
        <f t="shared" si="11"/>
        <v>22527.6</v>
      </c>
      <c r="V17" s="76">
        <f t="shared" si="11"/>
        <v>0</v>
      </c>
      <c r="W17" s="76">
        <f t="shared" si="11"/>
        <v>0</v>
      </c>
      <c r="X17" s="76">
        <f t="shared" si="11"/>
        <v>0</v>
      </c>
      <c r="Y17" s="76">
        <f t="shared" si="11"/>
        <v>0</v>
      </c>
      <c r="Z17" s="76">
        <f t="shared" si="11"/>
        <v>0</v>
      </c>
      <c r="AA17" s="76">
        <f t="shared" si="11"/>
        <v>0</v>
      </c>
      <c r="AB17" s="76">
        <f t="shared" si="11"/>
        <v>0</v>
      </c>
      <c r="AC17" s="76">
        <f t="shared" si="11"/>
        <v>0</v>
      </c>
      <c r="AD17" s="76">
        <f t="shared" si="11"/>
        <v>101167.46</v>
      </c>
      <c r="AE17" s="76">
        <f t="shared" si="11"/>
        <v>3035.02</v>
      </c>
      <c r="AF17" s="76">
        <f t="shared" si="11"/>
        <v>1275.8</v>
      </c>
      <c r="AG17" s="76">
        <f t="shared" si="11"/>
        <v>1759.22</v>
      </c>
      <c r="AH17" s="76">
        <f t="shared" si="11"/>
        <v>123204.15</v>
      </c>
      <c r="AI17" s="107">
        <f t="shared" si="11"/>
        <v>0</v>
      </c>
      <c r="AJ17" s="76">
        <f t="shared" si="11"/>
        <v>123204.15</v>
      </c>
      <c r="AK17" s="76">
        <f t="shared" si="11"/>
        <v>0</v>
      </c>
      <c r="AL17" s="76">
        <f t="shared" si="11"/>
        <v>124963.37</v>
      </c>
      <c r="AM17" s="108"/>
      <c r="AN17" s="108"/>
      <c r="AO17" s="108"/>
      <c r="AP17" s="108"/>
      <c r="AQ17" s="108"/>
      <c r="AR17" s="47"/>
      <c r="AS17" s="47"/>
      <c r="AT17" s="114"/>
    </row>
    <row r="20" spans="30:30">
      <c r="AD20" s="98"/>
    </row>
    <row r="21" ht="18.75" customHeight="1" spans="2:30">
      <c r="B21" s="49" t="s">
        <v>108</v>
      </c>
      <c r="C21" s="49" t="s">
        <v>156</v>
      </c>
      <c r="D21" s="49" t="s">
        <v>58</v>
      </c>
      <c r="E21" s="49" t="s">
        <v>59</v>
      </c>
      <c r="AD21" s="10"/>
    </row>
    <row r="22" ht="18.75" customHeight="1" spans="2:5">
      <c r="B22" s="50">
        <f>AJ17</f>
        <v>123204.15</v>
      </c>
      <c r="C22" s="50">
        <f>AG17</f>
        <v>1759.22</v>
      </c>
      <c r="D22" s="50">
        <f>AK17</f>
        <v>0</v>
      </c>
      <c r="E22" s="50">
        <f>B22+C22+D22</f>
        <v>124963.37</v>
      </c>
    </row>
    <row r="23" spans="2:5">
      <c r="B23" s="51"/>
      <c r="C23" s="51"/>
      <c r="D23" s="51"/>
      <c r="E23" s="51"/>
    </row>
    <row r="24" s="14" customFormat="1" spans="1:35">
      <c r="A24" s="52" t="s">
        <v>157</v>
      </c>
      <c r="B24" s="53" t="s">
        <v>158</v>
      </c>
      <c r="C24" s="54"/>
      <c r="D24" s="54"/>
      <c r="E24" s="54"/>
      <c r="G24" s="55"/>
      <c r="J24" s="77"/>
      <c r="M24" s="78"/>
      <c r="AI24" s="109"/>
    </row>
    <row r="25" s="14" customFormat="1" spans="1:35">
      <c r="A25" s="56"/>
      <c r="B25" s="57" t="s">
        <v>159</v>
      </c>
      <c r="C25" s="54"/>
      <c r="D25" s="54"/>
      <c r="E25" s="54"/>
      <c r="G25" s="55"/>
      <c r="J25" s="77"/>
      <c r="M25" s="78"/>
      <c r="AI25" s="109"/>
    </row>
    <row r="26" s="14" customFormat="1" spans="1:35">
      <c r="A26" s="53"/>
      <c r="B26" s="57" t="s">
        <v>160</v>
      </c>
      <c r="C26" s="58"/>
      <c r="D26" s="58"/>
      <c r="E26" s="58"/>
      <c r="F26" s="58"/>
      <c r="G26" s="58"/>
      <c r="H26" s="58"/>
      <c r="I26" s="58"/>
      <c r="J26" s="79"/>
      <c r="K26" s="58"/>
      <c r="L26" s="58"/>
      <c r="M26" s="80"/>
      <c r="N26" s="58"/>
      <c r="O26" s="58"/>
      <c r="P26" s="58"/>
      <c r="AI26" s="109"/>
    </row>
    <row r="27" s="14" customFormat="1" customHeight="1" spans="1:35">
      <c r="A27" s="57"/>
      <c r="B27" s="57" t="s">
        <v>161</v>
      </c>
      <c r="C27" s="59"/>
      <c r="D27" s="59"/>
      <c r="E27" s="59"/>
      <c r="F27" s="59"/>
      <c r="G27" s="59"/>
      <c r="H27" s="59"/>
      <c r="I27" s="81"/>
      <c r="J27" s="82"/>
      <c r="K27" s="81"/>
      <c r="L27" s="81"/>
      <c r="M27" s="83"/>
      <c r="N27" s="81"/>
      <c r="O27" s="81"/>
      <c r="P27" s="81"/>
      <c r="AI27" s="109"/>
    </row>
    <row r="28" s="14" customFormat="1" customHeight="1" spans="1:35">
      <c r="A28" s="57"/>
      <c r="B28" s="57" t="s">
        <v>162</v>
      </c>
      <c r="C28" s="59"/>
      <c r="D28" s="59"/>
      <c r="E28" s="59"/>
      <c r="F28" s="59"/>
      <c r="G28" s="59"/>
      <c r="H28" s="59"/>
      <c r="I28" s="59"/>
      <c r="J28" s="84"/>
      <c r="K28" s="59"/>
      <c r="L28" s="81"/>
      <c r="M28" s="83"/>
      <c r="N28" s="81"/>
      <c r="O28" s="81"/>
      <c r="P28" s="81"/>
      <c r="AI28" s="109"/>
    </row>
    <row r="29" s="14" customFormat="1" customHeight="1" spans="1:35">
      <c r="A29" s="57"/>
      <c r="B29" s="57" t="s">
        <v>163</v>
      </c>
      <c r="C29" s="59"/>
      <c r="D29" s="59"/>
      <c r="E29" s="59"/>
      <c r="F29" s="59"/>
      <c r="G29" s="59"/>
      <c r="H29" s="59"/>
      <c r="I29" s="81"/>
      <c r="J29" s="82"/>
      <c r="K29" s="81"/>
      <c r="L29" s="81"/>
      <c r="M29" s="83"/>
      <c r="N29" s="81"/>
      <c r="O29" s="81"/>
      <c r="P29" s="81"/>
      <c r="AI29" s="109"/>
    </row>
    <row r="31" ht="11.25" customHeight="1" spans="2:2">
      <c r="B31" s="60" t="s">
        <v>164</v>
      </c>
    </row>
    <row r="32" spans="2:2">
      <c r="B32" s="61" t="s">
        <v>165</v>
      </c>
    </row>
    <row r="33" spans="2:2">
      <c r="B33" s="61" t="s">
        <v>166</v>
      </c>
    </row>
  </sheetData>
  <autoFilter ref="A3:AT1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9">
    <cfRule type="duplicateValues" dxfId="2" priority="2" stopIfTrue="1"/>
  </conditionalFormatting>
  <conditionalFormatting sqref="B24:B28">
    <cfRule type="duplicateValues" dxfId="2" priority="3" stopIfTrue="1"/>
  </conditionalFormatting>
  <conditionalFormatting sqref="B32:B33">
    <cfRule type="duplicateValues" dxfId="2" priority="1" stopIfTrue="1"/>
  </conditionalFormatting>
  <conditionalFormatting sqref="C21:C23">
    <cfRule type="duplicateValues" dxfId="2" priority="4" stopIfTrue="1"/>
    <cfRule type="expression" dxfId="3" priority="5" stopIfTrue="1">
      <formula>AND(COUNTIF($B$17:$B$65453,C21)+COUNTIF($B$1:$B$3,C21)&gt;1,NOT(ISBLANK(C21)))</formula>
    </cfRule>
    <cfRule type="expression" dxfId="3" priority="6" stopIfTrue="1">
      <formula>AND(COUNTIF($B$28:$B$65404,C21)+COUNTIF($B$1:$B$27,C21)&gt;1,NOT(ISBLANK(C21)))</formula>
    </cfRule>
    <cfRule type="expression" dxfId="3" priority="7" stopIfTrue="1">
      <formula>AND(COUNTIF($B$17:$B$65442,C21)+COUNTIF($B$1:$B$3,C21)&gt;1,NOT(ISBLANK(C21)))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C18" sqref="C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80</v>
      </c>
      <c r="B1" s="21"/>
      <c r="C1" s="22"/>
      <c r="D1" s="23"/>
      <c r="E1" s="24"/>
      <c r="F1" s="24"/>
      <c r="G1" s="25"/>
      <c r="J1" s="62"/>
      <c r="L1" s="63"/>
      <c r="M1" s="64" t="s">
        <v>81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82</v>
      </c>
      <c r="C2" s="28" t="s">
        <v>83</v>
      </c>
      <c r="D2" s="28" t="s">
        <v>84</v>
      </c>
      <c r="E2" s="29" t="s">
        <v>85</v>
      </c>
      <c r="F2" s="30" t="s">
        <v>86</v>
      </c>
      <c r="G2" s="29" t="s">
        <v>87</v>
      </c>
      <c r="H2" s="29" t="s">
        <v>88</v>
      </c>
      <c r="I2" s="29" t="s">
        <v>89</v>
      </c>
      <c r="J2" s="65" t="s">
        <v>90</v>
      </c>
      <c r="K2" s="29" t="s">
        <v>91</v>
      </c>
      <c r="L2" s="29" t="s">
        <v>92</v>
      </c>
      <c r="M2" s="66" t="s">
        <v>93</v>
      </c>
      <c r="N2" s="67"/>
      <c r="O2" s="67"/>
      <c r="P2" s="68"/>
      <c r="Q2" s="30" t="s">
        <v>94</v>
      </c>
      <c r="R2" s="29" t="s">
        <v>95</v>
      </c>
      <c r="S2" s="30" t="s">
        <v>96</v>
      </c>
      <c r="T2" s="86" t="s">
        <v>97</v>
      </c>
      <c r="U2" s="30" t="s">
        <v>98</v>
      </c>
      <c r="V2" s="87" t="s">
        <v>99</v>
      </c>
      <c r="W2" s="88"/>
      <c r="X2" s="88"/>
      <c r="Y2" s="88"/>
      <c r="Z2" s="88"/>
      <c r="AA2" s="94"/>
      <c r="AB2" s="30" t="s">
        <v>100</v>
      </c>
      <c r="AC2" s="30" t="s">
        <v>101</v>
      </c>
      <c r="AD2" s="86" t="s">
        <v>102</v>
      </c>
      <c r="AE2" s="86" t="s">
        <v>103</v>
      </c>
      <c r="AF2" s="86" t="s">
        <v>104</v>
      </c>
      <c r="AG2" s="86" t="s">
        <v>105</v>
      </c>
      <c r="AH2" s="100" t="s">
        <v>106</v>
      </c>
      <c r="AI2" s="101" t="s">
        <v>107</v>
      </c>
      <c r="AJ2" s="100" t="s">
        <v>108</v>
      </c>
      <c r="AK2" s="28" t="s">
        <v>58</v>
      </c>
      <c r="AL2" s="100" t="s">
        <v>109</v>
      </c>
      <c r="AM2" s="29" t="s">
        <v>110</v>
      </c>
      <c r="AN2" s="29" t="s">
        <v>111</v>
      </c>
      <c r="AO2" s="111" t="s">
        <v>112</v>
      </c>
      <c r="AP2" s="29" t="s">
        <v>113</v>
      </c>
      <c r="AQ2" s="29" t="s">
        <v>114</v>
      </c>
      <c r="AR2" s="30" t="s">
        <v>115</v>
      </c>
      <c r="AS2" s="30" t="s">
        <v>116</v>
      </c>
      <c r="AT2" s="30" t="s">
        <v>117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118</v>
      </c>
      <c r="N3" s="70" t="s">
        <v>119</v>
      </c>
      <c r="O3" s="70" t="s">
        <v>120</v>
      </c>
      <c r="P3" s="70" t="s">
        <v>71</v>
      </c>
      <c r="Q3" s="35"/>
      <c r="R3" s="34"/>
      <c r="S3" s="35"/>
      <c r="T3" s="89"/>
      <c r="U3" s="35"/>
      <c r="V3" s="90" t="s">
        <v>121</v>
      </c>
      <c r="W3" s="90" t="s">
        <v>122</v>
      </c>
      <c r="X3" s="90" t="s">
        <v>123</v>
      </c>
      <c r="Y3" s="90" t="s">
        <v>124</v>
      </c>
      <c r="Z3" s="90" t="s">
        <v>125</v>
      </c>
      <c r="AA3" s="90" t="s">
        <v>126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127</v>
      </c>
      <c r="C4" s="37" t="s">
        <v>128</v>
      </c>
      <c r="D4" s="37" t="s">
        <v>129</v>
      </c>
      <c r="E4" s="37" t="s">
        <v>130</v>
      </c>
      <c r="F4" s="38" t="str">
        <f t="shared" ref="F4:F19" si="0">IF(MOD(MID(E4,17,1),2)=1,"男","女")</f>
        <v>女</v>
      </c>
      <c r="G4" s="39">
        <v>19801207903</v>
      </c>
      <c r="H4" s="40"/>
      <c r="I4" s="40"/>
      <c r="J4" s="115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L4+IFERROR(VLOOKUP($E:$E,'（居民）工资表-2月'!$E:$S,15,0),0)</f>
        <v>33000</v>
      </c>
      <c r="T4" s="93">
        <f>5000+IFERROR(VLOOKUP($E:$E,'（居民）工资表-2月'!$E:$T,16,0),0)</f>
        <v>15000</v>
      </c>
      <c r="U4" s="93">
        <f>Q4+IFERROR(VLOOKUP($E:$E,'（居民）工资表-2月'!$E:$U,17,0),0)</f>
        <v>3029.4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R4+IFERROR(VLOOKUP($E:$E,'（居民）工资表-2月'!$E:$AC,25,0),0)</f>
        <v>0</v>
      </c>
      <c r="AD4" s="95">
        <f>ROUND(S4-T4-U4-AB4-AC4,2)</f>
        <v>14970.6</v>
      </c>
      <c r="AE4" s="96">
        <f>ROUND(MAX((AD4)*{0.03;0.1;0.2;0.25;0.3;0.35;0.45}-{0;2520;16920;31920;52920;85920;181920},0),2)</f>
        <v>449.12</v>
      </c>
      <c r="AF4" s="97">
        <f>IFERROR(VLOOKUP(E:E,'（居民）工资表-2月'!E:AF,28,0)+VLOOKUP(E:E,'（居民）工资表-2月'!E:AG,29,0),0)</f>
        <v>299.41</v>
      </c>
      <c r="AG4" s="97">
        <f>IF((AE4-AF4)&lt;0,0,AE4-AF4)</f>
        <v>149.71</v>
      </c>
      <c r="AH4" s="104">
        <f>ROUND(IF((L4-Q4-AG4)&lt;0,0,(L4-Q4-AG4)),2)</f>
        <v>9840.49</v>
      </c>
      <c r="AI4" s="105"/>
      <c r="AJ4" s="104">
        <f>AH4+AI4</f>
        <v>9840.49</v>
      </c>
      <c r="AK4" s="106"/>
      <c r="AL4" s="104">
        <f>AJ4+AG4+AK4</f>
        <v>9990.2</v>
      </c>
      <c r="AM4" s="106"/>
      <c r="AN4" s="106"/>
      <c r="AO4" s="106"/>
      <c r="AP4" s="106"/>
      <c r="AQ4" s="106"/>
      <c r="AR4" s="113" t="str">
        <f t="shared" ref="AR4:AR19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6" si="2">IF(SUMPRODUCT(N(E$1:E$16=E4))&gt;1,"重复","不")</f>
        <v>不</v>
      </c>
      <c r="AT4" s="113" t="str">
        <f t="shared" ref="AT4:AT16" si="3">IF(SUMPRODUCT(N(AO$1:AO$16=AO4))&gt;1,"重复","不")</f>
        <v>重复</v>
      </c>
    </row>
    <row r="5" s="12" customFormat="1" ht="18" customHeight="1" spans="1:46">
      <c r="A5" s="36">
        <v>2</v>
      </c>
      <c r="B5" s="37" t="s">
        <v>127</v>
      </c>
      <c r="C5" s="37" t="s">
        <v>131</v>
      </c>
      <c r="D5" s="37" t="s">
        <v>129</v>
      </c>
      <c r="E5" s="37" t="s">
        <v>132</v>
      </c>
      <c r="F5" s="38" t="str">
        <f t="shared" si="0"/>
        <v>男</v>
      </c>
      <c r="G5" s="39">
        <v>13288877699</v>
      </c>
      <c r="H5" s="40"/>
      <c r="I5" s="40"/>
      <c r="J5" s="115"/>
      <c r="K5" s="40"/>
      <c r="L5" s="72">
        <v>11030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19" si="4">ROUND(SUM(M5:P5),2)</f>
        <v>1009.8</v>
      </c>
      <c r="R5" s="72">
        <v>0</v>
      </c>
      <c r="S5" s="92">
        <f>L5+IFERROR(VLOOKUP($E:$E,'（居民）工资表-2月'!$E:$S,15,0),0)</f>
        <v>33030</v>
      </c>
      <c r="T5" s="93">
        <f>5000+IFERROR(VLOOKUP($E:$E,'（居民）工资表-2月'!$E:$T,16,0),0)</f>
        <v>15000</v>
      </c>
      <c r="U5" s="93">
        <f>Q5+IFERROR(VLOOKUP($E:$E,'（居民）工资表-2月'!$E:$U,17,0),0)</f>
        <v>3029.4</v>
      </c>
      <c r="V5" s="72"/>
      <c r="W5" s="72"/>
      <c r="X5" s="72"/>
      <c r="Y5" s="72"/>
      <c r="Z5" s="72"/>
      <c r="AA5" s="72"/>
      <c r="AB5" s="92">
        <f t="shared" ref="AB5:AB19" si="5">ROUND(SUM(V5:AA5),2)</f>
        <v>0</v>
      </c>
      <c r="AC5" s="92">
        <f>R5+IFERROR(VLOOKUP($E:$E,'（居民）工资表-2月'!$E:$AC,25,0),0)</f>
        <v>0</v>
      </c>
      <c r="AD5" s="95">
        <f t="shared" ref="AD5:AD19" si="6">ROUND(S5-T5-U5-AB5-AC5,2)</f>
        <v>15000.6</v>
      </c>
      <c r="AE5" s="96">
        <f>ROUND(MAX((AD5)*{0.03;0.1;0.2;0.25;0.3;0.35;0.45}-{0;2520;16920;31920;52920;85920;181920},0),2)</f>
        <v>450.02</v>
      </c>
      <c r="AF5" s="97">
        <f>IFERROR(VLOOKUP(E:E,'（居民）工资表-2月'!E:AF,28,0)+VLOOKUP(E:E,'（居民）工资表-2月'!E:AG,29,0),0)</f>
        <v>299.41</v>
      </c>
      <c r="AG5" s="97">
        <f t="shared" ref="AG5:AG19" si="7">IF((AE5-AF5)&lt;0,0,AE5-AF5)</f>
        <v>150.61</v>
      </c>
      <c r="AH5" s="104">
        <f t="shared" ref="AH5:AH19" si="8">ROUND(IF((L5-Q5-AG5)&lt;0,0,(L5-Q5-AG5)),2)</f>
        <v>9869.59</v>
      </c>
      <c r="AI5" s="105"/>
      <c r="AJ5" s="104">
        <f t="shared" ref="AJ5:AJ19" si="9">AH5+AI5</f>
        <v>9869.59</v>
      </c>
      <c r="AK5" s="106"/>
      <c r="AL5" s="104">
        <f t="shared" ref="AL5:AL19" si="10">AJ5+AG5+AK5</f>
        <v>10020.2</v>
      </c>
      <c r="AM5" s="106"/>
      <c r="AN5" s="106"/>
      <c r="AO5" s="106"/>
      <c r="AP5" s="106"/>
      <c r="AQ5" s="106"/>
      <c r="AR5" s="113" t="str">
        <f t="shared" si="1"/>
        <v>正确</v>
      </c>
      <c r="AS5" s="113" t="str">
        <f t="shared" si="2"/>
        <v>不</v>
      </c>
      <c r="AT5" s="113" t="str">
        <f t="shared" si="3"/>
        <v>重复</v>
      </c>
    </row>
    <row r="6" s="12" customFormat="1" ht="18" customHeight="1" spans="1:46">
      <c r="A6" s="36">
        <v>3</v>
      </c>
      <c r="B6" s="37" t="s">
        <v>127</v>
      </c>
      <c r="C6" s="37" t="s">
        <v>133</v>
      </c>
      <c r="D6" s="37" t="s">
        <v>129</v>
      </c>
      <c r="E6" s="37" t="s">
        <v>134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11448.275862069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4"/>
        <v>1009.8</v>
      </c>
      <c r="R6" s="72">
        <v>0</v>
      </c>
      <c r="S6" s="92">
        <f>L6+IFERROR(VLOOKUP($E:$E,'（居民）工资表-2月'!$E:$S,15,0),0)</f>
        <v>35448.275862069</v>
      </c>
      <c r="T6" s="93">
        <f>5000+IFERROR(VLOOKUP($E:$E,'（居民）工资表-2月'!$E:$T,16,0),0)</f>
        <v>15000</v>
      </c>
      <c r="U6" s="93">
        <f>Q6+IFERROR(VLOOKUP($E:$E,'（居民）工资表-2月'!$E:$U,17,0),0)</f>
        <v>3029.4</v>
      </c>
      <c r="V6" s="72"/>
      <c r="W6" s="72"/>
      <c r="X6" s="72"/>
      <c r="Y6" s="72"/>
      <c r="Z6" s="72"/>
      <c r="AA6" s="72"/>
      <c r="AB6" s="92">
        <f t="shared" si="5"/>
        <v>0</v>
      </c>
      <c r="AC6" s="92">
        <f>R6+IFERROR(VLOOKUP($E:$E,'（居民）工资表-2月'!$E:$AC,25,0),0)</f>
        <v>0</v>
      </c>
      <c r="AD6" s="95">
        <f t="shared" si="6"/>
        <v>17418.88</v>
      </c>
      <c r="AE6" s="96">
        <f>ROUND(MAX((AD6)*{0.03;0.1;0.2;0.25;0.3;0.35;0.45}-{0;2520;16920;31920;52920;85920;181920},0),2)</f>
        <v>522.57</v>
      </c>
      <c r="AF6" s="97">
        <f>IFERROR(VLOOKUP(E:E,'（居民）工资表-2月'!E:AF,28,0)+VLOOKUP(E:E,'（居民）工资表-2月'!E:AG,29,0),0)</f>
        <v>359.41</v>
      </c>
      <c r="AG6" s="97">
        <f t="shared" si="7"/>
        <v>163.16</v>
      </c>
      <c r="AH6" s="104">
        <f t="shared" si="8"/>
        <v>10275.32</v>
      </c>
      <c r="AI6" s="105"/>
      <c r="AJ6" s="104">
        <f t="shared" si="9"/>
        <v>10275.32</v>
      </c>
      <c r="AK6" s="106"/>
      <c r="AL6" s="104">
        <f t="shared" si="10"/>
        <v>10438.48</v>
      </c>
      <c r="AM6" s="106"/>
      <c r="AN6" s="106"/>
      <c r="AO6" s="106"/>
      <c r="AP6" s="106"/>
      <c r="AQ6" s="106"/>
      <c r="AR6" s="113" t="str">
        <f t="shared" si="1"/>
        <v>正确</v>
      </c>
      <c r="AS6" s="113" t="str">
        <f t="shared" si="2"/>
        <v>不</v>
      </c>
      <c r="AT6" s="113" t="str">
        <f t="shared" si="3"/>
        <v>重复</v>
      </c>
    </row>
    <row r="7" s="12" customFormat="1" ht="18" customHeight="1" spans="1:46">
      <c r="A7" s="36">
        <v>4</v>
      </c>
      <c r="B7" s="37" t="s">
        <v>127</v>
      </c>
      <c r="C7" s="37" t="s">
        <v>139</v>
      </c>
      <c r="D7" s="37" t="s">
        <v>129</v>
      </c>
      <c r="E7" s="37" t="s">
        <v>140</v>
      </c>
      <c r="F7" s="38" t="str">
        <f t="shared" si="0"/>
        <v>男</v>
      </c>
      <c r="G7" s="39">
        <v>15652649555</v>
      </c>
      <c r="H7" s="40"/>
      <c r="I7" s="40"/>
      <c r="J7" s="115"/>
      <c r="K7" s="40"/>
      <c r="L7" s="72">
        <v>11505.7471264368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4"/>
        <v>1009.8</v>
      </c>
      <c r="R7" s="72">
        <v>0</v>
      </c>
      <c r="S7" s="92">
        <f>L7+IFERROR(VLOOKUP($E:$E,'（居民）工资表-2月'!$E:$S,15,0),0)</f>
        <v>31505.7471264368</v>
      </c>
      <c r="T7" s="93">
        <f>5000+IFERROR(VLOOKUP($E:$E,'（居民）工资表-2月'!$E:$T,16,0),0)</f>
        <v>15000</v>
      </c>
      <c r="U7" s="93">
        <f>Q7+IFERROR(VLOOKUP($E:$E,'（居民）工资表-2月'!$E:$U,17,0),0)</f>
        <v>3029.4</v>
      </c>
      <c r="V7" s="72"/>
      <c r="W7" s="72"/>
      <c r="X7" s="72"/>
      <c r="Y7" s="72"/>
      <c r="Z7" s="72"/>
      <c r="AA7" s="72"/>
      <c r="AB7" s="92">
        <f t="shared" si="5"/>
        <v>0</v>
      </c>
      <c r="AC7" s="92">
        <f>R7+IFERROR(VLOOKUP($E:$E,'（居民）工资表-2月'!$E:$AC,25,0),0)</f>
        <v>0</v>
      </c>
      <c r="AD7" s="95">
        <f t="shared" si="6"/>
        <v>13476.35</v>
      </c>
      <c r="AE7" s="96">
        <f>ROUND(MAX((AD7)*{0.03;0.1;0.2;0.25;0.3;0.35;0.45}-{0;2520;16920;31920;52920;85920;181920},0),2)</f>
        <v>404.29</v>
      </c>
      <c r="AF7" s="97">
        <f>IFERROR(VLOOKUP(E:E,'（居民）工资表-2月'!E:AF,28,0)+VLOOKUP(E:E,'（居民）工资表-2月'!E:AG,29,0),0)</f>
        <v>239.41</v>
      </c>
      <c r="AG7" s="97">
        <f t="shared" si="7"/>
        <v>164.88</v>
      </c>
      <c r="AH7" s="104">
        <f t="shared" si="8"/>
        <v>10331.07</v>
      </c>
      <c r="AI7" s="105"/>
      <c r="AJ7" s="104">
        <f t="shared" si="9"/>
        <v>10331.07</v>
      </c>
      <c r="AK7" s="106"/>
      <c r="AL7" s="104">
        <f t="shared" si="10"/>
        <v>10495.95</v>
      </c>
      <c r="AM7" s="106"/>
      <c r="AN7" s="106"/>
      <c r="AO7" s="106"/>
      <c r="AP7" s="106"/>
      <c r="AQ7" s="106"/>
      <c r="AR7" s="113" t="str">
        <f t="shared" si="1"/>
        <v>正确</v>
      </c>
      <c r="AS7" s="113" t="str">
        <f t="shared" si="2"/>
        <v>不</v>
      </c>
      <c r="AT7" s="113" t="str">
        <f t="shared" si="3"/>
        <v>重复</v>
      </c>
    </row>
    <row r="8" s="12" customFormat="1" ht="18" customHeight="1" spans="1:46">
      <c r="A8" s="36">
        <v>5</v>
      </c>
      <c r="B8" s="37" t="s">
        <v>127</v>
      </c>
      <c r="C8" s="37" t="s">
        <v>141</v>
      </c>
      <c r="D8" s="37" t="s">
        <v>129</v>
      </c>
      <c r="E8" s="313" t="s">
        <v>142</v>
      </c>
      <c r="F8" s="38" t="str">
        <f t="shared" si="0"/>
        <v>男</v>
      </c>
      <c r="G8" s="39">
        <v>17611149839</v>
      </c>
      <c r="H8" s="40"/>
      <c r="I8" s="40"/>
      <c r="J8" s="115"/>
      <c r="K8" s="40"/>
      <c r="L8" s="72">
        <v>10614.2528735632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4"/>
        <v>1009.8</v>
      </c>
      <c r="R8" s="72">
        <v>0</v>
      </c>
      <c r="S8" s="92">
        <f>L8+IFERROR(VLOOKUP($E:$E,'（居民）工资表-2月'!$E:$S,15,0),0)</f>
        <v>28614.2528735632</v>
      </c>
      <c r="T8" s="93">
        <f>5000+IFERROR(VLOOKUP($E:$E,'（居民）工资表-2月'!$E:$T,16,0),0)</f>
        <v>15000</v>
      </c>
      <c r="U8" s="93">
        <f>Q8+IFERROR(VLOOKUP($E:$E,'（居民）工资表-2月'!$E:$U,17,0),0)</f>
        <v>3029.4</v>
      </c>
      <c r="V8" s="72"/>
      <c r="W8" s="72"/>
      <c r="X8" s="72"/>
      <c r="Y8" s="72"/>
      <c r="Z8" s="72"/>
      <c r="AA8" s="72"/>
      <c r="AB8" s="92">
        <f t="shared" si="5"/>
        <v>0</v>
      </c>
      <c r="AC8" s="92">
        <f>R8+IFERROR(VLOOKUP($E:$E,'（居民）工资表-2月'!$E:$AC,25,0),0)</f>
        <v>0</v>
      </c>
      <c r="AD8" s="95">
        <f t="shared" si="6"/>
        <v>10584.85</v>
      </c>
      <c r="AE8" s="96">
        <f>ROUND(MAX((AD8)*{0.03;0.1;0.2;0.25;0.3;0.35;0.45}-{0;2520;16920;31920;52920;85920;181920},0),2)</f>
        <v>317.55</v>
      </c>
      <c r="AF8" s="97">
        <f>IFERROR(VLOOKUP(E:E,'（居民）工资表-2月'!E:AF,28,0)+VLOOKUP(E:E,'（居民）工资表-2月'!E:AG,29,0),0)</f>
        <v>179.41</v>
      </c>
      <c r="AG8" s="97">
        <f t="shared" si="7"/>
        <v>138.14</v>
      </c>
      <c r="AH8" s="104">
        <f t="shared" si="8"/>
        <v>9466.31</v>
      </c>
      <c r="AI8" s="105"/>
      <c r="AJ8" s="104">
        <f t="shared" si="9"/>
        <v>9466.31</v>
      </c>
      <c r="AK8" s="106"/>
      <c r="AL8" s="104">
        <f t="shared" si="10"/>
        <v>9604.45</v>
      </c>
      <c r="AM8" s="106"/>
      <c r="AN8" s="106"/>
      <c r="AO8" s="106"/>
      <c r="AP8" s="106"/>
      <c r="AQ8" s="106"/>
      <c r="AR8" s="113" t="str">
        <f t="shared" si="1"/>
        <v>正确</v>
      </c>
      <c r="AS8" s="113" t="str">
        <f t="shared" si="2"/>
        <v>不</v>
      </c>
      <c r="AT8" s="113" t="str">
        <f t="shared" si="3"/>
        <v>重复</v>
      </c>
    </row>
    <row r="9" s="12" customFormat="1" ht="18" customHeight="1" spans="1:46">
      <c r="A9" s="36">
        <v>6</v>
      </c>
      <c r="B9" s="37" t="s">
        <v>127</v>
      </c>
      <c r="C9" s="37" t="s">
        <v>143</v>
      </c>
      <c r="D9" s="37" t="s">
        <v>129</v>
      </c>
      <c r="E9" s="313" t="s">
        <v>144</v>
      </c>
      <c r="F9" s="38" t="str">
        <f t="shared" si="0"/>
        <v>男</v>
      </c>
      <c r="G9" s="39">
        <v>13596154643</v>
      </c>
      <c r="H9" s="40"/>
      <c r="I9" s="40"/>
      <c r="J9" s="115"/>
      <c r="K9" s="40"/>
      <c r="L9" s="72">
        <v>11535.7471264368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4"/>
        <v>1009.8</v>
      </c>
      <c r="R9" s="72">
        <v>0</v>
      </c>
      <c r="S9" s="92">
        <f>L9+IFERROR(VLOOKUP($E:$E,'（居民）工资表-2月'!$E:$S,15,0),0)</f>
        <v>31535.7471264368</v>
      </c>
      <c r="T9" s="93">
        <f>5000+IFERROR(VLOOKUP($E:$E,'（居民）工资表-2月'!$E:$T,16,0),0)</f>
        <v>15000</v>
      </c>
      <c r="U9" s="93">
        <f>Q9+IFERROR(VLOOKUP($E:$E,'（居民）工资表-2月'!$E:$U,17,0),0)</f>
        <v>3029.4</v>
      </c>
      <c r="V9" s="72"/>
      <c r="W9" s="72"/>
      <c r="X9" s="72"/>
      <c r="Y9" s="72"/>
      <c r="Z9" s="72"/>
      <c r="AA9" s="72"/>
      <c r="AB9" s="92">
        <f t="shared" si="5"/>
        <v>0</v>
      </c>
      <c r="AC9" s="92">
        <f>R9+IFERROR(VLOOKUP($E:$E,'（居民）工资表-2月'!$E:$AC,25,0),0)</f>
        <v>0</v>
      </c>
      <c r="AD9" s="95">
        <f t="shared" si="6"/>
        <v>13506.35</v>
      </c>
      <c r="AE9" s="96">
        <f>ROUND(MAX((AD9)*{0.03;0.1;0.2;0.25;0.3;0.35;0.45}-{0;2520;16920;31920;52920;85920;181920},0),2)</f>
        <v>405.19</v>
      </c>
      <c r="AF9" s="97">
        <f>IFERROR(VLOOKUP(E:E,'（居民）工资表-2月'!E:AF,28,0)+VLOOKUP(E:E,'（居民）工资表-2月'!E:AG,29,0),0)</f>
        <v>239.41</v>
      </c>
      <c r="AG9" s="97">
        <f t="shared" si="7"/>
        <v>165.78</v>
      </c>
      <c r="AH9" s="104">
        <f t="shared" si="8"/>
        <v>10360.17</v>
      </c>
      <c r="AI9" s="105"/>
      <c r="AJ9" s="104">
        <f t="shared" si="9"/>
        <v>10360.17</v>
      </c>
      <c r="AK9" s="106"/>
      <c r="AL9" s="104">
        <f t="shared" si="10"/>
        <v>10525.95</v>
      </c>
      <c r="AM9" s="106"/>
      <c r="AN9" s="106"/>
      <c r="AO9" s="106"/>
      <c r="AP9" s="106"/>
      <c r="AQ9" s="106"/>
      <c r="AR9" s="113" t="str">
        <f t="shared" si="1"/>
        <v>正确</v>
      </c>
      <c r="AS9" s="113" t="str">
        <f t="shared" si="2"/>
        <v>不</v>
      </c>
      <c r="AT9" s="113" t="str">
        <f t="shared" si="3"/>
        <v>重复</v>
      </c>
    </row>
    <row r="10" s="12" customFormat="1" ht="18" customHeight="1" spans="1:46">
      <c r="A10" s="36">
        <v>7</v>
      </c>
      <c r="B10" s="37" t="s">
        <v>127</v>
      </c>
      <c r="C10" s="37" t="s">
        <v>147</v>
      </c>
      <c r="D10" s="37" t="s">
        <v>129</v>
      </c>
      <c r="E10" s="313" t="s">
        <v>148</v>
      </c>
      <c r="F10" s="38" t="str">
        <f t="shared" si="0"/>
        <v>男</v>
      </c>
      <c r="G10" s="39">
        <v>13626366929</v>
      </c>
      <c r="H10" s="40"/>
      <c r="I10" s="40"/>
      <c r="J10" s="115"/>
      <c r="K10" s="40"/>
      <c r="L10" s="72">
        <v>14850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4"/>
        <v>1009.8</v>
      </c>
      <c r="R10" s="72">
        <v>0</v>
      </c>
      <c r="S10" s="92">
        <f>L10+IFERROR(VLOOKUP($E:$E,'（居民）工资表-2月'!$E:$S,15,0),0)</f>
        <v>45449.6551724138</v>
      </c>
      <c r="T10" s="93">
        <f>5000+IFERROR(VLOOKUP($E:$E,'（居民）工资表-2月'!$E:$T,16,0),0)</f>
        <v>15000</v>
      </c>
      <c r="U10" s="93">
        <f>Q10+IFERROR(VLOOKUP($E:$E,'（居民）工资表-2月'!$E:$U,17,0),0)</f>
        <v>3029.4</v>
      </c>
      <c r="V10" s="72"/>
      <c r="W10" s="72"/>
      <c r="X10" s="72"/>
      <c r="Y10" s="72"/>
      <c r="Z10" s="72"/>
      <c r="AA10" s="72"/>
      <c r="AB10" s="92">
        <f t="shared" si="5"/>
        <v>0</v>
      </c>
      <c r="AC10" s="92">
        <f>R10+IFERROR(VLOOKUP($E:$E,'（居民）工资表-2月'!$E:$AC,25,0),0)</f>
        <v>0</v>
      </c>
      <c r="AD10" s="95">
        <f t="shared" si="6"/>
        <v>27420.26</v>
      </c>
      <c r="AE10" s="96">
        <f>ROUND(MAX((AD10)*{0.03;0.1;0.2;0.25;0.3;0.35;0.45}-{0;2520;16920;31920;52920;85920;181920},0),2)</f>
        <v>822.61</v>
      </c>
      <c r="AF10" s="97">
        <f>IFERROR(VLOOKUP(E:E,'（居民）工资表-2月'!E:AF,28,0)+VLOOKUP(E:E,'（居民）工资表-2月'!E:AG,29,0),0)</f>
        <v>557.4</v>
      </c>
      <c r="AG10" s="97">
        <f t="shared" si="7"/>
        <v>265.21</v>
      </c>
      <c r="AH10" s="104">
        <f t="shared" si="8"/>
        <v>13574.99</v>
      </c>
      <c r="AI10" s="105"/>
      <c r="AJ10" s="104">
        <f t="shared" si="9"/>
        <v>13574.99</v>
      </c>
      <c r="AK10" s="106"/>
      <c r="AL10" s="104">
        <f t="shared" si="10"/>
        <v>13840.2</v>
      </c>
      <c r="AM10" s="106"/>
      <c r="AN10" s="106"/>
      <c r="AO10" s="106"/>
      <c r="AP10" s="106"/>
      <c r="AQ10" s="106"/>
      <c r="AR10" s="113" t="str">
        <f t="shared" si="1"/>
        <v>正确</v>
      </c>
      <c r="AS10" s="113" t="str">
        <f t="shared" si="2"/>
        <v>不</v>
      </c>
      <c r="AT10" s="113" t="str">
        <f t="shared" si="3"/>
        <v>重复</v>
      </c>
    </row>
    <row r="11" s="12" customFormat="1" ht="18" customHeight="1" spans="1:46">
      <c r="A11" s="36">
        <v>8</v>
      </c>
      <c r="B11" s="37" t="s">
        <v>127</v>
      </c>
      <c r="C11" s="37" t="s">
        <v>149</v>
      </c>
      <c r="D11" s="37" t="s">
        <v>129</v>
      </c>
      <c r="E11" s="313" t="s">
        <v>150</v>
      </c>
      <c r="F11" s="38" t="str">
        <f t="shared" si="0"/>
        <v>女</v>
      </c>
      <c r="G11" s="39">
        <v>15201493035</v>
      </c>
      <c r="H11" s="40"/>
      <c r="I11" s="40"/>
      <c r="J11" s="115"/>
      <c r="K11" s="40"/>
      <c r="L11" s="72">
        <v>5107.47126436782</v>
      </c>
      <c r="M11" s="73"/>
      <c r="N11" s="73"/>
      <c r="O11" s="73"/>
      <c r="P11" s="73"/>
      <c r="Q11" s="91">
        <f t="shared" si="4"/>
        <v>0</v>
      </c>
      <c r="R11" s="72">
        <v>0</v>
      </c>
      <c r="S11" s="92">
        <f>L11+IFERROR(VLOOKUP($E:$E,'（居民）工资表-2月'!$E:$S,15,0),0)</f>
        <v>25666.6666666666</v>
      </c>
      <c r="T11" s="93">
        <f>5000+IFERROR(VLOOKUP($E:$E,'（居民）工资表-2月'!$E:$T,16,0),0)</f>
        <v>15000</v>
      </c>
      <c r="U11" s="93">
        <f>Q11+IFERROR(VLOOKUP($E:$E,'（居民）工资表-2月'!$E:$U,17,0),0)</f>
        <v>2019.6</v>
      </c>
      <c r="V11" s="72"/>
      <c r="W11" s="72"/>
      <c r="X11" s="72"/>
      <c r="Y11" s="72"/>
      <c r="Z11" s="72"/>
      <c r="AA11" s="72"/>
      <c r="AB11" s="92">
        <f t="shared" si="5"/>
        <v>0</v>
      </c>
      <c r="AC11" s="92">
        <f>R11+IFERROR(VLOOKUP($E:$E,'（居民）工资表-2月'!$E:$AC,25,0),0)</f>
        <v>0</v>
      </c>
      <c r="AD11" s="95">
        <f t="shared" si="6"/>
        <v>8647.07</v>
      </c>
      <c r="AE11" s="96">
        <f>ROUND(MAX((AD11)*{0.03;0.1;0.2;0.25;0.3;0.35;0.45}-{0;2520;16920;31920;52920;85920;181920},0),2)</f>
        <v>259.41</v>
      </c>
      <c r="AF11" s="97">
        <f>IFERROR(VLOOKUP(E:E,'（居民）工资表-2月'!E:AF,28,0)+VLOOKUP(E:E,'（居民）工资表-2月'!E:AG,29,0),0)</f>
        <v>256.19</v>
      </c>
      <c r="AG11" s="97">
        <f t="shared" si="7"/>
        <v>3.22000000000003</v>
      </c>
      <c r="AH11" s="104">
        <f t="shared" si="8"/>
        <v>5104.25</v>
      </c>
      <c r="AI11" s="105"/>
      <c r="AJ11" s="104">
        <f t="shared" si="9"/>
        <v>5104.25</v>
      </c>
      <c r="AK11" s="106"/>
      <c r="AL11" s="104">
        <f t="shared" si="10"/>
        <v>5107.47</v>
      </c>
      <c r="AM11" s="106"/>
      <c r="AN11" s="106"/>
      <c r="AO11" s="106"/>
      <c r="AP11" s="106"/>
      <c r="AQ11" s="106"/>
      <c r="AR11" s="113" t="str">
        <f t="shared" si="1"/>
        <v>正确</v>
      </c>
      <c r="AS11" s="113" t="str">
        <f t="shared" si="2"/>
        <v>不</v>
      </c>
      <c r="AT11" s="113" t="str">
        <f t="shared" si="3"/>
        <v>重复</v>
      </c>
    </row>
    <row r="12" s="12" customFormat="1" ht="18" customHeight="1" spans="1:46">
      <c r="A12" s="36">
        <v>9</v>
      </c>
      <c r="B12" s="37" t="s">
        <v>127</v>
      </c>
      <c r="C12" s="37" t="s">
        <v>151</v>
      </c>
      <c r="D12" s="37" t="s">
        <v>129</v>
      </c>
      <c r="E12" s="313" t="s">
        <v>152</v>
      </c>
      <c r="F12" s="38" t="str">
        <f t="shared" si="0"/>
        <v>女</v>
      </c>
      <c r="G12" s="39">
        <v>18674014622</v>
      </c>
      <c r="H12" s="40"/>
      <c r="I12" s="40"/>
      <c r="J12" s="115"/>
      <c r="K12" s="40"/>
      <c r="L12" s="72">
        <v>10000</v>
      </c>
      <c r="M12" s="73">
        <v>428.8</v>
      </c>
      <c r="N12" s="73">
        <v>110.2</v>
      </c>
      <c r="O12" s="73">
        <v>26.8</v>
      </c>
      <c r="P12" s="73">
        <v>600</v>
      </c>
      <c r="Q12" s="91">
        <f t="shared" si="4"/>
        <v>1165.8</v>
      </c>
      <c r="R12" s="72">
        <v>0</v>
      </c>
      <c r="S12" s="92">
        <f>L12+IFERROR(VLOOKUP($E:$E,'（居民）工资表-2月'!$E:$S,15,0),0)</f>
        <v>28275.8620689655</v>
      </c>
      <c r="T12" s="93">
        <f>5000+IFERROR(VLOOKUP($E:$E,'（居民）工资表-2月'!$E:$T,16,0),0)</f>
        <v>15000</v>
      </c>
      <c r="U12" s="93">
        <f>Q12+IFERROR(VLOOKUP($E:$E,'（居民）工资表-2月'!$E:$U,17,0),0)</f>
        <v>3497.4</v>
      </c>
      <c r="V12" s="72"/>
      <c r="W12" s="72"/>
      <c r="X12" s="72"/>
      <c r="Y12" s="72"/>
      <c r="Z12" s="72"/>
      <c r="AA12" s="72"/>
      <c r="AB12" s="92">
        <f t="shared" si="5"/>
        <v>0</v>
      </c>
      <c r="AC12" s="92">
        <f>R12+IFERROR(VLOOKUP($E:$E,'（居民）工资表-2月'!$E:$AC,25,0),0)</f>
        <v>0</v>
      </c>
      <c r="AD12" s="95">
        <f t="shared" si="6"/>
        <v>9778.46</v>
      </c>
      <c r="AE12" s="96">
        <f>ROUND(MAX((AD12)*{0.03;0.1;0.2;0.25;0.3;0.35;0.45}-{0;2520;16920;31920;52920;85920;181920},0),2)</f>
        <v>293.35</v>
      </c>
      <c r="AF12" s="97">
        <f>IFERROR(VLOOKUP(E:E,'（居民）工资表-2月'!E:AF,28,0)+VLOOKUP(E:E,'（居民）工资表-2月'!E:AG,29,0),0)</f>
        <v>178.33</v>
      </c>
      <c r="AG12" s="97">
        <f t="shared" si="7"/>
        <v>115.02</v>
      </c>
      <c r="AH12" s="104">
        <f t="shared" si="8"/>
        <v>8719.18</v>
      </c>
      <c r="AI12" s="105"/>
      <c r="AJ12" s="104">
        <f t="shared" si="9"/>
        <v>8719.18</v>
      </c>
      <c r="AK12" s="106"/>
      <c r="AL12" s="104">
        <f t="shared" si="10"/>
        <v>8834.2</v>
      </c>
      <c r="AM12" s="106"/>
      <c r="AN12" s="106"/>
      <c r="AO12" s="106"/>
      <c r="AP12" s="106"/>
      <c r="AQ12" s="106"/>
      <c r="AR12" s="113" t="str">
        <f t="shared" si="1"/>
        <v>正确</v>
      </c>
      <c r="AS12" s="113" t="str">
        <f t="shared" si="2"/>
        <v>不</v>
      </c>
      <c r="AT12" s="113" t="str">
        <f t="shared" si="3"/>
        <v>重复</v>
      </c>
    </row>
    <row r="13" s="12" customFormat="1" ht="18" customHeight="1" spans="1:46">
      <c r="A13" s="36">
        <v>10</v>
      </c>
      <c r="B13" s="37" t="s">
        <v>127</v>
      </c>
      <c r="C13" s="37" t="s">
        <v>153</v>
      </c>
      <c r="D13" s="37" t="s">
        <v>129</v>
      </c>
      <c r="E13" s="313" t="s">
        <v>154</v>
      </c>
      <c r="F13" s="38" t="str">
        <f t="shared" si="0"/>
        <v>女</v>
      </c>
      <c r="G13" s="39">
        <v>15145001723</v>
      </c>
      <c r="H13" s="40"/>
      <c r="I13" s="40"/>
      <c r="J13" s="115"/>
      <c r="K13" s="40"/>
      <c r="L13" s="72">
        <v>9540.22988505747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4"/>
        <v>1009.8</v>
      </c>
      <c r="R13" s="72">
        <v>0</v>
      </c>
      <c r="S13" s="92">
        <f>L13+IFERROR(VLOOKUP($E:$E,'（居民）工资表-2月'!$E:$S,15,0),0)</f>
        <v>22758.6206896552</v>
      </c>
      <c r="T13" s="93">
        <f>5000+IFERROR(VLOOKUP($E:$E,'（居民）工资表-2月'!$E:$T,16,0),0)</f>
        <v>15000</v>
      </c>
      <c r="U13" s="93">
        <f>Q13+IFERROR(VLOOKUP($E:$E,'（居民）工资表-2月'!$E:$U,17,0),0)</f>
        <v>2019.6</v>
      </c>
      <c r="V13" s="72"/>
      <c r="W13" s="72"/>
      <c r="X13" s="72"/>
      <c r="Y13" s="72"/>
      <c r="Z13" s="72"/>
      <c r="AA13" s="72"/>
      <c r="AB13" s="92">
        <f t="shared" si="5"/>
        <v>0</v>
      </c>
      <c r="AC13" s="92">
        <f>R13+IFERROR(VLOOKUP($E:$E,'（居民）工资表-2月'!$E:$AC,25,0),0)</f>
        <v>0</v>
      </c>
      <c r="AD13" s="95">
        <f t="shared" si="6"/>
        <v>5739.02</v>
      </c>
      <c r="AE13" s="96">
        <f>ROUND(MAX((AD13)*{0.03;0.1;0.2;0.25;0.3;0.35;0.45}-{0;2520;16920;31920;52920;85920;181920},0),2)</f>
        <v>172.17</v>
      </c>
      <c r="AF13" s="97">
        <f>IFERROR(VLOOKUP(E:E,'（居民）工资表-2月'!E:AF,28,0)+VLOOKUP(E:E,'（居民）工资表-2月'!E:AG,29,0),0)</f>
        <v>66.26</v>
      </c>
      <c r="AG13" s="97">
        <f t="shared" si="7"/>
        <v>105.91</v>
      </c>
      <c r="AH13" s="104">
        <f t="shared" si="8"/>
        <v>8424.52</v>
      </c>
      <c r="AI13" s="105"/>
      <c r="AJ13" s="104">
        <f t="shared" si="9"/>
        <v>8424.52</v>
      </c>
      <c r="AK13" s="106"/>
      <c r="AL13" s="104">
        <f t="shared" si="10"/>
        <v>8530.43</v>
      </c>
      <c r="AM13" s="106"/>
      <c r="AN13" s="106"/>
      <c r="AO13" s="106"/>
      <c r="AP13" s="106"/>
      <c r="AQ13" s="106"/>
      <c r="AR13" s="113" t="str">
        <f t="shared" si="1"/>
        <v>正确</v>
      </c>
      <c r="AS13" s="113" t="str">
        <f t="shared" si="2"/>
        <v>不</v>
      </c>
      <c r="AT13" s="113" t="str">
        <f t="shared" si="3"/>
        <v>重复</v>
      </c>
    </row>
    <row r="14" s="12" customFormat="1" ht="18" customHeight="1" spans="1:46">
      <c r="A14" s="36">
        <v>11</v>
      </c>
      <c r="B14" s="37" t="s">
        <v>127</v>
      </c>
      <c r="C14" s="37" t="s">
        <v>167</v>
      </c>
      <c r="D14" s="37" t="s">
        <v>129</v>
      </c>
      <c r="E14" s="313" t="s">
        <v>168</v>
      </c>
      <c r="F14" s="38" t="str">
        <f t="shared" si="0"/>
        <v>女</v>
      </c>
      <c r="G14" s="39">
        <v>15943200312</v>
      </c>
      <c r="H14" s="40"/>
      <c r="I14" s="40"/>
      <c r="J14" s="115"/>
      <c r="K14" s="40"/>
      <c r="L14" s="72">
        <v>11448.275862069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4"/>
        <v>1009.8</v>
      </c>
      <c r="R14" s="72">
        <v>0</v>
      </c>
      <c r="S14" s="92">
        <f>L14+IFERROR(VLOOKUP($E:$E,'（居民）工资表-2月'!$E:$S,15,0),0)</f>
        <v>23398.275862069</v>
      </c>
      <c r="T14" s="93">
        <f>5000+IFERROR(VLOOKUP($E:$E,'（居民）工资表-2月'!$E:$T,16,0),0)</f>
        <v>10000</v>
      </c>
      <c r="U14" s="93">
        <f>Q14+IFERROR(VLOOKUP($E:$E,'（居民）工资表-2月'!$E:$U,17,0),0)</f>
        <v>2019.6</v>
      </c>
      <c r="V14" s="72"/>
      <c r="W14" s="72"/>
      <c r="X14" s="72"/>
      <c r="Y14" s="72"/>
      <c r="Z14" s="72"/>
      <c r="AA14" s="72"/>
      <c r="AB14" s="92">
        <f t="shared" si="5"/>
        <v>0</v>
      </c>
      <c r="AC14" s="92">
        <f>R14+IFERROR(VLOOKUP($E:$E,'（居民）工资表-2月'!$E:$AC,25,0),0)</f>
        <v>0</v>
      </c>
      <c r="AD14" s="95">
        <f t="shared" si="6"/>
        <v>11378.68</v>
      </c>
      <c r="AE14" s="96">
        <f>ROUND(MAX((AD14)*{0.03;0.1;0.2;0.25;0.3;0.35;0.45}-{0;2520;16920;31920;52920;85920;181920},0),2)</f>
        <v>341.36</v>
      </c>
      <c r="AF14" s="97">
        <f>IFERROR(VLOOKUP(E:E,'（居民）工资表-2月'!E:AF,28,0)+VLOOKUP(E:E,'（居民）工资表-2月'!E:AG,29,0),0)</f>
        <v>178.21</v>
      </c>
      <c r="AG14" s="97">
        <f t="shared" si="7"/>
        <v>163.15</v>
      </c>
      <c r="AH14" s="104">
        <f t="shared" si="8"/>
        <v>10275.33</v>
      </c>
      <c r="AI14" s="105"/>
      <c r="AJ14" s="104">
        <f t="shared" si="9"/>
        <v>10275.33</v>
      </c>
      <c r="AK14" s="106"/>
      <c r="AL14" s="104">
        <f t="shared" si="10"/>
        <v>10438.48</v>
      </c>
      <c r="AM14" s="106"/>
      <c r="AN14" s="106"/>
      <c r="AO14" s="106"/>
      <c r="AP14" s="106"/>
      <c r="AQ14" s="106"/>
      <c r="AR14" s="113" t="str">
        <f t="shared" si="1"/>
        <v>正确</v>
      </c>
      <c r="AS14" s="113" t="str">
        <f t="shared" si="2"/>
        <v>不</v>
      </c>
      <c r="AT14" s="113" t="str">
        <f t="shared" si="3"/>
        <v>重复</v>
      </c>
    </row>
    <row r="15" s="12" customFormat="1" ht="18" customHeight="1" spans="1:46">
      <c r="A15" s="36">
        <v>12</v>
      </c>
      <c r="B15" s="37" t="s">
        <v>127</v>
      </c>
      <c r="C15" s="37" t="s">
        <v>169</v>
      </c>
      <c r="D15" s="37" t="s">
        <v>129</v>
      </c>
      <c r="E15" s="313" t="s">
        <v>170</v>
      </c>
      <c r="F15" s="38" t="str">
        <f t="shared" si="0"/>
        <v>女</v>
      </c>
      <c r="G15" s="39">
        <v>18745463721</v>
      </c>
      <c r="H15" s="40"/>
      <c r="I15" s="40"/>
      <c r="J15" s="115"/>
      <c r="K15" s="40"/>
      <c r="L15" s="72">
        <v>9482.75862068966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4"/>
        <v>1009.8</v>
      </c>
      <c r="R15" s="72">
        <v>0</v>
      </c>
      <c r="S15" s="92">
        <f>L15+IFERROR(VLOOKUP($E:$E,'（居民）工资表-2月'!$E:$S,15,0),0)</f>
        <v>17574.7126436782</v>
      </c>
      <c r="T15" s="93">
        <f>5000+IFERROR(VLOOKUP($E:$E,'（居民）工资表-2月'!$E:$T,16,0),0)</f>
        <v>10000</v>
      </c>
      <c r="U15" s="93">
        <f>Q15+IFERROR(VLOOKUP($E:$E,'（居民）工资表-2月'!$E:$U,17,0),0)</f>
        <v>2019.6</v>
      </c>
      <c r="V15" s="72"/>
      <c r="W15" s="72"/>
      <c r="X15" s="72"/>
      <c r="Y15" s="72"/>
      <c r="Z15" s="72"/>
      <c r="AA15" s="72"/>
      <c r="AB15" s="92">
        <f t="shared" si="5"/>
        <v>0</v>
      </c>
      <c r="AC15" s="92">
        <f>R15+IFERROR(VLOOKUP($E:$E,'（居民）工资表-2月'!$E:$AC,25,0),0)</f>
        <v>0</v>
      </c>
      <c r="AD15" s="95">
        <f t="shared" si="6"/>
        <v>5555.11</v>
      </c>
      <c r="AE15" s="96">
        <f>ROUND(MAX((AD15)*{0.03;0.1;0.2;0.25;0.3;0.35;0.45}-{0;2520;16920;31920;52920;85920;181920},0),2)</f>
        <v>166.65</v>
      </c>
      <c r="AF15" s="97">
        <f>IFERROR(VLOOKUP(E:E,'（居民）工资表-2月'!E:AF,28,0)+VLOOKUP(E:E,'（居民）工资表-2月'!E:AG,29,0),0)</f>
        <v>62.46</v>
      </c>
      <c r="AG15" s="97">
        <f t="shared" si="7"/>
        <v>104.19</v>
      </c>
      <c r="AH15" s="104">
        <f t="shared" si="8"/>
        <v>8368.77</v>
      </c>
      <c r="AI15" s="105"/>
      <c r="AJ15" s="104">
        <f t="shared" si="9"/>
        <v>8368.77</v>
      </c>
      <c r="AK15" s="106"/>
      <c r="AL15" s="104">
        <f t="shared" si="10"/>
        <v>8472.96</v>
      </c>
      <c r="AM15" s="106"/>
      <c r="AN15" s="106"/>
      <c r="AO15" s="106"/>
      <c r="AP15" s="106"/>
      <c r="AQ15" s="106"/>
      <c r="AR15" s="113" t="str">
        <f t="shared" si="1"/>
        <v>正确</v>
      </c>
      <c r="AS15" s="113" t="str">
        <f t="shared" si="2"/>
        <v>不</v>
      </c>
      <c r="AT15" s="113" t="str">
        <f t="shared" si="3"/>
        <v>重复</v>
      </c>
    </row>
    <row r="16" s="12" customFormat="1" ht="18" customHeight="1" spans="1:46">
      <c r="A16" s="36">
        <v>13</v>
      </c>
      <c r="B16" s="37" t="s">
        <v>127</v>
      </c>
      <c r="C16" s="37" t="s">
        <v>171</v>
      </c>
      <c r="D16" s="37" t="s">
        <v>129</v>
      </c>
      <c r="E16" s="313" t="s">
        <v>172</v>
      </c>
      <c r="F16" s="38" t="str">
        <f t="shared" si="0"/>
        <v>女</v>
      </c>
      <c r="G16" s="39">
        <v>18935711299</v>
      </c>
      <c r="H16" s="40"/>
      <c r="I16" s="40"/>
      <c r="J16" s="115"/>
      <c r="K16" s="40"/>
      <c r="L16" s="72">
        <v>10867.1264367816</v>
      </c>
      <c r="M16" s="73">
        <v>428.8</v>
      </c>
      <c r="N16" s="73">
        <v>110.2</v>
      </c>
      <c r="O16" s="73">
        <v>26.8</v>
      </c>
      <c r="P16" s="73">
        <v>444</v>
      </c>
      <c r="Q16" s="91">
        <f t="shared" si="4"/>
        <v>1009.8</v>
      </c>
      <c r="R16" s="72">
        <v>0</v>
      </c>
      <c r="S16" s="92">
        <f>L16+IFERROR(VLOOKUP($E:$E,'（居民）工资表-2月'!$E:$S,15,0),0)</f>
        <v>20867.1264367816</v>
      </c>
      <c r="T16" s="93">
        <f>5000+IFERROR(VLOOKUP($E:$E,'（居民）工资表-2月'!$E:$T,16,0),0)</f>
        <v>10000</v>
      </c>
      <c r="U16" s="93">
        <f>Q16+IFERROR(VLOOKUP($E:$E,'（居民）工资表-2月'!$E:$U,17,0),0)</f>
        <v>2019.6</v>
      </c>
      <c r="V16" s="72"/>
      <c r="W16" s="72"/>
      <c r="X16" s="72"/>
      <c r="Y16" s="72"/>
      <c r="Z16" s="72"/>
      <c r="AA16" s="72"/>
      <c r="AB16" s="92">
        <f t="shared" si="5"/>
        <v>0</v>
      </c>
      <c r="AC16" s="92">
        <f>R16+IFERROR(VLOOKUP($E:$E,'（居民）工资表-2月'!$E:$AC,25,0),0)</f>
        <v>0</v>
      </c>
      <c r="AD16" s="95">
        <f t="shared" si="6"/>
        <v>8847.53</v>
      </c>
      <c r="AE16" s="96">
        <f>ROUND(MAX((AD16)*{0.03;0.1;0.2;0.25;0.3;0.35;0.45}-{0;2520;16920;31920;52920;85920;181920},0),2)</f>
        <v>265.43</v>
      </c>
      <c r="AF16" s="97">
        <f>IFERROR(VLOOKUP(E:E,'（居民）工资表-2月'!E:AF,28,0)+VLOOKUP(E:E,'（居民）工资表-2月'!E:AG,29,0),0)</f>
        <v>119.71</v>
      </c>
      <c r="AG16" s="97">
        <f t="shared" si="7"/>
        <v>145.72</v>
      </c>
      <c r="AH16" s="104">
        <f t="shared" si="8"/>
        <v>9711.61</v>
      </c>
      <c r="AI16" s="105"/>
      <c r="AJ16" s="104">
        <f t="shared" si="9"/>
        <v>9711.61</v>
      </c>
      <c r="AK16" s="106"/>
      <c r="AL16" s="104">
        <f t="shared" si="10"/>
        <v>9857.33</v>
      </c>
      <c r="AM16" s="106"/>
      <c r="AN16" s="106"/>
      <c r="AO16" s="106"/>
      <c r="AP16" s="106"/>
      <c r="AQ16" s="106"/>
      <c r="AR16" s="113" t="str">
        <f t="shared" si="1"/>
        <v>正确</v>
      </c>
      <c r="AS16" s="113" t="str">
        <f t="shared" si="2"/>
        <v>不</v>
      </c>
      <c r="AT16" s="113" t="str">
        <f t="shared" si="3"/>
        <v>重复</v>
      </c>
    </row>
    <row r="17" s="12" customFormat="1" ht="18" customHeight="1" spans="1:46">
      <c r="A17" s="36">
        <v>14</v>
      </c>
      <c r="B17" s="37" t="s">
        <v>127</v>
      </c>
      <c r="C17" s="37" t="s">
        <v>173</v>
      </c>
      <c r="D17" s="37" t="s">
        <v>129</v>
      </c>
      <c r="E17" s="313" t="s">
        <v>174</v>
      </c>
      <c r="F17" s="38" t="str">
        <f t="shared" si="0"/>
        <v>女</v>
      </c>
      <c r="G17" s="39">
        <v>13301242552</v>
      </c>
      <c r="H17" s="40"/>
      <c r="I17" s="40"/>
      <c r="J17" s="115"/>
      <c r="K17" s="40"/>
      <c r="L17" s="72">
        <v>27000</v>
      </c>
      <c r="M17" s="73">
        <v>640</v>
      </c>
      <c r="N17" s="73">
        <v>163</v>
      </c>
      <c r="O17" s="73">
        <v>40</v>
      </c>
      <c r="P17" s="73">
        <v>960</v>
      </c>
      <c r="Q17" s="91">
        <f t="shared" si="4"/>
        <v>1803</v>
      </c>
      <c r="R17" s="72">
        <v>0</v>
      </c>
      <c r="S17" s="92">
        <f>L17+IFERROR(VLOOKUP($E:$E,'（居民）工资表-2月'!$E:$S,15,0),0)</f>
        <v>27000</v>
      </c>
      <c r="T17" s="93">
        <f>5000+IFERROR(VLOOKUP($E:$E,'（居民）工资表-2月'!$E:$T,16,0),0)</f>
        <v>5000</v>
      </c>
      <c r="U17" s="93">
        <f>Q17+IFERROR(VLOOKUP($E:$E,'（居民）工资表-2月'!$E:$U,17,0),0)</f>
        <v>1803</v>
      </c>
      <c r="V17" s="72"/>
      <c r="W17" s="72"/>
      <c r="X17" s="72"/>
      <c r="Y17" s="72"/>
      <c r="Z17" s="72"/>
      <c r="AA17" s="72"/>
      <c r="AB17" s="92">
        <f t="shared" si="5"/>
        <v>0</v>
      </c>
      <c r="AC17" s="92">
        <f>R17+IFERROR(VLOOKUP($E:$E,'（居民）工资表-2月'!$E:$AC,25,0),0)</f>
        <v>0</v>
      </c>
      <c r="AD17" s="95">
        <f t="shared" si="6"/>
        <v>20197</v>
      </c>
      <c r="AE17" s="96">
        <f>ROUND(MAX((AD17)*{0.03;0.1;0.2;0.25;0.3;0.35;0.45}-{0;2520;16920;31920;52920;85920;181920},0),2)</f>
        <v>605.91</v>
      </c>
      <c r="AF17" s="97">
        <f>IFERROR(VLOOKUP(E:E,'（居民）工资表-2月'!E:AF,28,0)+VLOOKUP(E:E,'（居民）工资表-2月'!E:AG,29,0),0)</f>
        <v>0</v>
      </c>
      <c r="AG17" s="97">
        <f t="shared" si="7"/>
        <v>605.91</v>
      </c>
      <c r="AH17" s="104">
        <f t="shared" si="8"/>
        <v>24591.09</v>
      </c>
      <c r="AI17" s="105"/>
      <c r="AJ17" s="104">
        <f t="shared" si="9"/>
        <v>24591.09</v>
      </c>
      <c r="AK17" s="106"/>
      <c r="AL17" s="104">
        <f t="shared" si="10"/>
        <v>25197</v>
      </c>
      <c r="AM17" s="106"/>
      <c r="AN17" s="106"/>
      <c r="AO17" s="106"/>
      <c r="AP17" s="106"/>
      <c r="AQ17" s="106"/>
      <c r="AR17" s="113" t="str">
        <f t="shared" si="1"/>
        <v>正确</v>
      </c>
      <c r="AS17" s="113" t="str">
        <f>IF(SUMPRODUCT(N(E$1:E$16=E17))&gt;1,"重复","不")</f>
        <v>不</v>
      </c>
      <c r="AT17" s="113" t="str">
        <f>IF(SUMPRODUCT(N(AO$1:AO$16=AO17))&gt;1,"重复","不")</f>
        <v>重复</v>
      </c>
    </row>
    <row r="18" s="12" customFormat="1" ht="18" customHeight="1" spans="1:46">
      <c r="A18" s="36">
        <v>15</v>
      </c>
      <c r="B18" s="37" t="s">
        <v>127</v>
      </c>
      <c r="C18" s="37" t="s">
        <v>175</v>
      </c>
      <c r="D18" s="37" t="s">
        <v>129</v>
      </c>
      <c r="E18" s="313" t="s">
        <v>176</v>
      </c>
      <c r="F18" s="38" t="str">
        <f t="shared" si="0"/>
        <v>女</v>
      </c>
      <c r="G18" s="39">
        <v>13842815360</v>
      </c>
      <c r="H18" s="40"/>
      <c r="I18" s="40"/>
      <c r="J18" s="115"/>
      <c r="K18" s="40"/>
      <c r="L18" s="72">
        <v>6068.96551724138</v>
      </c>
      <c r="M18" s="73">
        <v>428.8</v>
      </c>
      <c r="N18" s="73">
        <v>110.2</v>
      </c>
      <c r="O18" s="73">
        <v>26.8</v>
      </c>
      <c r="P18" s="73">
        <v>444</v>
      </c>
      <c r="Q18" s="91">
        <f t="shared" si="4"/>
        <v>1009.8</v>
      </c>
      <c r="R18" s="72">
        <v>0</v>
      </c>
      <c r="S18" s="92">
        <f>L18+IFERROR(VLOOKUP($E:$E,'（居民）工资表-2月'!$E:$S,15,0),0)</f>
        <v>6068.96551724138</v>
      </c>
      <c r="T18" s="93">
        <f>5000+IFERROR(VLOOKUP($E:$E,'（居民）工资表-2月'!$E:$T,16,0),0)</f>
        <v>5000</v>
      </c>
      <c r="U18" s="93">
        <f>Q18+IFERROR(VLOOKUP($E:$E,'（居民）工资表-2月'!$E:$U,17,0),0)</f>
        <v>1009.8</v>
      </c>
      <c r="V18" s="72"/>
      <c r="W18" s="72"/>
      <c r="X18" s="72"/>
      <c r="Y18" s="72"/>
      <c r="Z18" s="72"/>
      <c r="AA18" s="72"/>
      <c r="AB18" s="92">
        <f t="shared" si="5"/>
        <v>0</v>
      </c>
      <c r="AC18" s="92">
        <f>R18+IFERROR(VLOOKUP($E:$E,'（居民）工资表-2月'!$E:$AC,25,0),0)</f>
        <v>0</v>
      </c>
      <c r="AD18" s="95">
        <f t="shared" si="6"/>
        <v>59.17</v>
      </c>
      <c r="AE18" s="96">
        <f>ROUND(MAX((AD18)*{0.03;0.1;0.2;0.25;0.3;0.35;0.45}-{0;2520;16920;31920;52920;85920;181920},0),2)</f>
        <v>1.78</v>
      </c>
      <c r="AF18" s="97">
        <f>IFERROR(VLOOKUP(E:E,'（居民）工资表-2月'!E:AF,28,0)+VLOOKUP(E:E,'（居民）工资表-2月'!E:AG,29,0),0)</f>
        <v>0</v>
      </c>
      <c r="AG18" s="97">
        <f t="shared" si="7"/>
        <v>1.78</v>
      </c>
      <c r="AH18" s="104">
        <f t="shared" si="8"/>
        <v>5057.39</v>
      </c>
      <c r="AI18" s="105"/>
      <c r="AJ18" s="104">
        <f t="shared" si="9"/>
        <v>5057.39</v>
      </c>
      <c r="AK18" s="106"/>
      <c r="AL18" s="104">
        <f t="shared" si="10"/>
        <v>5059.17</v>
      </c>
      <c r="AM18" s="106"/>
      <c r="AN18" s="106"/>
      <c r="AO18" s="106"/>
      <c r="AP18" s="106"/>
      <c r="AQ18" s="106"/>
      <c r="AR18" s="113" t="str">
        <f t="shared" si="1"/>
        <v>正确</v>
      </c>
      <c r="AS18" s="113" t="str">
        <f>IF(SUMPRODUCT(N(E$1:E$16=E18))&gt;1,"重复","不")</f>
        <v>不</v>
      </c>
      <c r="AT18" s="113" t="str">
        <f>IF(SUMPRODUCT(N(AO$1:AO$16=AO18))&gt;1,"重复","不")</f>
        <v>重复</v>
      </c>
    </row>
    <row r="19" s="12" customFormat="1" ht="18" customHeight="1" spans="1:46">
      <c r="A19" s="36">
        <v>16</v>
      </c>
      <c r="B19" s="37" t="s">
        <v>127</v>
      </c>
      <c r="C19" s="37" t="s">
        <v>177</v>
      </c>
      <c r="D19" s="37" t="s">
        <v>129</v>
      </c>
      <c r="E19" s="37" t="s">
        <v>178</v>
      </c>
      <c r="F19" s="38" t="str">
        <f t="shared" si="0"/>
        <v>女</v>
      </c>
      <c r="G19" s="39">
        <v>18733620146</v>
      </c>
      <c r="H19" s="40"/>
      <c r="I19" s="40"/>
      <c r="J19" s="115"/>
      <c r="K19" s="40"/>
      <c r="L19" s="72">
        <v>3678.16091954023</v>
      </c>
      <c r="M19" s="73">
        <v>428.8</v>
      </c>
      <c r="N19" s="73">
        <v>110.2</v>
      </c>
      <c r="O19" s="73">
        <v>26.8</v>
      </c>
      <c r="P19" s="73">
        <v>444</v>
      </c>
      <c r="Q19" s="91">
        <f t="shared" si="4"/>
        <v>1009.8</v>
      </c>
      <c r="R19" s="72">
        <v>0</v>
      </c>
      <c r="S19" s="92">
        <f>L19+IFERROR(VLOOKUP($E:$E,'（居民）工资表-2月'!$E:$S,15,0),0)</f>
        <v>3678.16091954023</v>
      </c>
      <c r="T19" s="93">
        <f>5000+IFERROR(VLOOKUP($E:$E,'（居民）工资表-2月'!$E:$T,16,0),0)</f>
        <v>5000</v>
      </c>
      <c r="U19" s="93">
        <f>Q19+IFERROR(VLOOKUP($E:$E,'（居民）工资表-2月'!$E:$U,17,0),0)</f>
        <v>1009.8</v>
      </c>
      <c r="V19" s="72"/>
      <c r="W19" s="72"/>
      <c r="X19" s="72"/>
      <c r="Y19" s="72"/>
      <c r="Z19" s="72"/>
      <c r="AA19" s="72"/>
      <c r="AB19" s="92">
        <f t="shared" si="5"/>
        <v>0</v>
      </c>
      <c r="AC19" s="92">
        <f>R19+IFERROR(VLOOKUP($E:$E,'（居民）工资表-2月'!$E:$AC,25,0),0)</f>
        <v>0</v>
      </c>
      <c r="AD19" s="95">
        <f t="shared" si="6"/>
        <v>-2331.64</v>
      </c>
      <c r="AE19" s="96">
        <f>ROUND(MAX((AD19)*{0.03;0.1;0.2;0.25;0.3;0.35;0.45}-{0;2520;16920;31920;52920;85920;181920},0),2)</f>
        <v>0</v>
      </c>
      <c r="AF19" s="97">
        <f>IFERROR(VLOOKUP(E:E,'（居民）工资表-2月'!E:AF,28,0)+VLOOKUP(E:E,'（居民）工资表-2月'!E:AG,29,0),0)</f>
        <v>0</v>
      </c>
      <c r="AG19" s="97">
        <f t="shared" si="7"/>
        <v>0</v>
      </c>
      <c r="AH19" s="104">
        <f t="shared" si="8"/>
        <v>2668.36</v>
      </c>
      <c r="AI19" s="105"/>
      <c r="AJ19" s="104">
        <f t="shared" si="9"/>
        <v>2668.36</v>
      </c>
      <c r="AK19" s="106"/>
      <c r="AL19" s="104">
        <f t="shared" si="10"/>
        <v>2668.36</v>
      </c>
      <c r="AM19" s="106"/>
      <c r="AN19" s="106"/>
      <c r="AO19" s="106"/>
      <c r="AP19" s="106"/>
      <c r="AQ19" s="106"/>
      <c r="AR19" s="113" t="str">
        <f t="shared" si="1"/>
        <v>正确</v>
      </c>
      <c r="AS19" s="113" t="str">
        <f>IF(SUMPRODUCT(N(E$1:E$16=E19))&gt;1,"重复","不")</f>
        <v>不</v>
      </c>
      <c r="AT19" s="113" t="str">
        <f>IF(SUMPRODUCT(N(AO$1:AO$16=AO19))&gt;1,"重复","不")</f>
        <v>重复</v>
      </c>
    </row>
    <row r="20" s="13" customFormat="1" ht="18" customHeight="1" spans="1:46">
      <c r="A20" s="43"/>
      <c r="B20" s="44" t="s">
        <v>155</v>
      </c>
      <c r="C20" s="44"/>
      <c r="D20" s="45"/>
      <c r="E20" s="46"/>
      <c r="F20" s="47"/>
      <c r="G20" s="48"/>
      <c r="H20" s="47"/>
      <c r="I20" s="74"/>
      <c r="J20" s="75"/>
      <c r="K20" s="74"/>
      <c r="L20" s="76">
        <f>SUM(L4:L19)</f>
        <v>175177.011494253</v>
      </c>
      <c r="M20" s="76">
        <f t="shared" ref="M20:AL20" si="11">SUM(M4:M19)</f>
        <v>6643.2</v>
      </c>
      <c r="N20" s="76">
        <f t="shared" si="11"/>
        <v>1705.8</v>
      </c>
      <c r="O20" s="76">
        <f t="shared" si="11"/>
        <v>415.2</v>
      </c>
      <c r="P20" s="76">
        <f t="shared" si="11"/>
        <v>7332</v>
      </c>
      <c r="Q20" s="76">
        <f t="shared" si="11"/>
        <v>16096.2</v>
      </c>
      <c r="R20" s="76">
        <f t="shared" si="11"/>
        <v>0</v>
      </c>
      <c r="S20" s="76">
        <f t="shared" si="11"/>
        <v>413872.068965517</v>
      </c>
      <c r="T20" s="76">
        <f t="shared" si="11"/>
        <v>195000</v>
      </c>
      <c r="U20" s="76">
        <f t="shared" si="11"/>
        <v>38623.8</v>
      </c>
      <c r="V20" s="76">
        <f t="shared" si="11"/>
        <v>0</v>
      </c>
      <c r="W20" s="76">
        <f t="shared" si="11"/>
        <v>0</v>
      </c>
      <c r="X20" s="76">
        <f t="shared" si="11"/>
        <v>0</v>
      </c>
      <c r="Y20" s="76">
        <f t="shared" si="11"/>
        <v>0</v>
      </c>
      <c r="Z20" s="76">
        <f t="shared" si="11"/>
        <v>0</v>
      </c>
      <c r="AA20" s="76">
        <f t="shared" si="11"/>
        <v>0</v>
      </c>
      <c r="AB20" s="76">
        <f t="shared" si="11"/>
        <v>0</v>
      </c>
      <c r="AC20" s="76">
        <f t="shared" si="11"/>
        <v>0</v>
      </c>
      <c r="AD20" s="76">
        <f t="shared" si="11"/>
        <v>180248.29</v>
      </c>
      <c r="AE20" s="76">
        <f t="shared" si="11"/>
        <v>5477.41</v>
      </c>
      <c r="AF20" s="76">
        <f t="shared" si="11"/>
        <v>3035.02</v>
      </c>
      <c r="AG20" s="76">
        <f t="shared" si="11"/>
        <v>2442.39</v>
      </c>
      <c r="AH20" s="76">
        <f t="shared" si="11"/>
        <v>156638.44</v>
      </c>
      <c r="AI20" s="76">
        <f t="shared" si="11"/>
        <v>0</v>
      </c>
      <c r="AJ20" s="76">
        <f t="shared" si="11"/>
        <v>156638.44</v>
      </c>
      <c r="AK20" s="76">
        <f t="shared" si="11"/>
        <v>0</v>
      </c>
      <c r="AL20" s="76">
        <f t="shared" si="11"/>
        <v>159080.83</v>
      </c>
      <c r="AM20" s="108"/>
      <c r="AN20" s="108"/>
      <c r="AO20" s="108"/>
      <c r="AP20" s="108"/>
      <c r="AQ20" s="108"/>
      <c r="AR20" s="47"/>
      <c r="AS20" s="47"/>
      <c r="AT20" s="114"/>
    </row>
    <row r="23" spans="30:30">
      <c r="AD23" s="98"/>
    </row>
    <row r="24" ht="18.75" customHeight="1" spans="2:30">
      <c r="B24" s="49" t="s">
        <v>108</v>
      </c>
      <c r="C24" s="49" t="s">
        <v>156</v>
      </c>
      <c r="D24" s="49" t="s">
        <v>58</v>
      </c>
      <c r="E24" s="49" t="s">
        <v>59</v>
      </c>
      <c r="AD24" s="10"/>
    </row>
    <row r="25" ht="18.75" customHeight="1" spans="2:6">
      <c r="B25" s="50">
        <f>AJ20</f>
        <v>156638.44</v>
      </c>
      <c r="C25" s="50">
        <f>AG20</f>
        <v>2442.39</v>
      </c>
      <c r="D25" s="50">
        <f>AK20</f>
        <v>0</v>
      </c>
      <c r="E25" s="50">
        <f>B25+C25+D25</f>
        <v>159080.83</v>
      </c>
      <c r="F25" s="15">
        <v>58585.3</v>
      </c>
    </row>
    <row r="26" ht="16.5" spans="2:6">
      <c r="B26" s="51"/>
      <c r="C26" s="51"/>
      <c r="D26" s="51"/>
      <c r="E26" s="136">
        <f>E25*6.78%</f>
        <v>10785.680274</v>
      </c>
      <c r="F26" s="15">
        <v>3972.08334</v>
      </c>
    </row>
    <row r="27" s="14" customFormat="1" spans="1:35">
      <c r="A27" s="52" t="s">
        <v>157</v>
      </c>
      <c r="B27" s="53" t="s">
        <v>158</v>
      </c>
      <c r="C27" s="54"/>
      <c r="D27" s="54"/>
      <c r="E27" s="54"/>
      <c r="G27" s="55"/>
      <c r="J27" s="77"/>
      <c r="M27" s="78"/>
      <c r="AI27" s="109"/>
    </row>
    <row r="28" s="14" customFormat="1" spans="1:35">
      <c r="A28" s="56"/>
      <c r="B28" s="57" t="s">
        <v>159</v>
      </c>
      <c r="C28" s="54"/>
      <c r="D28" s="54"/>
      <c r="E28" s="54"/>
      <c r="G28" s="55"/>
      <c r="J28" s="77"/>
      <c r="M28" s="78"/>
      <c r="AI28" s="109"/>
    </row>
    <row r="29" s="14" customFormat="1" spans="1:35">
      <c r="A29" s="53"/>
      <c r="B29" s="57" t="s">
        <v>160</v>
      </c>
      <c r="C29" s="58"/>
      <c r="D29" s="58"/>
      <c r="E29" s="58"/>
      <c r="F29" s="58"/>
      <c r="G29" s="58"/>
      <c r="H29" s="58"/>
      <c r="I29" s="58"/>
      <c r="J29" s="79"/>
      <c r="K29" s="58"/>
      <c r="L29" s="58"/>
      <c r="M29" s="80"/>
      <c r="N29" s="58"/>
      <c r="O29" s="58"/>
      <c r="P29" s="58"/>
      <c r="AI29" s="109"/>
    </row>
    <row r="30" s="14" customFormat="1" customHeight="1" spans="1:35">
      <c r="A30" s="57"/>
      <c r="B30" s="57" t="s">
        <v>161</v>
      </c>
      <c r="C30" s="59"/>
      <c r="D30" s="59"/>
      <c r="E30" s="59"/>
      <c r="F30" s="59"/>
      <c r="G30" s="59"/>
      <c r="H30" s="59"/>
      <c r="I30" s="81"/>
      <c r="J30" s="82"/>
      <c r="K30" s="81"/>
      <c r="L30" s="81"/>
      <c r="M30" s="83"/>
      <c r="N30" s="81"/>
      <c r="O30" s="81"/>
      <c r="P30" s="81"/>
      <c r="AI30" s="109"/>
    </row>
    <row r="31" s="14" customFormat="1" customHeight="1" spans="1:35">
      <c r="A31" s="57"/>
      <c r="B31" s="57" t="s">
        <v>162</v>
      </c>
      <c r="C31" s="59"/>
      <c r="D31" s="59"/>
      <c r="E31" s="59"/>
      <c r="F31" s="59"/>
      <c r="G31" s="59"/>
      <c r="H31" s="59"/>
      <c r="I31" s="59"/>
      <c r="J31" s="84"/>
      <c r="K31" s="59"/>
      <c r="L31" s="81"/>
      <c r="M31" s="83"/>
      <c r="N31" s="81"/>
      <c r="O31" s="81"/>
      <c r="P31" s="81"/>
      <c r="AI31" s="109"/>
    </row>
    <row r="32" s="14" customFormat="1" customHeight="1" spans="1:35">
      <c r="A32" s="57"/>
      <c r="B32" s="57" t="s">
        <v>163</v>
      </c>
      <c r="C32" s="59"/>
      <c r="D32" s="59"/>
      <c r="E32" s="59"/>
      <c r="F32" s="59"/>
      <c r="G32" s="59"/>
      <c r="H32" s="59"/>
      <c r="I32" s="81"/>
      <c r="J32" s="82"/>
      <c r="K32" s="81"/>
      <c r="L32" s="81"/>
      <c r="M32" s="83"/>
      <c r="N32" s="81"/>
      <c r="O32" s="81"/>
      <c r="P32" s="81"/>
      <c r="AI32" s="109"/>
    </row>
    <row r="34" ht="11.25" customHeight="1" spans="2:2">
      <c r="B34" s="60" t="s">
        <v>164</v>
      </c>
    </row>
    <row r="35" spans="2:2">
      <c r="B35" s="61" t="s">
        <v>165</v>
      </c>
    </row>
    <row r="36" spans="2:2">
      <c r="B36" s="61" t="s">
        <v>166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2" priority="2" stopIfTrue="1"/>
  </conditionalFormatting>
  <conditionalFormatting sqref="B27:B31">
    <cfRule type="duplicateValues" dxfId="2" priority="3" stopIfTrue="1"/>
  </conditionalFormatting>
  <conditionalFormatting sqref="B35:B36">
    <cfRule type="duplicateValues" dxfId="2" priority="1" stopIfTrue="1"/>
  </conditionalFormatting>
  <conditionalFormatting sqref="C24:C26">
    <cfRule type="duplicateValues" dxfId="2" priority="4" stopIfTrue="1"/>
    <cfRule type="expression" dxfId="3" priority="5" stopIfTrue="1">
      <formula>AND(COUNTIF($B$20:$B$65456,C24)+COUNTIF($B$1:$B$3,C24)&gt;1,NOT(ISBLANK(C24)))</formula>
    </cfRule>
    <cfRule type="expression" dxfId="3" priority="6" stopIfTrue="1">
      <formula>AND(COUNTIF($B$31:$B$65407,C24)+COUNTIF($B$1:$B$30,C24)&gt;1,NOT(ISBLANK(C24)))</formula>
    </cfRule>
    <cfRule type="expression" dxfId="3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G7" sqref="G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80</v>
      </c>
      <c r="B1" s="21"/>
      <c r="C1" s="22"/>
      <c r="D1" s="23"/>
      <c r="E1" s="24"/>
      <c r="F1" s="24"/>
      <c r="G1" s="25"/>
      <c r="J1" s="62"/>
      <c r="L1" s="63"/>
      <c r="M1" s="64" t="s">
        <v>81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82</v>
      </c>
      <c r="C2" s="28" t="s">
        <v>83</v>
      </c>
      <c r="D2" s="28" t="s">
        <v>84</v>
      </c>
      <c r="E2" s="29" t="s">
        <v>85</v>
      </c>
      <c r="F2" s="30" t="s">
        <v>86</v>
      </c>
      <c r="G2" s="29" t="s">
        <v>87</v>
      </c>
      <c r="H2" s="29" t="s">
        <v>88</v>
      </c>
      <c r="I2" s="29" t="s">
        <v>89</v>
      </c>
      <c r="J2" s="65" t="s">
        <v>90</v>
      </c>
      <c r="K2" s="29" t="s">
        <v>91</v>
      </c>
      <c r="L2" s="29" t="s">
        <v>92</v>
      </c>
      <c r="M2" s="66" t="s">
        <v>93</v>
      </c>
      <c r="N2" s="67"/>
      <c r="O2" s="67"/>
      <c r="P2" s="68"/>
      <c r="Q2" s="30" t="s">
        <v>94</v>
      </c>
      <c r="R2" s="29" t="s">
        <v>95</v>
      </c>
      <c r="S2" s="30" t="s">
        <v>96</v>
      </c>
      <c r="T2" s="86" t="s">
        <v>97</v>
      </c>
      <c r="U2" s="30" t="s">
        <v>98</v>
      </c>
      <c r="V2" s="87" t="s">
        <v>99</v>
      </c>
      <c r="W2" s="88"/>
      <c r="X2" s="88"/>
      <c r="Y2" s="88"/>
      <c r="Z2" s="88"/>
      <c r="AA2" s="94"/>
      <c r="AB2" s="30" t="s">
        <v>100</v>
      </c>
      <c r="AC2" s="30" t="s">
        <v>101</v>
      </c>
      <c r="AD2" s="86" t="s">
        <v>102</v>
      </c>
      <c r="AE2" s="86" t="s">
        <v>103</v>
      </c>
      <c r="AF2" s="86" t="s">
        <v>104</v>
      </c>
      <c r="AG2" s="86" t="s">
        <v>105</v>
      </c>
      <c r="AH2" s="100" t="s">
        <v>106</v>
      </c>
      <c r="AI2" s="101" t="s">
        <v>107</v>
      </c>
      <c r="AJ2" s="100" t="s">
        <v>108</v>
      </c>
      <c r="AK2" s="28" t="s">
        <v>58</v>
      </c>
      <c r="AL2" s="100" t="s">
        <v>109</v>
      </c>
      <c r="AM2" s="29" t="s">
        <v>110</v>
      </c>
      <c r="AN2" s="29" t="s">
        <v>111</v>
      </c>
      <c r="AO2" s="111" t="s">
        <v>112</v>
      </c>
      <c r="AP2" s="29" t="s">
        <v>113</v>
      </c>
      <c r="AQ2" s="29" t="s">
        <v>114</v>
      </c>
      <c r="AR2" s="30" t="s">
        <v>115</v>
      </c>
      <c r="AS2" s="30" t="s">
        <v>116</v>
      </c>
      <c r="AT2" s="30" t="s">
        <v>117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118</v>
      </c>
      <c r="N3" s="70" t="s">
        <v>119</v>
      </c>
      <c r="O3" s="70" t="s">
        <v>120</v>
      </c>
      <c r="P3" s="70" t="s">
        <v>71</v>
      </c>
      <c r="Q3" s="35"/>
      <c r="R3" s="34"/>
      <c r="S3" s="35"/>
      <c r="T3" s="89"/>
      <c r="U3" s="35"/>
      <c r="V3" s="90" t="s">
        <v>121</v>
      </c>
      <c r="W3" s="90" t="s">
        <v>122</v>
      </c>
      <c r="X3" s="90" t="s">
        <v>123</v>
      </c>
      <c r="Y3" s="90" t="s">
        <v>124</v>
      </c>
      <c r="Z3" s="90" t="s">
        <v>125</v>
      </c>
      <c r="AA3" s="90" t="s">
        <v>126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179</v>
      </c>
      <c r="C4" s="37" t="s">
        <v>128</v>
      </c>
      <c r="D4" s="37" t="s">
        <v>129</v>
      </c>
      <c r="E4" s="37" t="s">
        <v>130</v>
      </c>
      <c r="F4" s="38" t="str">
        <f t="shared" ref="F4:F10" si="0">IF(MOD(MID(E4,17,1),2)=1,"男","女")</f>
        <v>女</v>
      </c>
      <c r="G4" s="39">
        <v>19801207903</v>
      </c>
      <c r="H4" s="40"/>
      <c r="I4" s="40"/>
      <c r="J4" s="115"/>
      <c r="K4" s="40"/>
      <c r="L4" s="72">
        <v>6574.71264367816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0" si="1">ROUND(SUM(M4:P4),2)</f>
        <v>1009.8</v>
      </c>
      <c r="R4" s="72">
        <v>0</v>
      </c>
      <c r="S4" s="92">
        <f>L4+IFERROR(VLOOKUP($E:$E,'（居民）工资表-10月'!$E:$S,15,0),0)</f>
        <v>6574.71264367816</v>
      </c>
      <c r="T4" s="93">
        <f>5000+IFERROR(VLOOKUP($E:$E,'（居民）工资表-10月'!$E:$T,16,0),0)</f>
        <v>5000</v>
      </c>
      <c r="U4" s="93">
        <f>Q4+IFERROR(VLOOKUP($E:$E,'（居民）工资表-10月'!$E:$U,17,0),0)</f>
        <v>1009.8</v>
      </c>
      <c r="V4" s="72"/>
      <c r="W4" s="72"/>
      <c r="X4" s="72"/>
      <c r="Y4" s="72"/>
      <c r="Z4" s="72"/>
      <c r="AA4" s="72"/>
      <c r="AB4" s="92">
        <f t="shared" ref="AB4:AB10" si="2">ROUND(SUM(V4:AA4),2)</f>
        <v>0</v>
      </c>
      <c r="AC4" s="92">
        <f>R4+IFERROR(VLOOKUP($E:$E,'（居民）工资表-10月'!$E:$AC,25,0),0)</f>
        <v>0</v>
      </c>
      <c r="AD4" s="95">
        <f t="shared" ref="AD4:AD10" si="3">ROUND(S4-T4-U4-AB4-AC4,2)</f>
        <v>564.91</v>
      </c>
      <c r="AE4" s="96">
        <f>ROUND(MAX((AD4)*{0.03;0.1;0.2;0.25;0.3;0.35;0.45}-{0;2520;16920;31920;52920;85920;181920},0),2)</f>
        <v>16.95</v>
      </c>
      <c r="AF4" s="97">
        <f>IFERROR(VLOOKUP(E:E,'（居民）工资表-10月'!E:AF,28,0)+VLOOKUP(E:E,'（居民）工资表-10月'!E:AG,29,0),0)</f>
        <v>0</v>
      </c>
      <c r="AG4" s="97">
        <f t="shared" ref="AG4:AG10" si="4">IF((AE4-AF4)&lt;0,0,AE4-AF4)</f>
        <v>16.95</v>
      </c>
      <c r="AH4" s="104">
        <f t="shared" ref="AH4:AH10" si="5">ROUND(IF((L4-Q4-AG4)&lt;0,0,(L4-Q4-AG4)),2)</f>
        <v>5547.96</v>
      </c>
      <c r="AI4" s="105"/>
      <c r="AJ4" s="104">
        <f t="shared" ref="AJ4:AJ10" si="6">AH4+AI4</f>
        <v>5547.96</v>
      </c>
      <c r="AK4" s="106"/>
      <c r="AL4" s="104">
        <f t="shared" ref="AL4:AL10" si="7">AJ4+AG4+AK4</f>
        <v>5564.91</v>
      </c>
      <c r="AM4" s="106"/>
      <c r="AN4" s="106"/>
      <c r="AO4" s="314" t="s">
        <v>180</v>
      </c>
      <c r="AP4" s="106" t="s">
        <v>181</v>
      </c>
      <c r="AQ4" s="106"/>
      <c r="AR4" s="113" t="str">
        <f t="shared" ref="AR4:AR10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0" si="9">IF(SUMPRODUCT(N(E$1:E$10=E4))&gt;1,"重复","不")</f>
        <v>不</v>
      </c>
      <c r="AT4" s="113" t="str">
        <f t="shared" ref="AT4:AT10" si="10">IF(SUMPRODUCT(N(AO$1:AO$10=AO4))&gt;1,"重复","不")</f>
        <v>不</v>
      </c>
    </row>
    <row r="5" s="12" customFormat="1" ht="18" customHeight="1" spans="1:46">
      <c r="A5" s="36">
        <v>2</v>
      </c>
      <c r="B5" s="37" t="s">
        <v>179</v>
      </c>
      <c r="C5" s="37" t="s">
        <v>131</v>
      </c>
      <c r="D5" s="37" t="s">
        <v>129</v>
      </c>
      <c r="E5" s="37" t="s">
        <v>132</v>
      </c>
      <c r="F5" s="38" t="str">
        <f t="shared" si="0"/>
        <v>男</v>
      </c>
      <c r="G5" s="39">
        <v>13288877699</v>
      </c>
      <c r="H5" s="40"/>
      <c r="I5" s="40"/>
      <c r="J5" s="115"/>
      <c r="K5" s="40"/>
      <c r="L5" s="72">
        <v>6574.71264367816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L5+IFERROR(VLOOKUP($E:$E,'（居民）工资表-10月'!$E:$S,15,0),0)</f>
        <v>6574.71264367816</v>
      </c>
      <c r="T5" s="93">
        <f>5000+IFERROR(VLOOKUP($E:$E,'（居民）工资表-10月'!$E:$T,16,0),0)</f>
        <v>5000</v>
      </c>
      <c r="U5" s="93">
        <f>Q5+IFERROR(VLOOKUP($E:$E,'（居民）工资表-10月'!$E:$U,17,0),0)</f>
        <v>1009.8</v>
      </c>
      <c r="V5" s="72"/>
      <c r="W5" s="72"/>
      <c r="X5" s="72"/>
      <c r="Y5" s="72"/>
      <c r="Z5" s="72"/>
      <c r="AA5" s="72"/>
      <c r="AB5" s="92">
        <f t="shared" si="2"/>
        <v>0</v>
      </c>
      <c r="AC5" s="92">
        <f>R5+IFERROR(VLOOKUP($E:$E,'（居民）工资表-10月'!$E:$AC,25,0),0)</f>
        <v>0</v>
      </c>
      <c r="AD5" s="95">
        <f t="shared" si="3"/>
        <v>564.91</v>
      </c>
      <c r="AE5" s="96">
        <f>ROUND(MAX((AD5)*{0.03;0.1;0.2;0.25;0.3;0.35;0.45}-{0;2520;16920;31920;52920;85920;181920},0),2)</f>
        <v>16.95</v>
      </c>
      <c r="AF5" s="97">
        <f>IFERROR(VLOOKUP(E:E,'（居民）工资表-10月'!E:AF,28,0)+VLOOKUP(E:E,'（居民）工资表-10月'!E:AG,29,0),0)</f>
        <v>0</v>
      </c>
      <c r="AG5" s="97">
        <f t="shared" si="4"/>
        <v>16.95</v>
      </c>
      <c r="AH5" s="104">
        <f t="shared" si="5"/>
        <v>5547.96</v>
      </c>
      <c r="AI5" s="105"/>
      <c r="AJ5" s="104">
        <f t="shared" si="6"/>
        <v>5547.96</v>
      </c>
      <c r="AK5" s="106"/>
      <c r="AL5" s="104">
        <f t="shared" si="7"/>
        <v>5564.91</v>
      </c>
      <c r="AM5" s="106"/>
      <c r="AN5" s="106"/>
      <c r="AO5" s="314" t="s">
        <v>182</v>
      </c>
      <c r="AP5" s="106" t="s">
        <v>183</v>
      </c>
      <c r="AQ5" s="106"/>
      <c r="AR5" s="113" t="str">
        <f t="shared" si="8"/>
        <v>正确</v>
      </c>
      <c r="AS5" s="113" t="str">
        <f t="shared" si="9"/>
        <v>不</v>
      </c>
      <c r="AT5" s="113" t="str">
        <f t="shared" si="10"/>
        <v>不</v>
      </c>
    </row>
    <row r="6" s="12" customFormat="1" ht="18" customHeight="1" spans="1:46">
      <c r="A6" s="36">
        <v>3</v>
      </c>
      <c r="B6" s="37" t="s">
        <v>179</v>
      </c>
      <c r="C6" s="37" t="s">
        <v>133</v>
      </c>
      <c r="D6" s="37" t="s">
        <v>129</v>
      </c>
      <c r="E6" s="37" t="s">
        <v>134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10344.8275862069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L6+IFERROR(VLOOKUP($E:$E,'（居民）工资表-10月'!$E:$S,15,0),0)</f>
        <v>10344.8275862069</v>
      </c>
      <c r="T6" s="93">
        <f>5000+IFERROR(VLOOKUP($E:$E,'（居民）工资表-10月'!$E:$T,16,0),0)</f>
        <v>5000</v>
      </c>
      <c r="U6" s="93">
        <f>Q6+IFERROR(VLOOKUP($E:$E,'（居民）工资表-10月'!$E:$U,17,0),0)</f>
        <v>1009.8</v>
      </c>
      <c r="V6" s="72"/>
      <c r="W6" s="72"/>
      <c r="X6" s="72"/>
      <c r="Y6" s="72"/>
      <c r="Z6" s="72"/>
      <c r="AA6" s="72"/>
      <c r="AB6" s="92">
        <f t="shared" si="2"/>
        <v>0</v>
      </c>
      <c r="AC6" s="92">
        <f>R6+IFERROR(VLOOKUP($E:$E,'（居民）工资表-10月'!$E:$AC,25,0),0)</f>
        <v>0</v>
      </c>
      <c r="AD6" s="95">
        <f t="shared" si="3"/>
        <v>4335.03</v>
      </c>
      <c r="AE6" s="96">
        <f>ROUND(MAX((AD6)*{0.03;0.1;0.2;0.25;0.3;0.35;0.45}-{0;2520;16920;31920;52920;85920;181920},0),2)</f>
        <v>130.05</v>
      </c>
      <c r="AF6" s="97">
        <f>IFERROR(VLOOKUP(E:E,'（居民）工资表-10月'!E:AF,28,0)+VLOOKUP(E:E,'（居民）工资表-10月'!E:AG,29,0),0)</f>
        <v>0</v>
      </c>
      <c r="AG6" s="97">
        <f t="shared" si="4"/>
        <v>130.05</v>
      </c>
      <c r="AH6" s="104">
        <f t="shared" si="5"/>
        <v>9204.98</v>
      </c>
      <c r="AI6" s="105"/>
      <c r="AJ6" s="104">
        <f t="shared" si="6"/>
        <v>9204.98</v>
      </c>
      <c r="AK6" s="106"/>
      <c r="AL6" s="104">
        <f t="shared" si="7"/>
        <v>9335.03</v>
      </c>
      <c r="AM6" s="106"/>
      <c r="AN6" s="106"/>
      <c r="AO6" s="314" t="s">
        <v>184</v>
      </c>
      <c r="AP6" s="106" t="s">
        <v>185</v>
      </c>
      <c r="AQ6" s="106"/>
      <c r="AR6" s="113" t="str">
        <f t="shared" si="8"/>
        <v>正确</v>
      </c>
      <c r="AS6" s="113" t="str">
        <f t="shared" si="9"/>
        <v>不</v>
      </c>
      <c r="AT6" s="113" t="str">
        <f t="shared" si="10"/>
        <v>不</v>
      </c>
    </row>
    <row r="7" s="12" customFormat="1" ht="18" customHeight="1" spans="1:46">
      <c r="A7" s="36">
        <v>4</v>
      </c>
      <c r="B7" s="37" t="s">
        <v>179</v>
      </c>
      <c r="C7" s="37" t="s">
        <v>186</v>
      </c>
      <c r="D7" s="37" t="s">
        <v>129</v>
      </c>
      <c r="E7" s="37" t="s">
        <v>187</v>
      </c>
      <c r="F7" s="38" t="str">
        <f t="shared" si="0"/>
        <v>女</v>
      </c>
      <c r="G7" s="39">
        <v>16600096727</v>
      </c>
      <c r="H7" s="40"/>
      <c r="I7" s="40"/>
      <c r="J7" s="115"/>
      <c r="K7" s="40"/>
      <c r="L7" s="72">
        <v>10344.8275862069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L7+IFERROR(VLOOKUP($E:$E,'（居民）工资表-10月'!$E:$S,15,0),0)</f>
        <v>10344.8275862069</v>
      </c>
      <c r="T7" s="93">
        <f>5000+IFERROR(VLOOKUP($E:$E,'（居民）工资表-10月'!$E:$T,16,0),0)</f>
        <v>5000</v>
      </c>
      <c r="U7" s="93">
        <f>Q7+IFERROR(VLOOKUP($E:$E,'（居民）工资表-10月'!$E:$U,17,0),0)</f>
        <v>1009.8</v>
      </c>
      <c r="V7" s="72"/>
      <c r="W7" s="72"/>
      <c r="X7" s="72"/>
      <c r="Y7" s="72"/>
      <c r="Z7" s="72"/>
      <c r="AA7" s="72"/>
      <c r="AB7" s="92">
        <f t="shared" si="2"/>
        <v>0</v>
      </c>
      <c r="AC7" s="92">
        <f>R7+IFERROR(VLOOKUP($E:$E,'（居民）工资表-10月'!$E:$AC,25,0),0)</f>
        <v>0</v>
      </c>
      <c r="AD7" s="95">
        <f t="shared" si="3"/>
        <v>4335.03</v>
      </c>
      <c r="AE7" s="96">
        <f>ROUND(MAX((AD7)*{0.03;0.1;0.2;0.25;0.3;0.35;0.45}-{0;2520;16920;31920;52920;85920;181920},0),2)</f>
        <v>130.05</v>
      </c>
      <c r="AF7" s="97">
        <f>IFERROR(VLOOKUP(E:E,'（居民）工资表-10月'!E:AF,28,0)+VLOOKUP(E:E,'（居民）工资表-10月'!E:AG,29,0),0)</f>
        <v>0</v>
      </c>
      <c r="AG7" s="97">
        <f t="shared" si="4"/>
        <v>130.05</v>
      </c>
      <c r="AH7" s="104">
        <f t="shared" si="5"/>
        <v>9204.98</v>
      </c>
      <c r="AI7" s="105"/>
      <c r="AJ7" s="104">
        <f t="shared" si="6"/>
        <v>9204.98</v>
      </c>
      <c r="AK7" s="106"/>
      <c r="AL7" s="104">
        <f t="shared" si="7"/>
        <v>9335.03</v>
      </c>
      <c r="AM7" s="106"/>
      <c r="AN7" s="106"/>
      <c r="AO7" s="314" t="s">
        <v>188</v>
      </c>
      <c r="AP7" s="106" t="s">
        <v>189</v>
      </c>
      <c r="AQ7" s="106"/>
      <c r="AR7" s="113" t="str">
        <f t="shared" si="8"/>
        <v>正确</v>
      </c>
      <c r="AS7" s="113" t="str">
        <f t="shared" si="9"/>
        <v>不</v>
      </c>
      <c r="AT7" s="113" t="str">
        <f t="shared" si="10"/>
        <v>不</v>
      </c>
    </row>
    <row r="8" s="12" customFormat="1" ht="18" customHeight="1" spans="1:46">
      <c r="A8" s="36">
        <v>5</v>
      </c>
      <c r="B8" s="37" t="s">
        <v>179</v>
      </c>
      <c r="C8" s="37" t="s">
        <v>135</v>
      </c>
      <c r="D8" s="37" t="s">
        <v>129</v>
      </c>
      <c r="E8" s="37" t="s">
        <v>136</v>
      </c>
      <c r="F8" s="38" t="str">
        <f t="shared" si="0"/>
        <v>男</v>
      </c>
      <c r="G8" s="39">
        <v>13683242969</v>
      </c>
      <c r="H8" s="40"/>
      <c r="I8" s="40"/>
      <c r="J8" s="115"/>
      <c r="K8" s="40"/>
      <c r="L8" s="72">
        <v>1839.08045977011</v>
      </c>
      <c r="M8" s="73"/>
      <c r="N8" s="73"/>
      <c r="O8" s="73"/>
      <c r="P8" s="73"/>
      <c r="Q8" s="91">
        <f t="shared" si="1"/>
        <v>0</v>
      </c>
      <c r="R8" s="72">
        <v>0</v>
      </c>
      <c r="S8" s="92">
        <f>L8+IFERROR(VLOOKUP($E:$E,'（居民）工资表-10月'!$E:$S,15,0),0)</f>
        <v>1839.08045977011</v>
      </c>
      <c r="T8" s="93">
        <f>5000+IFERROR(VLOOKUP($E:$E,'（居民）工资表-10月'!$E:$T,16,0),0)</f>
        <v>5000</v>
      </c>
      <c r="U8" s="93">
        <f>Q8+IFERROR(VLOOKUP($E:$E,'（居民）工资表-10月'!$E:$U,17,0),0)</f>
        <v>0</v>
      </c>
      <c r="V8" s="72"/>
      <c r="W8" s="72"/>
      <c r="X8" s="72"/>
      <c r="Y8" s="72"/>
      <c r="Z8" s="72"/>
      <c r="AA8" s="72"/>
      <c r="AB8" s="92">
        <f t="shared" si="2"/>
        <v>0</v>
      </c>
      <c r="AC8" s="92">
        <f>R8+IFERROR(VLOOKUP($E:$E,'（居民）工资表-10月'!$E:$AC,25,0),0)</f>
        <v>0</v>
      </c>
      <c r="AD8" s="95">
        <f t="shared" si="3"/>
        <v>-3160.92</v>
      </c>
      <c r="AE8" s="96">
        <f>ROUND(MAX((AD8)*{0.03;0.1;0.2;0.25;0.3;0.35;0.45}-{0;2520;16920;31920;52920;85920;181920},0),2)</f>
        <v>0</v>
      </c>
      <c r="AF8" s="97">
        <f>IFERROR(VLOOKUP(E:E,'（居民）工资表-10月'!E:AF,28,0)+VLOOKUP(E:E,'（居民）工资表-10月'!E:AG,29,0),0)</f>
        <v>0</v>
      </c>
      <c r="AG8" s="97">
        <f t="shared" si="4"/>
        <v>0</v>
      </c>
      <c r="AH8" s="104">
        <f t="shared" si="5"/>
        <v>1839.08</v>
      </c>
      <c r="AI8" s="105"/>
      <c r="AJ8" s="104">
        <f t="shared" si="6"/>
        <v>1839.08</v>
      </c>
      <c r="AK8" s="106"/>
      <c r="AL8" s="104">
        <f t="shared" si="7"/>
        <v>1839.08</v>
      </c>
      <c r="AM8" s="106"/>
      <c r="AN8" s="106"/>
      <c r="AO8" s="314" t="s">
        <v>190</v>
      </c>
      <c r="AP8" s="106" t="s">
        <v>191</v>
      </c>
      <c r="AQ8" s="106"/>
      <c r="AR8" s="113" t="str">
        <f t="shared" si="8"/>
        <v>正确</v>
      </c>
      <c r="AS8" s="113" t="str">
        <f t="shared" si="9"/>
        <v>不</v>
      </c>
      <c r="AT8" s="113" t="str">
        <f t="shared" si="10"/>
        <v>不</v>
      </c>
    </row>
    <row r="9" s="12" customFormat="1" ht="18" customHeight="1" spans="1:46">
      <c r="A9" s="36">
        <v>6</v>
      </c>
      <c r="B9" s="37" t="s">
        <v>179</v>
      </c>
      <c r="C9" s="37" t="s">
        <v>137</v>
      </c>
      <c r="D9" s="37" t="s">
        <v>129</v>
      </c>
      <c r="E9" s="37" t="s">
        <v>138</v>
      </c>
      <c r="F9" s="38" t="str">
        <f t="shared" si="0"/>
        <v>男</v>
      </c>
      <c r="G9" s="39">
        <v>13163127617</v>
      </c>
      <c r="H9" s="40"/>
      <c r="I9" s="40"/>
      <c r="J9" s="115"/>
      <c r="K9" s="40"/>
      <c r="L9" s="72">
        <v>1839.08045977011</v>
      </c>
      <c r="M9" s="73"/>
      <c r="N9" s="73"/>
      <c r="O9" s="73"/>
      <c r="P9" s="73"/>
      <c r="Q9" s="91">
        <f t="shared" si="1"/>
        <v>0</v>
      </c>
      <c r="R9" s="72">
        <v>0</v>
      </c>
      <c r="S9" s="92">
        <f>L9+IFERROR(VLOOKUP($E:$E,'（居民）工资表-10月'!$E:$S,15,0),0)</f>
        <v>1839.08045977011</v>
      </c>
      <c r="T9" s="93">
        <f>5000+IFERROR(VLOOKUP($E:$E,'（居民）工资表-10月'!$E:$T,16,0),0)</f>
        <v>5000</v>
      </c>
      <c r="U9" s="93">
        <f>Q9+IFERROR(VLOOKUP($E:$E,'（居民）工资表-10月'!$E:$U,17,0),0)</f>
        <v>0</v>
      </c>
      <c r="V9" s="72"/>
      <c r="W9" s="72"/>
      <c r="X9" s="72"/>
      <c r="Y9" s="72"/>
      <c r="Z9" s="72"/>
      <c r="AA9" s="72"/>
      <c r="AB9" s="92">
        <f t="shared" si="2"/>
        <v>0</v>
      </c>
      <c r="AC9" s="92">
        <f>R9+IFERROR(VLOOKUP($E:$E,'（居民）工资表-10月'!$E:$AC,25,0),0)</f>
        <v>0</v>
      </c>
      <c r="AD9" s="95">
        <f t="shared" si="3"/>
        <v>-3160.92</v>
      </c>
      <c r="AE9" s="96">
        <f>ROUND(MAX((AD9)*{0.03;0.1;0.2;0.25;0.3;0.35;0.45}-{0;2520;16920;31920;52920;85920;181920},0),2)</f>
        <v>0</v>
      </c>
      <c r="AF9" s="97">
        <f>IFERROR(VLOOKUP(E:E,'（居民）工资表-10月'!E:AF,28,0)+VLOOKUP(E:E,'（居民）工资表-10月'!E:AG,29,0),0)</f>
        <v>0</v>
      </c>
      <c r="AG9" s="97">
        <f t="shared" si="4"/>
        <v>0</v>
      </c>
      <c r="AH9" s="104">
        <f t="shared" si="5"/>
        <v>1839.08</v>
      </c>
      <c r="AI9" s="105"/>
      <c r="AJ9" s="104">
        <f t="shared" si="6"/>
        <v>1839.08</v>
      </c>
      <c r="AK9" s="106"/>
      <c r="AL9" s="104">
        <f t="shared" si="7"/>
        <v>1839.08</v>
      </c>
      <c r="AM9" s="106"/>
      <c r="AN9" s="106"/>
      <c r="AO9" s="314" t="s">
        <v>192</v>
      </c>
      <c r="AP9" s="106" t="s">
        <v>193</v>
      </c>
      <c r="AQ9" s="106"/>
      <c r="AR9" s="113" t="str">
        <f t="shared" si="8"/>
        <v>正确</v>
      </c>
      <c r="AS9" s="113" t="str">
        <f t="shared" si="9"/>
        <v>不</v>
      </c>
      <c r="AT9" s="113" t="str">
        <f t="shared" si="10"/>
        <v>不</v>
      </c>
    </row>
    <row r="10" s="12" customFormat="1" ht="18" customHeight="1" spans="1:46">
      <c r="A10" s="36">
        <v>7</v>
      </c>
      <c r="B10" s="37" t="s">
        <v>179</v>
      </c>
      <c r="C10" s="37" t="s">
        <v>194</v>
      </c>
      <c r="D10" s="37" t="s">
        <v>129</v>
      </c>
      <c r="E10" s="37" t="s">
        <v>195</v>
      </c>
      <c r="F10" s="38" t="str">
        <f t="shared" si="0"/>
        <v>女</v>
      </c>
      <c r="G10" s="39">
        <v>15680913132</v>
      </c>
      <c r="H10" s="40"/>
      <c r="I10" s="40"/>
      <c r="J10" s="115"/>
      <c r="K10" s="40"/>
      <c r="L10" s="72">
        <v>1471.26436781609</v>
      </c>
      <c r="M10" s="73"/>
      <c r="N10" s="73"/>
      <c r="O10" s="73"/>
      <c r="P10" s="73"/>
      <c r="Q10" s="91">
        <f t="shared" si="1"/>
        <v>0</v>
      </c>
      <c r="R10" s="72">
        <v>0</v>
      </c>
      <c r="S10" s="92">
        <f>L10+IFERROR(VLOOKUP($E:$E,'（居民）工资表-10月'!$E:$S,15,0),0)</f>
        <v>1471.26436781609</v>
      </c>
      <c r="T10" s="93">
        <f>5000+IFERROR(VLOOKUP($E:$E,'（居民）工资表-10月'!$E:$T,16,0),0)</f>
        <v>5000</v>
      </c>
      <c r="U10" s="93">
        <f>Q10+IFERROR(VLOOKUP($E:$E,'（居民）工资表-10月'!$E:$U,17,0),0)</f>
        <v>0</v>
      </c>
      <c r="V10" s="72"/>
      <c r="W10" s="72"/>
      <c r="X10" s="72"/>
      <c r="Y10" s="72"/>
      <c r="Z10" s="72"/>
      <c r="AA10" s="72"/>
      <c r="AB10" s="92">
        <f t="shared" si="2"/>
        <v>0</v>
      </c>
      <c r="AC10" s="92">
        <f>R10+IFERROR(VLOOKUP($E:$E,'（居民）工资表-10月'!$E:$AC,25,0),0)</f>
        <v>0</v>
      </c>
      <c r="AD10" s="95">
        <f t="shared" si="3"/>
        <v>-3528.74</v>
      </c>
      <c r="AE10" s="96">
        <f>ROUND(MAX((AD10)*{0.03;0.1;0.2;0.25;0.3;0.35;0.45}-{0;2520;16920;31920;52920;85920;181920},0),2)</f>
        <v>0</v>
      </c>
      <c r="AF10" s="97">
        <f>IFERROR(VLOOKUP(E:E,'（居民）工资表-10月'!E:AF,28,0)+VLOOKUP(E:E,'（居民）工资表-10月'!E:AG,29,0),0)</f>
        <v>0</v>
      </c>
      <c r="AG10" s="97">
        <f t="shared" si="4"/>
        <v>0</v>
      </c>
      <c r="AH10" s="104">
        <f t="shared" si="5"/>
        <v>1471.26</v>
      </c>
      <c r="AI10" s="105"/>
      <c r="AJ10" s="104">
        <f t="shared" si="6"/>
        <v>1471.26</v>
      </c>
      <c r="AK10" s="106"/>
      <c r="AL10" s="104">
        <f t="shared" si="7"/>
        <v>1471.26</v>
      </c>
      <c r="AM10" s="106"/>
      <c r="AN10" s="106"/>
      <c r="AO10" s="314" t="s">
        <v>196</v>
      </c>
      <c r="AP10" s="106" t="s">
        <v>197</v>
      </c>
      <c r="AQ10" s="106"/>
      <c r="AR10" s="113" t="str">
        <f t="shared" si="8"/>
        <v>正确</v>
      </c>
      <c r="AS10" s="113" t="str">
        <f t="shared" si="9"/>
        <v>不</v>
      </c>
      <c r="AT10" s="113" t="str">
        <f t="shared" si="10"/>
        <v>不</v>
      </c>
    </row>
    <row r="11" s="13" customFormat="1" ht="18" customHeight="1" spans="1:46">
      <c r="A11" s="43"/>
      <c r="B11" s="44" t="s">
        <v>155</v>
      </c>
      <c r="C11" s="44"/>
      <c r="D11" s="45"/>
      <c r="E11" s="46"/>
      <c r="F11" s="47"/>
      <c r="G11" s="48"/>
      <c r="H11" s="47"/>
      <c r="I11" s="74"/>
      <c r="J11" s="75"/>
      <c r="K11" s="74"/>
      <c r="L11" s="76">
        <f t="shared" ref="L11:AL11" si="11">SUM(L4:L10)</f>
        <v>38988.5057471264</v>
      </c>
      <c r="M11" s="76">
        <f t="shared" si="11"/>
        <v>1715.2</v>
      </c>
      <c r="N11" s="76">
        <f t="shared" si="11"/>
        <v>440.8</v>
      </c>
      <c r="O11" s="76">
        <f t="shared" si="11"/>
        <v>107.2</v>
      </c>
      <c r="P11" s="76">
        <f t="shared" si="11"/>
        <v>1776</v>
      </c>
      <c r="Q11" s="76">
        <f t="shared" si="11"/>
        <v>4039.2</v>
      </c>
      <c r="R11" s="76">
        <f t="shared" si="11"/>
        <v>0</v>
      </c>
      <c r="S11" s="76">
        <f t="shared" si="11"/>
        <v>38988.5057471264</v>
      </c>
      <c r="T11" s="76">
        <f t="shared" si="11"/>
        <v>35000</v>
      </c>
      <c r="U11" s="76">
        <f t="shared" si="11"/>
        <v>4039.2</v>
      </c>
      <c r="V11" s="76">
        <f t="shared" si="11"/>
        <v>0</v>
      </c>
      <c r="W11" s="76">
        <f t="shared" si="11"/>
        <v>0</v>
      </c>
      <c r="X11" s="76">
        <f t="shared" si="11"/>
        <v>0</v>
      </c>
      <c r="Y11" s="76">
        <f t="shared" si="11"/>
        <v>0</v>
      </c>
      <c r="Z11" s="76">
        <f t="shared" si="11"/>
        <v>0</v>
      </c>
      <c r="AA11" s="76">
        <f t="shared" si="11"/>
        <v>0</v>
      </c>
      <c r="AB11" s="76">
        <f t="shared" si="11"/>
        <v>0</v>
      </c>
      <c r="AC11" s="76">
        <f t="shared" si="11"/>
        <v>0</v>
      </c>
      <c r="AD11" s="76">
        <f t="shared" si="11"/>
        <v>-50.7000000000007</v>
      </c>
      <c r="AE11" s="76">
        <f t="shared" si="11"/>
        <v>294</v>
      </c>
      <c r="AF11" s="76">
        <f t="shared" si="11"/>
        <v>0</v>
      </c>
      <c r="AG11" s="76">
        <f t="shared" si="11"/>
        <v>294</v>
      </c>
      <c r="AH11" s="76">
        <f t="shared" si="11"/>
        <v>34655.3</v>
      </c>
      <c r="AI11" s="107">
        <f t="shared" si="11"/>
        <v>0</v>
      </c>
      <c r="AJ11" s="76">
        <f t="shared" si="11"/>
        <v>34655.3</v>
      </c>
      <c r="AK11" s="76">
        <f t="shared" si="11"/>
        <v>0</v>
      </c>
      <c r="AL11" s="76">
        <f t="shared" si="11"/>
        <v>34949.3</v>
      </c>
      <c r="AM11" s="108"/>
      <c r="AN11" s="108"/>
      <c r="AO11" s="108"/>
      <c r="AP11" s="108"/>
      <c r="AQ11" s="108"/>
      <c r="AR11" s="47"/>
      <c r="AS11" s="47"/>
      <c r="AT11" s="114"/>
    </row>
    <row r="14" spans="30:30">
      <c r="AD14" s="98"/>
    </row>
    <row r="15" ht="18.75" customHeight="1" spans="2:30">
      <c r="B15" s="49" t="s">
        <v>108</v>
      </c>
      <c r="C15" s="49" t="s">
        <v>156</v>
      </c>
      <c r="D15" s="49" t="s">
        <v>58</v>
      </c>
      <c r="E15" s="49" t="s">
        <v>59</v>
      </c>
      <c r="AD15" s="10"/>
    </row>
    <row r="16" ht="18.75" customHeight="1" spans="2:6">
      <c r="B16" s="50">
        <f>AJ11</f>
        <v>34655.3</v>
      </c>
      <c r="C16" s="50">
        <f>AG11</f>
        <v>294</v>
      </c>
      <c r="D16" s="50">
        <f>AK11</f>
        <v>0</v>
      </c>
      <c r="E16" s="50">
        <f>B16+C16+D16</f>
        <v>34949.3</v>
      </c>
      <c r="F16" s="15">
        <v>29363.4</v>
      </c>
    </row>
    <row r="17" spans="2:6">
      <c r="B17" s="51"/>
      <c r="C17" s="51"/>
      <c r="D17" s="51"/>
      <c r="E17" s="51">
        <f>E16*6.78%</f>
        <v>2369.56254</v>
      </c>
      <c r="F17" s="15">
        <v>1990.83852</v>
      </c>
    </row>
    <row r="18" s="14" customFormat="1" spans="1:35">
      <c r="A18" s="52" t="s">
        <v>157</v>
      </c>
      <c r="B18" s="53" t="s">
        <v>158</v>
      </c>
      <c r="C18" s="54"/>
      <c r="D18" s="54"/>
      <c r="E18" s="54"/>
      <c r="G18" s="55"/>
      <c r="J18" s="77"/>
      <c r="M18" s="78"/>
      <c r="AI18" s="109"/>
    </row>
    <row r="19" s="14" customFormat="1" spans="1:35">
      <c r="A19" s="56"/>
      <c r="B19" s="57" t="s">
        <v>159</v>
      </c>
      <c r="C19" s="54"/>
      <c r="D19" s="54"/>
      <c r="E19" s="54"/>
      <c r="G19" s="55"/>
      <c r="J19" s="77"/>
      <c r="M19" s="78"/>
      <c r="AI19" s="109"/>
    </row>
    <row r="20" s="14" customFormat="1" spans="1:35">
      <c r="A20" s="53"/>
      <c r="B20" s="57" t="s">
        <v>160</v>
      </c>
      <c r="C20" s="58"/>
      <c r="D20" s="58"/>
      <c r="E20" s="58"/>
      <c r="F20" s="58"/>
      <c r="G20" s="58"/>
      <c r="H20" s="58"/>
      <c r="I20" s="58"/>
      <c r="J20" s="79"/>
      <c r="K20" s="58"/>
      <c r="L20" s="58"/>
      <c r="M20" s="80"/>
      <c r="N20" s="58"/>
      <c r="O20" s="58"/>
      <c r="P20" s="58"/>
      <c r="AI20" s="109"/>
    </row>
    <row r="21" s="14" customFormat="1" customHeight="1" spans="1:35">
      <c r="A21" s="57"/>
      <c r="B21" s="57" t="s">
        <v>161</v>
      </c>
      <c r="C21" s="59"/>
      <c r="D21" s="59"/>
      <c r="E21" s="59"/>
      <c r="F21" s="59"/>
      <c r="G21" s="59"/>
      <c r="H21" s="59"/>
      <c r="I21" s="81"/>
      <c r="J21" s="82"/>
      <c r="K21" s="81"/>
      <c r="L21" s="81"/>
      <c r="M21" s="83"/>
      <c r="N21" s="81"/>
      <c r="O21" s="81"/>
      <c r="P21" s="81"/>
      <c r="AI21" s="109"/>
    </row>
    <row r="22" s="14" customFormat="1" customHeight="1" spans="1:35">
      <c r="A22" s="57"/>
      <c r="B22" s="57" t="s">
        <v>162</v>
      </c>
      <c r="C22" s="59"/>
      <c r="D22" s="59"/>
      <c r="E22" s="59"/>
      <c r="F22" s="59"/>
      <c r="G22" s="59"/>
      <c r="H22" s="59"/>
      <c r="I22" s="59"/>
      <c r="J22" s="84"/>
      <c r="K22" s="59"/>
      <c r="L22" s="81"/>
      <c r="M22" s="83"/>
      <c r="N22" s="81"/>
      <c r="O22" s="81"/>
      <c r="P22" s="81"/>
      <c r="AI22" s="109"/>
    </row>
    <row r="23" s="14" customFormat="1" customHeight="1" spans="1:35">
      <c r="A23" s="57"/>
      <c r="B23" s="57" t="s">
        <v>163</v>
      </c>
      <c r="C23" s="59"/>
      <c r="D23" s="59"/>
      <c r="E23" s="59"/>
      <c r="F23" s="59"/>
      <c r="G23" s="59"/>
      <c r="H23" s="59"/>
      <c r="I23" s="81"/>
      <c r="J23" s="82"/>
      <c r="K23" s="81"/>
      <c r="L23" s="81"/>
      <c r="M23" s="83"/>
      <c r="N23" s="81"/>
      <c r="O23" s="81"/>
      <c r="P23" s="81"/>
      <c r="AI23" s="109"/>
    </row>
    <row r="25" ht="11.25" customHeight="1" spans="2:2">
      <c r="B25" s="60" t="s">
        <v>164</v>
      </c>
    </row>
    <row r="26" spans="2:2">
      <c r="B26" s="61" t="s">
        <v>165</v>
      </c>
    </row>
    <row r="27" spans="2:2">
      <c r="B27" s="61" t="s">
        <v>166</v>
      </c>
    </row>
  </sheetData>
  <autoFilter ref="A3:AT1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3">
    <cfRule type="duplicateValues" dxfId="2" priority="2" stopIfTrue="1"/>
  </conditionalFormatting>
  <conditionalFormatting sqref="B18:B22">
    <cfRule type="duplicateValues" dxfId="2" priority="3" stopIfTrue="1"/>
  </conditionalFormatting>
  <conditionalFormatting sqref="B26:B27">
    <cfRule type="duplicateValues" dxfId="2" priority="1" stopIfTrue="1"/>
  </conditionalFormatting>
  <conditionalFormatting sqref="C15:C17">
    <cfRule type="duplicateValues" dxfId="2" priority="4" stopIfTrue="1"/>
    <cfRule type="expression" dxfId="3" priority="5" stopIfTrue="1">
      <formula>AND(COUNTIF($B$11:$B$65447,C15)+COUNTIF($B$1:$B$3,C15)&gt;1,NOT(ISBLANK(C15)))</formula>
    </cfRule>
    <cfRule type="expression" dxfId="3" priority="6" stopIfTrue="1">
      <formula>AND(COUNTIF($B$22:$B$65398,C15)+COUNTIF($B$1:$B$21,C15)&gt;1,NOT(ISBLANK(C15)))</formula>
    </cfRule>
    <cfRule type="expression" dxfId="3" priority="7" stopIfTrue="1">
      <formula>AND(COUNTIF($B$11:$B$65436,C15)+COUNTIF($B$1:$B$3,C15)&gt;1,NOT(ISBLANK(C15)))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4.091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27.9083333333333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80</v>
      </c>
      <c r="B1" s="21"/>
      <c r="C1" s="22"/>
      <c r="D1" s="23"/>
      <c r="E1" s="24"/>
      <c r="F1" s="24"/>
      <c r="G1" s="25"/>
      <c r="J1" s="62"/>
      <c r="L1" s="63"/>
      <c r="M1" s="64" t="s">
        <v>81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82</v>
      </c>
      <c r="C2" s="28" t="s">
        <v>83</v>
      </c>
      <c r="D2" s="28" t="s">
        <v>84</v>
      </c>
      <c r="E2" s="29" t="s">
        <v>85</v>
      </c>
      <c r="F2" s="30" t="s">
        <v>86</v>
      </c>
      <c r="G2" s="29" t="s">
        <v>87</v>
      </c>
      <c r="H2" s="29" t="s">
        <v>88</v>
      </c>
      <c r="I2" s="29" t="s">
        <v>89</v>
      </c>
      <c r="J2" s="65" t="s">
        <v>90</v>
      </c>
      <c r="K2" s="29" t="s">
        <v>91</v>
      </c>
      <c r="L2" s="29" t="s">
        <v>92</v>
      </c>
      <c r="M2" s="66" t="s">
        <v>93</v>
      </c>
      <c r="N2" s="67"/>
      <c r="O2" s="67"/>
      <c r="P2" s="68"/>
      <c r="Q2" s="30" t="s">
        <v>94</v>
      </c>
      <c r="R2" s="29" t="s">
        <v>95</v>
      </c>
      <c r="S2" s="30" t="s">
        <v>96</v>
      </c>
      <c r="T2" s="86" t="s">
        <v>97</v>
      </c>
      <c r="U2" s="30" t="s">
        <v>98</v>
      </c>
      <c r="V2" s="87" t="s">
        <v>99</v>
      </c>
      <c r="W2" s="88"/>
      <c r="X2" s="88"/>
      <c r="Y2" s="88"/>
      <c r="Z2" s="88"/>
      <c r="AA2" s="94"/>
      <c r="AB2" s="30" t="s">
        <v>100</v>
      </c>
      <c r="AC2" s="30" t="s">
        <v>101</v>
      </c>
      <c r="AD2" s="86" t="s">
        <v>102</v>
      </c>
      <c r="AE2" s="86" t="s">
        <v>103</v>
      </c>
      <c r="AF2" s="86" t="s">
        <v>104</v>
      </c>
      <c r="AG2" s="86" t="s">
        <v>105</v>
      </c>
      <c r="AH2" s="100" t="s">
        <v>106</v>
      </c>
      <c r="AI2" s="101" t="s">
        <v>107</v>
      </c>
      <c r="AJ2" s="100" t="s">
        <v>108</v>
      </c>
      <c r="AK2" s="28" t="s">
        <v>58</v>
      </c>
      <c r="AL2" s="100" t="s">
        <v>109</v>
      </c>
      <c r="AM2" s="29" t="s">
        <v>110</v>
      </c>
      <c r="AN2" s="29" t="s">
        <v>111</v>
      </c>
      <c r="AO2" s="111" t="s">
        <v>112</v>
      </c>
      <c r="AP2" s="29" t="s">
        <v>113</v>
      </c>
      <c r="AQ2" s="29" t="s">
        <v>114</v>
      </c>
      <c r="AR2" s="30" t="s">
        <v>115</v>
      </c>
      <c r="AS2" s="30" t="s">
        <v>116</v>
      </c>
      <c r="AT2" s="30" t="s">
        <v>117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118</v>
      </c>
      <c r="N3" s="70" t="s">
        <v>119</v>
      </c>
      <c r="O3" s="70" t="s">
        <v>120</v>
      </c>
      <c r="P3" s="70" t="s">
        <v>71</v>
      </c>
      <c r="Q3" s="35"/>
      <c r="R3" s="34"/>
      <c r="S3" s="35"/>
      <c r="T3" s="89"/>
      <c r="U3" s="35"/>
      <c r="V3" s="90" t="s">
        <v>121</v>
      </c>
      <c r="W3" s="90" t="s">
        <v>122</v>
      </c>
      <c r="X3" s="90" t="s">
        <v>123</v>
      </c>
      <c r="Y3" s="90" t="s">
        <v>124</v>
      </c>
      <c r="Z3" s="90" t="s">
        <v>125</v>
      </c>
      <c r="AA3" s="90" t="s">
        <v>126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127</v>
      </c>
      <c r="C4" s="37" t="s">
        <v>139</v>
      </c>
      <c r="D4" s="37" t="s">
        <v>129</v>
      </c>
      <c r="E4" s="37" t="s">
        <v>140</v>
      </c>
      <c r="F4" s="38" t="str">
        <f t="shared" ref="F4:F14" si="0">IF(MOD(MID(E4,17,1),2)=1,"男","女")</f>
        <v>男</v>
      </c>
      <c r="G4" s="39">
        <v>15652649555</v>
      </c>
      <c r="H4" s="40"/>
      <c r="I4" s="40"/>
      <c r="J4" s="134"/>
      <c r="K4" s="40"/>
      <c r="L4" s="72">
        <v>12028.7356321839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6" si="1">ROUND(SUM(M4:P4),2)</f>
        <v>1009.8</v>
      </c>
      <c r="R4" s="72">
        <v>0</v>
      </c>
      <c r="S4" s="92">
        <f>L4+IFERROR(VLOOKUP($E:$E,'（居民）工资表-4月'!$E:$S,15,0),0)</f>
        <v>55034.4827586207</v>
      </c>
      <c r="T4" s="93">
        <f>5000+IFERROR(VLOOKUP($E:$E,'（居民）工资表-4月'!$E:$T,16,0),0)</f>
        <v>25000</v>
      </c>
      <c r="U4" s="93">
        <f>Q4+IFERROR(VLOOKUP($E:$E,'（居民）工资表-4月'!$E:$U,17,0),0)</f>
        <v>5049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/>
      <c r="AB4" s="92">
        <f t="shared" ref="AB4:AB16" si="2">ROUND(SUM(V4:AA4),2)</f>
        <v>0</v>
      </c>
      <c r="AC4" s="92">
        <f t="shared" ref="AC4:AC16" si="3">R4</f>
        <v>0</v>
      </c>
      <c r="AD4" s="95">
        <f t="shared" ref="AD4:AD16" si="4">ROUND(S4-T4-U4-AB4-AC4,2)</f>
        <v>24985.48</v>
      </c>
      <c r="AE4" s="96">
        <f>ROUND(MAX((AD4)*{0.03;0.1;0.2;0.25;0.3;0.35;0.45}-{0;2520;16920;31920;52920;85920;181920},0),2)</f>
        <v>749.56</v>
      </c>
      <c r="AF4" s="97">
        <f>IFERROR(VLOOKUP(E:E,'（居民）工资表-4月'!E:AF,28,0)+VLOOKUP(E:E,'（居民）工资表-4月'!E:AG,29,0),0)</f>
        <v>569</v>
      </c>
      <c r="AG4" s="97">
        <f t="shared" ref="AG4:AG16" si="5">IF((AE4-AF4)&lt;0,0,AE4-AF4)</f>
        <v>180.56</v>
      </c>
      <c r="AH4" s="104">
        <f t="shared" ref="AH4:AH16" si="6">ROUND(IF((L4-Q4-AG4)&lt;0,0,(L4-Q4-AG4)),2)</f>
        <v>10838.38</v>
      </c>
      <c r="AI4" s="105"/>
      <c r="AJ4" s="104">
        <f t="shared" ref="AJ4:AJ16" si="7">AH4+AI4</f>
        <v>10838.38</v>
      </c>
      <c r="AK4" s="106"/>
      <c r="AL4" s="104">
        <f t="shared" ref="AL4:AL16" si="8">AJ4+AG4+AK4</f>
        <v>11018.94</v>
      </c>
      <c r="AM4" s="106"/>
      <c r="AN4" s="106"/>
      <c r="AO4" s="106"/>
      <c r="AP4" s="106"/>
      <c r="AQ4" s="106"/>
      <c r="AR4" s="113" t="str">
        <f t="shared" ref="AR4:AR16" si="9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9" si="10">IF(SUMPRODUCT(N(E$1:E$3=E4))&gt;1,"重复","不")</f>
        <v>不</v>
      </c>
      <c r="AT4" s="113" t="str">
        <f t="shared" ref="AT4:AT9" si="11">IF(SUMPRODUCT(N(AO$1:AO$3=AO4))&gt;1,"重复","不")</f>
        <v>重复</v>
      </c>
    </row>
    <row r="5" s="12" customFormat="1" ht="18" customHeight="1" spans="1:46">
      <c r="A5" s="36">
        <v>2</v>
      </c>
      <c r="B5" s="37" t="s">
        <v>127</v>
      </c>
      <c r="C5" s="37" t="s">
        <v>141</v>
      </c>
      <c r="D5" s="37" t="s">
        <v>129</v>
      </c>
      <c r="E5" s="313" t="s">
        <v>142</v>
      </c>
      <c r="F5" s="38" t="str">
        <f t="shared" si="0"/>
        <v>男</v>
      </c>
      <c r="G5" s="39">
        <v>17611149839</v>
      </c>
      <c r="H5" s="40"/>
      <c r="I5" s="40"/>
      <c r="J5" s="134"/>
      <c r="K5" s="40"/>
      <c r="L5" s="72">
        <v>10747.1264367816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L5+IFERROR(VLOOKUP($E:$E,'（居民）工资表-4月'!$E:$S,15,0),0)</f>
        <v>50481.3793103448</v>
      </c>
      <c r="T5" s="93">
        <f>5000+IFERROR(VLOOKUP($E:$E,'（居民）工资表-4月'!$E:$T,16,0),0)</f>
        <v>25000</v>
      </c>
      <c r="U5" s="93">
        <f>Q5+IFERROR(VLOOKUP($E:$E,'（居民）工资表-4月'!$E:$U,17,0),0)</f>
        <v>5049</v>
      </c>
      <c r="V5" s="72">
        <v>0</v>
      </c>
      <c r="W5" s="72">
        <v>0</v>
      </c>
      <c r="X5" s="72">
        <v>0</v>
      </c>
      <c r="Y5" s="72">
        <v>0</v>
      </c>
      <c r="Z5" s="72">
        <v>0</v>
      </c>
      <c r="AA5" s="72"/>
      <c r="AB5" s="92">
        <f t="shared" si="2"/>
        <v>0</v>
      </c>
      <c r="AC5" s="92">
        <f t="shared" si="3"/>
        <v>0</v>
      </c>
      <c r="AD5" s="95">
        <f t="shared" si="4"/>
        <v>20432.38</v>
      </c>
      <c r="AE5" s="96">
        <f>ROUND(MAX((AD5)*{0.03;0.1;0.2;0.25;0.3;0.35;0.45}-{0;2520;16920;31920;52920;85920;181920},0),2)</f>
        <v>612.97</v>
      </c>
      <c r="AF5" s="97">
        <f>IFERROR(VLOOKUP(E:E,'（居民）工资表-4月'!E:AF,28,0)+VLOOKUP(E:E,'（居民）工资表-4月'!E:AG,29,0),0)</f>
        <v>470.85</v>
      </c>
      <c r="AG5" s="97">
        <f t="shared" si="5"/>
        <v>142.12</v>
      </c>
      <c r="AH5" s="104">
        <f t="shared" si="6"/>
        <v>9595.21</v>
      </c>
      <c r="AI5" s="105"/>
      <c r="AJ5" s="104">
        <f t="shared" si="7"/>
        <v>9595.21</v>
      </c>
      <c r="AK5" s="106"/>
      <c r="AL5" s="104">
        <f t="shared" si="8"/>
        <v>9737.33</v>
      </c>
      <c r="AM5" s="106"/>
      <c r="AN5" s="106"/>
      <c r="AO5" s="106"/>
      <c r="AP5" s="106"/>
      <c r="AQ5" s="106"/>
      <c r="AR5" s="113" t="str">
        <f t="shared" si="9"/>
        <v>正确</v>
      </c>
      <c r="AS5" s="113" t="str">
        <f t="shared" si="10"/>
        <v>不</v>
      </c>
      <c r="AT5" s="113" t="str">
        <f t="shared" si="11"/>
        <v>重复</v>
      </c>
    </row>
    <row r="6" s="12" customFormat="1" ht="18" customHeight="1" spans="1:46">
      <c r="A6" s="36">
        <v>3</v>
      </c>
      <c r="B6" s="37" t="s">
        <v>127</v>
      </c>
      <c r="C6" s="37" t="s">
        <v>143</v>
      </c>
      <c r="D6" s="37" t="s">
        <v>129</v>
      </c>
      <c r="E6" s="313" t="s">
        <v>144</v>
      </c>
      <c r="F6" s="38" t="str">
        <f t="shared" si="0"/>
        <v>男</v>
      </c>
      <c r="G6" s="39">
        <v>13596154643</v>
      </c>
      <c r="H6" s="40"/>
      <c r="I6" s="40"/>
      <c r="J6" s="134"/>
      <c r="K6" s="40"/>
      <c r="L6" s="72">
        <v>12028.7356321839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L6+IFERROR(VLOOKUP($E:$E,'（居民）工资表-4月'!$E:$S,15,0),0)</f>
        <v>55064.4827586207</v>
      </c>
      <c r="T6" s="93">
        <f>5000+IFERROR(VLOOKUP($E:$E,'（居民）工资表-4月'!$E:$T,16,0),0)</f>
        <v>25000</v>
      </c>
      <c r="U6" s="93">
        <f>Q6+IFERROR(VLOOKUP($E:$E,'（居民）工资表-4月'!$E:$U,17,0),0)</f>
        <v>5049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/>
      <c r="AB6" s="92">
        <f t="shared" si="2"/>
        <v>0</v>
      </c>
      <c r="AC6" s="92">
        <f t="shared" si="3"/>
        <v>0</v>
      </c>
      <c r="AD6" s="95">
        <f t="shared" si="4"/>
        <v>25015.48</v>
      </c>
      <c r="AE6" s="96">
        <f>ROUND(MAX((AD6)*{0.03;0.1;0.2;0.25;0.3;0.35;0.45}-{0;2520;16920;31920;52920;85920;181920},0),2)</f>
        <v>750.46</v>
      </c>
      <c r="AF6" s="97">
        <f>IFERROR(VLOOKUP(E:E,'（居民）工资表-4月'!E:AF,28,0)+VLOOKUP(E:E,'（居民）工资表-4月'!E:AG,29,0),0)</f>
        <v>569.9</v>
      </c>
      <c r="AG6" s="97">
        <f t="shared" si="5"/>
        <v>180.56</v>
      </c>
      <c r="AH6" s="104">
        <f t="shared" si="6"/>
        <v>10838.38</v>
      </c>
      <c r="AI6" s="105"/>
      <c r="AJ6" s="104">
        <f t="shared" si="7"/>
        <v>10838.38</v>
      </c>
      <c r="AK6" s="106"/>
      <c r="AL6" s="104">
        <f t="shared" si="8"/>
        <v>11018.94</v>
      </c>
      <c r="AM6" s="106"/>
      <c r="AN6" s="106"/>
      <c r="AO6" s="106"/>
      <c r="AP6" s="106"/>
      <c r="AQ6" s="106"/>
      <c r="AR6" s="113" t="str">
        <f t="shared" si="9"/>
        <v>正确</v>
      </c>
      <c r="AS6" s="113" t="str">
        <f t="shared" si="10"/>
        <v>不</v>
      </c>
      <c r="AT6" s="113" t="str">
        <f t="shared" si="11"/>
        <v>重复</v>
      </c>
    </row>
    <row r="7" s="12" customFormat="1" ht="18" customHeight="1" spans="1:46">
      <c r="A7" s="36">
        <v>4</v>
      </c>
      <c r="B7" s="37" t="s">
        <v>127</v>
      </c>
      <c r="C7" s="37" t="s">
        <v>147</v>
      </c>
      <c r="D7" s="37" t="s">
        <v>129</v>
      </c>
      <c r="E7" s="313" t="s">
        <v>148</v>
      </c>
      <c r="F7" s="38" t="str">
        <f t="shared" si="0"/>
        <v>男</v>
      </c>
      <c r="G7" s="39">
        <v>13626366929</v>
      </c>
      <c r="H7" s="40"/>
      <c r="I7" s="40"/>
      <c r="J7" s="134"/>
      <c r="K7" s="40"/>
      <c r="L7" s="72">
        <v>14110.3448275862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L7+IFERROR(VLOOKUP($E:$E,'（居民）工资表-4月'!$E:$S,15,0),0)</f>
        <v>74490</v>
      </c>
      <c r="T7" s="93">
        <f>5000+IFERROR(VLOOKUP($E:$E,'（居民）工资表-4月'!$E:$T,16,0),0)</f>
        <v>25000</v>
      </c>
      <c r="U7" s="93">
        <f>Q7+IFERROR(VLOOKUP($E:$E,'（居民）工资表-4月'!$E:$U,17,0),0)</f>
        <v>5049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/>
      <c r="AB7" s="92">
        <f t="shared" si="2"/>
        <v>0</v>
      </c>
      <c r="AC7" s="92">
        <f t="shared" si="3"/>
        <v>0</v>
      </c>
      <c r="AD7" s="95">
        <f t="shared" si="4"/>
        <v>44441</v>
      </c>
      <c r="AE7" s="96">
        <f>ROUND(MAX((AD7)*{0.03;0.1;0.2;0.25;0.3;0.35;0.45}-{0;2520;16920;31920;52920;85920;181920},0),2)</f>
        <v>1924.1</v>
      </c>
      <c r="AF7" s="97">
        <f>IFERROR(VLOOKUP(E:E,'（居民）工资表-4月'!E:AF,28,0)+VLOOKUP(E:E,'（居民）工资表-4月'!E:AG,29,0),0)</f>
        <v>1114.05</v>
      </c>
      <c r="AG7" s="97">
        <f t="shared" si="5"/>
        <v>810.05</v>
      </c>
      <c r="AH7" s="104">
        <f t="shared" si="6"/>
        <v>12290.49</v>
      </c>
      <c r="AI7" s="105"/>
      <c r="AJ7" s="104">
        <f t="shared" si="7"/>
        <v>12290.49</v>
      </c>
      <c r="AK7" s="106"/>
      <c r="AL7" s="104">
        <f t="shared" si="8"/>
        <v>13100.54</v>
      </c>
      <c r="AM7" s="106"/>
      <c r="AN7" s="106"/>
      <c r="AO7" s="106"/>
      <c r="AP7" s="106"/>
      <c r="AQ7" s="106"/>
      <c r="AR7" s="113" t="str">
        <f t="shared" si="9"/>
        <v>正确</v>
      </c>
      <c r="AS7" s="113" t="str">
        <f t="shared" si="10"/>
        <v>不</v>
      </c>
      <c r="AT7" s="113" t="str">
        <f t="shared" si="11"/>
        <v>重复</v>
      </c>
    </row>
    <row r="8" s="12" customFormat="1" ht="18" customHeight="1" spans="1:46">
      <c r="A8" s="36">
        <v>5</v>
      </c>
      <c r="B8" s="37" t="s">
        <v>127</v>
      </c>
      <c r="C8" s="37" t="s">
        <v>151</v>
      </c>
      <c r="D8" s="37" t="s">
        <v>129</v>
      </c>
      <c r="E8" s="313" t="s">
        <v>152</v>
      </c>
      <c r="F8" s="38" t="str">
        <f t="shared" si="0"/>
        <v>女</v>
      </c>
      <c r="G8" s="39">
        <v>18674014622</v>
      </c>
      <c r="H8" s="40"/>
      <c r="I8" s="40"/>
      <c r="J8" s="134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600</v>
      </c>
      <c r="Q8" s="91">
        <f t="shared" si="1"/>
        <v>1165.8</v>
      </c>
      <c r="R8" s="72">
        <v>0</v>
      </c>
      <c r="S8" s="92">
        <f>L8+IFERROR(VLOOKUP($E:$E,'（居民）工资表-4月'!$E:$S,15,0),0)</f>
        <v>48275.8620689655</v>
      </c>
      <c r="T8" s="93">
        <f>5000+IFERROR(VLOOKUP($E:$E,'（居民）工资表-4月'!$E:$T,16,0),0)</f>
        <v>25000</v>
      </c>
      <c r="U8" s="93">
        <f>Q8+IFERROR(VLOOKUP($E:$E,'（居民）工资表-4月'!$E:$U,17,0),0)</f>
        <v>5829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/>
      <c r="AB8" s="92">
        <f t="shared" si="2"/>
        <v>0</v>
      </c>
      <c r="AC8" s="92">
        <f t="shared" si="3"/>
        <v>0</v>
      </c>
      <c r="AD8" s="95">
        <f t="shared" si="4"/>
        <v>17446.86</v>
      </c>
      <c r="AE8" s="96">
        <f>ROUND(MAX((AD8)*{0.03;0.1;0.2;0.25;0.3;0.35;0.45}-{0;2520;16920;31920;52920;85920;181920},0),2)</f>
        <v>523.41</v>
      </c>
      <c r="AF8" s="97">
        <f>IFERROR(VLOOKUP(E:E,'（居民）工资表-4月'!E:AF,28,0)+VLOOKUP(E:E,'（居民）工资表-4月'!E:AG,29,0),0)</f>
        <v>408.38</v>
      </c>
      <c r="AG8" s="97">
        <f t="shared" si="5"/>
        <v>115.03</v>
      </c>
      <c r="AH8" s="104">
        <f t="shared" si="6"/>
        <v>8719.17</v>
      </c>
      <c r="AI8" s="105"/>
      <c r="AJ8" s="104">
        <f t="shared" si="7"/>
        <v>8719.17</v>
      </c>
      <c r="AK8" s="106"/>
      <c r="AL8" s="104">
        <f t="shared" si="8"/>
        <v>8834.2</v>
      </c>
      <c r="AM8" s="106"/>
      <c r="AN8" s="106"/>
      <c r="AO8" s="106"/>
      <c r="AP8" s="106"/>
      <c r="AQ8" s="106"/>
      <c r="AR8" s="113" t="str">
        <f t="shared" si="9"/>
        <v>正确</v>
      </c>
      <c r="AS8" s="113" t="str">
        <f t="shared" si="10"/>
        <v>不</v>
      </c>
      <c r="AT8" s="113" t="str">
        <f t="shared" si="11"/>
        <v>重复</v>
      </c>
    </row>
    <row r="9" s="12" customFormat="1" ht="18" customHeight="1" spans="1:46">
      <c r="A9" s="36">
        <v>6</v>
      </c>
      <c r="B9" s="37" t="s">
        <v>127</v>
      </c>
      <c r="C9" s="37" t="s">
        <v>153</v>
      </c>
      <c r="D9" s="37" t="s">
        <v>129</v>
      </c>
      <c r="E9" s="313" t="s">
        <v>154</v>
      </c>
      <c r="F9" s="38" t="str">
        <f t="shared" si="0"/>
        <v>女</v>
      </c>
      <c r="G9" s="39">
        <v>15145001723</v>
      </c>
      <c r="H9" s="40"/>
      <c r="I9" s="40"/>
      <c r="J9" s="134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>L9+IFERROR(VLOOKUP($E:$E,'（居民）工资表-4月'!$E:$S,15,0),0)</f>
        <v>42758.6206896552</v>
      </c>
      <c r="T9" s="93">
        <f>5000+IFERROR(VLOOKUP($E:$E,'（居民）工资表-4月'!$E:$T,16,0),0)</f>
        <v>25000</v>
      </c>
      <c r="U9" s="93">
        <f>Q9+IFERROR(VLOOKUP($E:$E,'（居民）工资表-4月'!$E:$U,17,0),0)</f>
        <v>4039.2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/>
      <c r="AB9" s="92">
        <f t="shared" si="2"/>
        <v>0</v>
      </c>
      <c r="AC9" s="92">
        <f t="shared" si="3"/>
        <v>0</v>
      </c>
      <c r="AD9" s="95">
        <f t="shared" si="4"/>
        <v>13719.42</v>
      </c>
      <c r="AE9" s="96">
        <f>ROUND(MAX((AD9)*{0.03;0.1;0.2;0.25;0.3;0.35;0.45}-{0;2520;16920;31920;52920;85920;181920},0),2)</f>
        <v>411.58</v>
      </c>
      <c r="AF9" s="97">
        <f>IFERROR(VLOOKUP(E:E,'（居民）工资表-4月'!E:AF,28,0)+VLOOKUP(E:E,'（居民）工资表-4月'!E:AG,29,0),0)</f>
        <v>291.88</v>
      </c>
      <c r="AG9" s="97">
        <f t="shared" si="5"/>
        <v>119.7</v>
      </c>
      <c r="AH9" s="104">
        <f t="shared" si="6"/>
        <v>8870.5</v>
      </c>
      <c r="AI9" s="105"/>
      <c r="AJ9" s="104">
        <f t="shared" si="7"/>
        <v>8870.5</v>
      </c>
      <c r="AK9" s="106"/>
      <c r="AL9" s="104">
        <f t="shared" si="8"/>
        <v>8990.2</v>
      </c>
      <c r="AM9" s="106"/>
      <c r="AN9" s="106"/>
      <c r="AO9" s="106"/>
      <c r="AP9" s="106"/>
      <c r="AQ9" s="106"/>
      <c r="AR9" s="113" t="str">
        <f t="shared" si="9"/>
        <v>正确</v>
      </c>
      <c r="AS9" s="113" t="str">
        <f t="shared" si="10"/>
        <v>不</v>
      </c>
      <c r="AT9" s="113" t="str">
        <f t="shared" si="11"/>
        <v>重复</v>
      </c>
    </row>
    <row r="10" s="12" customFormat="1" ht="18" customHeight="1" spans="1:46">
      <c r="A10" s="36">
        <v>7</v>
      </c>
      <c r="B10" s="37" t="s">
        <v>127</v>
      </c>
      <c r="C10" s="37" t="s">
        <v>169</v>
      </c>
      <c r="D10" s="37" t="s">
        <v>129</v>
      </c>
      <c r="E10" s="313" t="s">
        <v>170</v>
      </c>
      <c r="F10" s="38" t="str">
        <f t="shared" si="0"/>
        <v>女</v>
      </c>
      <c r="G10" s="39">
        <v>18745463721</v>
      </c>
      <c r="H10" s="40"/>
      <c r="I10" s="40"/>
      <c r="J10" s="134"/>
      <c r="K10" s="40"/>
      <c r="L10" s="72">
        <v>9988.50574712644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>L10+IFERROR(VLOOKUP($E:$E,'（居民）工资表-4月'!$E:$S,15,0),0)</f>
        <v>38563.2183908046</v>
      </c>
      <c r="T10" s="93">
        <f>5000+IFERROR(VLOOKUP($E:$E,'（居民）工资表-4月'!$E:$T,16,0),0)</f>
        <v>20000</v>
      </c>
      <c r="U10" s="93">
        <f>Q10+IFERROR(VLOOKUP($E:$E,'（居民）工资表-4月'!$E:$U,17,0),0)</f>
        <v>4039.2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/>
      <c r="AB10" s="92">
        <f t="shared" si="2"/>
        <v>0</v>
      </c>
      <c r="AC10" s="92">
        <f t="shared" si="3"/>
        <v>0</v>
      </c>
      <c r="AD10" s="95">
        <f t="shared" si="4"/>
        <v>14524.02</v>
      </c>
      <c r="AE10" s="96">
        <f>ROUND(MAX((AD10)*{0.03;0.1;0.2;0.25;0.3;0.35;0.45}-{0;2520;16920;31920;52920;85920;181920},0),2)</f>
        <v>435.72</v>
      </c>
      <c r="AF10" s="97">
        <f>IFERROR(VLOOKUP(E:E,'（居民）工资表-4月'!E:AF,28,0)+VLOOKUP(E:E,'（居民）工资表-4月'!E:AG,29,0),0)</f>
        <v>316.36</v>
      </c>
      <c r="AG10" s="97">
        <f t="shared" si="5"/>
        <v>119.36</v>
      </c>
      <c r="AH10" s="104">
        <f t="shared" si="6"/>
        <v>8859.35</v>
      </c>
      <c r="AI10" s="105"/>
      <c r="AJ10" s="104">
        <f t="shared" si="7"/>
        <v>8859.35</v>
      </c>
      <c r="AK10" s="106"/>
      <c r="AL10" s="104">
        <f t="shared" si="8"/>
        <v>8978.71</v>
      </c>
      <c r="AM10" s="106"/>
      <c r="AN10" s="106"/>
      <c r="AO10" s="106"/>
      <c r="AP10" s="106"/>
      <c r="AQ10" s="106"/>
      <c r="AR10" s="113" t="str">
        <f t="shared" si="9"/>
        <v>正确</v>
      </c>
      <c r="AS10" s="113" t="str">
        <f t="shared" ref="AS10:AS16" si="12">IF(SUMPRODUCT(N(E$1:E$3=E10))&gt;1,"重复","不")</f>
        <v>不</v>
      </c>
      <c r="AT10" s="113" t="str">
        <f t="shared" ref="AT10:AT16" si="13">IF(SUMPRODUCT(N(AO$1:AO$3=AO10))&gt;1,"重复","不")</f>
        <v>重复</v>
      </c>
    </row>
    <row r="11" s="12" customFormat="1" ht="18" customHeight="1" spans="1:46">
      <c r="A11" s="36">
        <v>8</v>
      </c>
      <c r="B11" s="37" t="s">
        <v>127</v>
      </c>
      <c r="C11" s="37" t="s">
        <v>171</v>
      </c>
      <c r="D11" s="37" t="s">
        <v>129</v>
      </c>
      <c r="E11" s="313" t="s">
        <v>172</v>
      </c>
      <c r="F11" s="38" t="str">
        <f t="shared" si="0"/>
        <v>女</v>
      </c>
      <c r="G11" s="39">
        <v>18935711299</v>
      </c>
      <c r="H11" s="40"/>
      <c r="I11" s="40"/>
      <c r="J11" s="134"/>
      <c r="K11" s="40"/>
      <c r="L11" s="72">
        <v>10747.1264367816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1"/>
        <v>1009.8</v>
      </c>
      <c r="R11" s="72">
        <v>0</v>
      </c>
      <c r="S11" s="92">
        <f>L11+IFERROR(VLOOKUP($E:$E,'（居民）工资表-4月'!$E:$S,15,0),0)</f>
        <v>42614.2528735632</v>
      </c>
      <c r="T11" s="93">
        <f>5000+IFERROR(VLOOKUP($E:$E,'（居民）工资表-4月'!$E:$T,16,0),0)</f>
        <v>20000</v>
      </c>
      <c r="U11" s="93">
        <f>Q11+IFERROR(VLOOKUP($E:$E,'（居民）工资表-4月'!$E:$U,17,0),0)</f>
        <v>4039.2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/>
      <c r="AB11" s="92">
        <f t="shared" si="2"/>
        <v>0</v>
      </c>
      <c r="AC11" s="92">
        <f t="shared" si="3"/>
        <v>0</v>
      </c>
      <c r="AD11" s="95">
        <f t="shared" si="4"/>
        <v>18575.05</v>
      </c>
      <c r="AE11" s="96">
        <f>ROUND(MAX((AD11)*{0.03;0.1;0.2;0.25;0.3;0.35;0.45}-{0;2520;16920;31920;52920;85920;181920},0),2)</f>
        <v>557.25</v>
      </c>
      <c r="AF11" s="97">
        <f>IFERROR(VLOOKUP(E:E,'（居民）工资表-4月'!E:AF,28,0)+VLOOKUP(E:E,'（居民）工资表-4月'!E:AG,29,0),0)</f>
        <v>415.13</v>
      </c>
      <c r="AG11" s="97">
        <f t="shared" si="5"/>
        <v>142.12</v>
      </c>
      <c r="AH11" s="104">
        <f t="shared" si="6"/>
        <v>9595.21</v>
      </c>
      <c r="AI11" s="105"/>
      <c r="AJ11" s="104">
        <f t="shared" si="7"/>
        <v>9595.21</v>
      </c>
      <c r="AK11" s="106"/>
      <c r="AL11" s="104">
        <f t="shared" si="8"/>
        <v>9737.33</v>
      </c>
      <c r="AM11" s="106"/>
      <c r="AN11" s="106"/>
      <c r="AO11" s="106"/>
      <c r="AP11" s="106"/>
      <c r="AQ11" s="106"/>
      <c r="AR11" s="113" t="str">
        <f t="shared" si="9"/>
        <v>正确</v>
      </c>
      <c r="AS11" s="113" t="str">
        <f t="shared" si="12"/>
        <v>不</v>
      </c>
      <c r="AT11" s="113" t="str">
        <f t="shared" si="13"/>
        <v>重复</v>
      </c>
    </row>
    <row r="12" s="12" customFormat="1" ht="18" customHeight="1" spans="1:46">
      <c r="A12" s="36">
        <v>9</v>
      </c>
      <c r="B12" s="37" t="s">
        <v>127</v>
      </c>
      <c r="C12" s="37" t="s">
        <v>173</v>
      </c>
      <c r="D12" s="37" t="s">
        <v>129</v>
      </c>
      <c r="E12" s="313" t="s">
        <v>174</v>
      </c>
      <c r="F12" s="38" t="str">
        <f t="shared" si="0"/>
        <v>女</v>
      </c>
      <c r="G12" s="39">
        <v>13301242552</v>
      </c>
      <c r="H12" s="40"/>
      <c r="I12" s="40"/>
      <c r="J12" s="134"/>
      <c r="K12" s="40"/>
      <c r="L12" s="72">
        <v>14000</v>
      </c>
      <c r="M12" s="73">
        <v>640</v>
      </c>
      <c r="N12" s="73">
        <v>163</v>
      </c>
      <c r="O12" s="73">
        <v>40</v>
      </c>
      <c r="P12" s="73">
        <v>960</v>
      </c>
      <c r="Q12" s="91">
        <f t="shared" si="1"/>
        <v>1803</v>
      </c>
      <c r="R12" s="72">
        <v>0</v>
      </c>
      <c r="S12" s="92">
        <f>L12+IFERROR(VLOOKUP($E:$E,'（居民）工资表-4月'!$E:$S,15,0),0)</f>
        <v>55000</v>
      </c>
      <c r="T12" s="93">
        <f>5000+IFERROR(VLOOKUP($E:$E,'（居民）工资表-4月'!$E:$T,16,0),0)</f>
        <v>15000</v>
      </c>
      <c r="U12" s="93">
        <f>Q12+IFERROR(VLOOKUP($E:$E,'（居民）工资表-4月'!$E:$U,17,0),0)</f>
        <v>5409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/>
      <c r="AB12" s="92">
        <f t="shared" si="2"/>
        <v>0</v>
      </c>
      <c r="AC12" s="92">
        <f t="shared" si="3"/>
        <v>0</v>
      </c>
      <c r="AD12" s="95">
        <f t="shared" si="4"/>
        <v>34591</v>
      </c>
      <c r="AE12" s="96">
        <f>ROUND(MAX((AD12)*{0.03;0.1;0.2;0.25;0.3;0.35;0.45}-{0;2520;16920;31920;52920;85920;181920},0),2)</f>
        <v>1037.73</v>
      </c>
      <c r="AF12" s="97">
        <f>IFERROR(VLOOKUP(E:E,'（居民）工资表-4月'!E:AF,28,0)+VLOOKUP(E:E,'（居民）工资表-4月'!E:AG,29,0),0)</f>
        <v>821.82</v>
      </c>
      <c r="AG12" s="97">
        <f t="shared" si="5"/>
        <v>215.91</v>
      </c>
      <c r="AH12" s="104">
        <f t="shared" si="6"/>
        <v>11981.09</v>
      </c>
      <c r="AI12" s="105"/>
      <c r="AJ12" s="104">
        <f t="shared" si="7"/>
        <v>11981.09</v>
      </c>
      <c r="AK12" s="106"/>
      <c r="AL12" s="104">
        <f t="shared" si="8"/>
        <v>12197</v>
      </c>
      <c r="AM12" s="106"/>
      <c r="AN12" s="106"/>
      <c r="AO12" s="106"/>
      <c r="AP12" s="106"/>
      <c r="AQ12" s="106"/>
      <c r="AR12" s="113" t="str">
        <f t="shared" si="9"/>
        <v>正确</v>
      </c>
      <c r="AS12" s="113" t="str">
        <f t="shared" si="12"/>
        <v>不</v>
      </c>
      <c r="AT12" s="113" t="str">
        <f t="shared" si="13"/>
        <v>重复</v>
      </c>
    </row>
    <row r="13" s="12" customFormat="1" ht="18" customHeight="1" spans="1:46">
      <c r="A13" s="36">
        <v>10</v>
      </c>
      <c r="B13" s="37" t="s">
        <v>127</v>
      </c>
      <c r="C13" s="37" t="s">
        <v>198</v>
      </c>
      <c r="D13" s="37" t="s">
        <v>129</v>
      </c>
      <c r="E13" s="313" t="s">
        <v>199</v>
      </c>
      <c r="F13" s="38" t="str">
        <f t="shared" si="0"/>
        <v>女</v>
      </c>
      <c r="G13" s="39">
        <v>15321201469</v>
      </c>
      <c r="H13" s="40"/>
      <c r="I13" s="40"/>
      <c r="J13" s="134"/>
      <c r="K13" s="40"/>
      <c r="L13" s="72">
        <v>15000</v>
      </c>
      <c r="M13" s="73">
        <v>560</v>
      </c>
      <c r="N13" s="73">
        <v>143</v>
      </c>
      <c r="O13" s="73">
        <v>35</v>
      </c>
      <c r="P13" s="73">
        <v>840</v>
      </c>
      <c r="Q13" s="91">
        <f t="shared" si="1"/>
        <v>1578</v>
      </c>
      <c r="R13" s="72">
        <v>0</v>
      </c>
      <c r="S13" s="92">
        <f>L13+IFERROR(VLOOKUP($E:$E,'（居民）工资表-4月'!$E:$S,15,0),0)</f>
        <v>25359.7701149425</v>
      </c>
      <c r="T13" s="93">
        <f>5000+IFERROR(VLOOKUP($E:$E,'（居民）工资表-4月'!$E:$T,16,0),0)</f>
        <v>10000</v>
      </c>
      <c r="U13" s="93">
        <f>Q13+IFERROR(VLOOKUP($E:$E,'（居民）工资表-4月'!$E:$U,17,0),0)</f>
        <v>3156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/>
      <c r="AB13" s="92">
        <f t="shared" si="2"/>
        <v>0</v>
      </c>
      <c r="AC13" s="92">
        <f t="shared" si="3"/>
        <v>0</v>
      </c>
      <c r="AD13" s="95">
        <f t="shared" si="4"/>
        <v>12203.77</v>
      </c>
      <c r="AE13" s="96">
        <f>ROUND(MAX((AD13)*{0.03;0.1;0.2;0.25;0.3;0.35;0.45}-{0;2520;16920;31920;52920;85920;181920},0),2)</f>
        <v>366.11</v>
      </c>
      <c r="AF13" s="97">
        <f>IFERROR(VLOOKUP(E:E,'（居民）工资表-4月'!E:AF,28,0)+VLOOKUP(E:E,'（居民）工资表-4月'!E:AG,29,0),0)</f>
        <v>113.45</v>
      </c>
      <c r="AG13" s="97">
        <f t="shared" si="5"/>
        <v>252.66</v>
      </c>
      <c r="AH13" s="104">
        <f t="shared" si="6"/>
        <v>13169.34</v>
      </c>
      <c r="AI13" s="105"/>
      <c r="AJ13" s="104">
        <f t="shared" si="7"/>
        <v>13169.34</v>
      </c>
      <c r="AK13" s="106"/>
      <c r="AL13" s="104">
        <f t="shared" si="8"/>
        <v>13422</v>
      </c>
      <c r="AM13" s="106"/>
      <c r="AN13" s="106"/>
      <c r="AO13" s="106"/>
      <c r="AP13" s="106"/>
      <c r="AQ13" s="106"/>
      <c r="AR13" s="113" t="str">
        <f t="shared" si="9"/>
        <v>正确</v>
      </c>
      <c r="AS13" s="113" t="str">
        <f t="shared" si="12"/>
        <v>不</v>
      </c>
      <c r="AT13" s="113" t="str">
        <f t="shared" si="13"/>
        <v>重复</v>
      </c>
    </row>
    <row r="14" s="12" customFormat="1" ht="18" customHeight="1" spans="1:46">
      <c r="A14" s="36">
        <v>11</v>
      </c>
      <c r="B14" s="37" t="s">
        <v>127</v>
      </c>
      <c r="C14" s="37" t="s">
        <v>200</v>
      </c>
      <c r="D14" s="37" t="s">
        <v>129</v>
      </c>
      <c r="E14" s="313" t="s">
        <v>201</v>
      </c>
      <c r="F14" s="38" t="str">
        <f t="shared" si="0"/>
        <v>女</v>
      </c>
      <c r="G14" s="39">
        <v>17611309622</v>
      </c>
      <c r="H14" s="40"/>
      <c r="I14" s="40"/>
      <c r="J14" s="134"/>
      <c r="K14" s="40"/>
      <c r="L14" s="72">
        <v>12551.724137931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"/>
        <v>1009.8</v>
      </c>
      <c r="R14" s="72">
        <v>0</v>
      </c>
      <c r="S14" s="92">
        <f>L14+IFERROR(VLOOKUP($E:$E,'（居民）工资表-4月'!$E:$S,15,0),0)</f>
        <v>20275.8620689655</v>
      </c>
      <c r="T14" s="93">
        <f>5000+IFERROR(VLOOKUP($E:$E,'（居民）工资表-4月'!$E:$T,16,0),0)</f>
        <v>10000</v>
      </c>
      <c r="U14" s="93">
        <f>Q14+IFERROR(VLOOKUP($E:$E,'（居民）工资表-4月'!$E:$U,17,0),0)</f>
        <v>2019.6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/>
      <c r="AB14" s="92">
        <f t="shared" si="2"/>
        <v>0</v>
      </c>
      <c r="AC14" s="92">
        <f t="shared" si="3"/>
        <v>0</v>
      </c>
      <c r="AD14" s="95">
        <f t="shared" si="4"/>
        <v>8256.26</v>
      </c>
      <c r="AE14" s="96">
        <f>ROUND(MAX((AD14)*{0.03;0.1;0.2;0.25;0.3;0.35;0.45}-{0;2520;16920;31920;52920;85920;181920},0),2)</f>
        <v>247.69</v>
      </c>
      <c r="AF14" s="97">
        <f>IFERROR(VLOOKUP(E:E,'（居民）工资表-4月'!E:AF,28,0)+VLOOKUP(E:E,'（居民）工资表-4月'!E:AG,29,0),0)</f>
        <v>51.43</v>
      </c>
      <c r="AG14" s="97">
        <f t="shared" si="5"/>
        <v>196.26</v>
      </c>
      <c r="AH14" s="104">
        <f t="shared" si="6"/>
        <v>11345.66</v>
      </c>
      <c r="AI14" s="105"/>
      <c r="AJ14" s="104">
        <f t="shared" si="7"/>
        <v>11345.66</v>
      </c>
      <c r="AK14" s="106"/>
      <c r="AL14" s="104">
        <f t="shared" si="8"/>
        <v>11541.92</v>
      </c>
      <c r="AM14" s="106"/>
      <c r="AN14" s="106"/>
      <c r="AO14" s="106"/>
      <c r="AP14" s="106"/>
      <c r="AQ14" s="106"/>
      <c r="AR14" s="113" t="str">
        <f t="shared" si="9"/>
        <v>正确</v>
      </c>
      <c r="AS14" s="113" t="str">
        <f t="shared" si="12"/>
        <v>不</v>
      </c>
      <c r="AT14" s="113" t="str">
        <f t="shared" si="13"/>
        <v>重复</v>
      </c>
    </row>
    <row r="15" s="12" customFormat="1" ht="18" customHeight="1" spans="1:46">
      <c r="A15" s="36">
        <v>12</v>
      </c>
      <c r="B15" s="37" t="s">
        <v>127</v>
      </c>
      <c r="C15" s="37" t="s">
        <v>202</v>
      </c>
      <c r="D15" s="37" t="s">
        <v>129</v>
      </c>
      <c r="E15" s="37" t="s">
        <v>203</v>
      </c>
      <c r="F15" s="38" t="s">
        <v>204</v>
      </c>
      <c r="G15" s="39">
        <v>15091197795</v>
      </c>
      <c r="H15" s="40"/>
      <c r="I15" s="40"/>
      <c r="J15" s="134"/>
      <c r="K15" s="40"/>
      <c r="L15" s="72">
        <v>7356.32183908046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1"/>
        <v>1009.8</v>
      </c>
      <c r="R15" s="72">
        <v>0</v>
      </c>
      <c r="S15" s="92">
        <f>L15+IFERROR(VLOOKUP($E:$E,'（居民）工资表-4月'!$E:$S,15,0),0)</f>
        <v>7356.32183908046</v>
      </c>
      <c r="T15" s="93">
        <f>5000+IFERROR(VLOOKUP($E:$E,'（居民）工资表-4月'!$E:$T,16,0),0)</f>
        <v>5000</v>
      </c>
      <c r="U15" s="93">
        <f>Q15+IFERROR(VLOOKUP($E:$E,'（居民）工资表-4月'!$E:$U,17,0),0)</f>
        <v>1009.8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/>
      <c r="AB15" s="92">
        <f t="shared" si="2"/>
        <v>0</v>
      </c>
      <c r="AC15" s="92">
        <f t="shared" si="3"/>
        <v>0</v>
      </c>
      <c r="AD15" s="95">
        <f t="shared" si="4"/>
        <v>1346.52</v>
      </c>
      <c r="AE15" s="96">
        <f>ROUND(MAX((AD15)*{0.03;0.1;0.2;0.25;0.3;0.35;0.45}-{0;2520;16920;31920;52920;85920;181920},0),2)</f>
        <v>40.4</v>
      </c>
      <c r="AF15" s="97">
        <f>IFERROR(VLOOKUP(E:E,'（居民）工资表-4月'!E:AF,28,0)+VLOOKUP(E:E,'（居民）工资表-4月'!E:AG,29,0),0)</f>
        <v>0</v>
      </c>
      <c r="AG15" s="97">
        <f t="shared" si="5"/>
        <v>40.4</v>
      </c>
      <c r="AH15" s="104">
        <f t="shared" si="6"/>
        <v>6306.12</v>
      </c>
      <c r="AI15" s="105"/>
      <c r="AJ15" s="104">
        <f t="shared" si="7"/>
        <v>6306.12</v>
      </c>
      <c r="AK15" s="106"/>
      <c r="AL15" s="104">
        <f t="shared" si="8"/>
        <v>6346.52</v>
      </c>
      <c r="AM15" s="106"/>
      <c r="AN15" s="106"/>
      <c r="AO15" s="106"/>
      <c r="AP15" s="106"/>
      <c r="AQ15" s="106"/>
      <c r="AR15" s="113" t="str">
        <f t="shared" si="9"/>
        <v>正确</v>
      </c>
      <c r="AS15" s="113" t="str">
        <f t="shared" si="12"/>
        <v>不</v>
      </c>
      <c r="AT15" s="113" t="str">
        <f t="shared" si="13"/>
        <v>重复</v>
      </c>
    </row>
    <row r="16" s="12" customFormat="1" ht="18" customHeight="1" spans="1:46">
      <c r="A16" s="36">
        <v>13</v>
      </c>
      <c r="B16" s="37" t="s">
        <v>127</v>
      </c>
      <c r="C16" s="37" t="s">
        <v>205</v>
      </c>
      <c r="D16" s="37" t="s">
        <v>129</v>
      </c>
      <c r="E16" s="37" t="s">
        <v>206</v>
      </c>
      <c r="F16" s="38" t="s">
        <v>204</v>
      </c>
      <c r="G16" s="39">
        <v>18803345711</v>
      </c>
      <c r="H16" s="40"/>
      <c r="I16" s="40"/>
      <c r="J16" s="134"/>
      <c r="K16" s="40"/>
      <c r="L16" s="72">
        <v>5977.01149425287</v>
      </c>
      <c r="M16" s="73">
        <v>428.8</v>
      </c>
      <c r="N16" s="73">
        <v>110.2</v>
      </c>
      <c r="O16" s="73">
        <v>26.8</v>
      </c>
      <c r="P16" s="73">
        <v>444</v>
      </c>
      <c r="Q16" s="91">
        <f t="shared" si="1"/>
        <v>1009.8</v>
      </c>
      <c r="R16" s="72">
        <v>0</v>
      </c>
      <c r="S16" s="92">
        <f>L16+IFERROR(VLOOKUP($E:$E,'（居民）工资表-4月'!$E:$S,15,0),0)</f>
        <v>5977.01149425287</v>
      </c>
      <c r="T16" s="93">
        <f>5000+IFERROR(VLOOKUP($E:$E,'（居民）工资表-4月'!$E:$T,16,0),0)</f>
        <v>5000</v>
      </c>
      <c r="U16" s="93">
        <f>Q16+IFERROR(VLOOKUP($E:$E,'（居民）工资表-4月'!$E:$U,17,0),0)</f>
        <v>1009.8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/>
      <c r="AB16" s="92">
        <f t="shared" si="2"/>
        <v>0</v>
      </c>
      <c r="AC16" s="92">
        <f t="shared" si="3"/>
        <v>0</v>
      </c>
      <c r="AD16" s="95">
        <f t="shared" si="4"/>
        <v>-32.79</v>
      </c>
      <c r="AE16" s="96">
        <f>ROUND(MAX((AD16)*{0.03;0.1;0.2;0.25;0.3;0.35;0.45}-{0;2520;16920;31920;52920;85920;181920},0),2)</f>
        <v>0</v>
      </c>
      <c r="AF16" s="97">
        <f>IFERROR(VLOOKUP(E:E,'（居民）工资表-4月'!E:AF,28,0)+VLOOKUP(E:E,'（居民）工资表-4月'!E:AG,29,0),0)</f>
        <v>0</v>
      </c>
      <c r="AG16" s="97">
        <f t="shared" si="5"/>
        <v>0</v>
      </c>
      <c r="AH16" s="104">
        <f t="shared" si="6"/>
        <v>4967.21</v>
      </c>
      <c r="AI16" s="105"/>
      <c r="AJ16" s="104">
        <f t="shared" si="7"/>
        <v>4967.21</v>
      </c>
      <c r="AK16" s="106"/>
      <c r="AL16" s="104">
        <f t="shared" si="8"/>
        <v>4967.21</v>
      </c>
      <c r="AM16" s="106"/>
      <c r="AN16" s="106"/>
      <c r="AO16" s="106"/>
      <c r="AP16" s="106"/>
      <c r="AQ16" s="106"/>
      <c r="AR16" s="113" t="str">
        <f t="shared" si="9"/>
        <v>正确</v>
      </c>
      <c r="AS16" s="113" t="str">
        <f t="shared" si="12"/>
        <v>不</v>
      </c>
      <c r="AT16" s="113" t="str">
        <f t="shared" si="13"/>
        <v>重复</v>
      </c>
    </row>
    <row r="17" s="12" customFormat="1" ht="18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115"/>
      <c r="K17" s="40"/>
      <c r="L17" s="72"/>
      <c r="M17" s="73"/>
      <c r="N17" s="73"/>
      <c r="O17" s="73"/>
      <c r="P17" s="73"/>
      <c r="Q17" s="91"/>
      <c r="R17" s="72"/>
      <c r="S17" s="92"/>
      <c r="T17" s="93"/>
      <c r="U17" s="93"/>
      <c r="V17" s="72"/>
      <c r="W17" s="72"/>
      <c r="X17" s="72"/>
      <c r="Y17" s="72"/>
      <c r="Z17" s="72"/>
      <c r="AA17" s="72"/>
      <c r="AB17" s="92"/>
      <c r="AC17" s="92"/>
      <c r="AD17" s="95"/>
      <c r="AE17" s="96"/>
      <c r="AF17" s="97"/>
      <c r="AG17" s="97"/>
      <c r="AH17" s="104"/>
      <c r="AI17" s="105"/>
      <c r="AJ17" s="104"/>
      <c r="AK17" s="106"/>
      <c r="AL17" s="104"/>
      <c r="AM17" s="106"/>
      <c r="AN17" s="106"/>
      <c r="AO17" s="106"/>
      <c r="AP17" s="106"/>
      <c r="AQ17" s="106"/>
      <c r="AR17" s="113"/>
      <c r="AS17" s="113"/>
      <c r="AT17" s="113"/>
    </row>
    <row r="18" s="13" customFormat="1" ht="18" customHeight="1" spans="1:46">
      <c r="A18" s="43"/>
      <c r="B18" s="44" t="s">
        <v>155</v>
      </c>
      <c r="C18" s="44"/>
      <c r="D18" s="45"/>
      <c r="E18" s="46"/>
      <c r="F18" s="47"/>
      <c r="G18" s="48"/>
      <c r="H18" s="47"/>
      <c r="I18" s="74"/>
      <c r="J18" s="75"/>
      <c r="K18" s="74"/>
      <c r="L18" s="76">
        <f>SUM(L4:L17)</f>
        <v>144535.632183908</v>
      </c>
      <c r="M18" s="76">
        <f t="shared" ref="M18:AL18" si="14">SUM(M4:M17)</f>
        <v>5916.8</v>
      </c>
      <c r="N18" s="76">
        <f t="shared" si="14"/>
        <v>1518.2</v>
      </c>
      <c r="O18" s="76">
        <f t="shared" si="14"/>
        <v>369.8</v>
      </c>
      <c r="P18" s="76">
        <f t="shared" si="14"/>
        <v>6840</v>
      </c>
      <c r="Q18" s="76">
        <f t="shared" si="14"/>
        <v>14644.8</v>
      </c>
      <c r="R18" s="76">
        <f t="shared" si="14"/>
        <v>0</v>
      </c>
      <c r="S18" s="76">
        <f t="shared" si="14"/>
        <v>521251.264367816</v>
      </c>
      <c r="T18" s="76">
        <f t="shared" si="14"/>
        <v>235000</v>
      </c>
      <c r="U18" s="76">
        <f t="shared" si="14"/>
        <v>50746.8</v>
      </c>
      <c r="V18" s="76">
        <f t="shared" si="14"/>
        <v>0</v>
      </c>
      <c r="W18" s="76">
        <f t="shared" si="14"/>
        <v>0</v>
      </c>
      <c r="X18" s="76">
        <f t="shared" si="14"/>
        <v>0</v>
      </c>
      <c r="Y18" s="76">
        <f t="shared" si="14"/>
        <v>0</v>
      </c>
      <c r="Z18" s="76">
        <f t="shared" si="14"/>
        <v>0</v>
      </c>
      <c r="AA18" s="76">
        <f t="shared" si="14"/>
        <v>0</v>
      </c>
      <c r="AB18" s="76">
        <f t="shared" si="14"/>
        <v>0</v>
      </c>
      <c r="AC18" s="76">
        <f t="shared" si="14"/>
        <v>0</v>
      </c>
      <c r="AD18" s="76">
        <f t="shared" si="14"/>
        <v>235504.45</v>
      </c>
      <c r="AE18" s="76">
        <f t="shared" si="14"/>
        <v>7656.98</v>
      </c>
      <c r="AF18" s="76">
        <f t="shared" si="14"/>
        <v>5142.25</v>
      </c>
      <c r="AG18" s="76">
        <f t="shared" si="14"/>
        <v>2514.73</v>
      </c>
      <c r="AH18" s="76">
        <f t="shared" si="14"/>
        <v>127376.11</v>
      </c>
      <c r="AI18" s="76">
        <f t="shared" si="14"/>
        <v>0</v>
      </c>
      <c r="AJ18" s="76">
        <f t="shared" si="14"/>
        <v>127376.11</v>
      </c>
      <c r="AK18" s="76">
        <f t="shared" si="14"/>
        <v>0</v>
      </c>
      <c r="AL18" s="76">
        <f t="shared" si="14"/>
        <v>129890.84</v>
      </c>
      <c r="AM18" s="108"/>
      <c r="AN18" s="108"/>
      <c r="AO18" s="108"/>
      <c r="AP18" s="108"/>
      <c r="AQ18" s="108"/>
      <c r="AR18" s="47"/>
      <c r="AS18" s="47"/>
      <c r="AT18" s="114"/>
    </row>
    <row r="21" spans="30:30">
      <c r="AD21" s="98"/>
    </row>
    <row r="22" ht="18.75" customHeight="1" spans="2:33">
      <c r="B22" s="49" t="s">
        <v>108</v>
      </c>
      <c r="C22" s="49" t="s">
        <v>156</v>
      </c>
      <c r="D22" s="49" t="s">
        <v>58</v>
      </c>
      <c r="E22" s="49" t="s">
        <v>59</v>
      </c>
      <c r="AD22" s="10"/>
      <c r="AG22" s="19"/>
    </row>
    <row r="23" ht="18.75" customHeight="1" spans="2:5">
      <c r="B23" s="50">
        <f>AJ18</f>
        <v>127376.11</v>
      </c>
      <c r="C23" s="50">
        <f>AG18</f>
        <v>2514.73</v>
      </c>
      <c r="D23" s="50">
        <f>AK18</f>
        <v>0</v>
      </c>
      <c r="E23" s="50">
        <f>B23+C23+D23</f>
        <v>129890.84</v>
      </c>
    </row>
    <row r="24" spans="2:5">
      <c r="B24" s="51"/>
      <c r="C24" s="51"/>
      <c r="D24" s="51"/>
      <c r="E24" s="51">
        <f>E23*6.78%</f>
        <v>8806.598952</v>
      </c>
    </row>
    <row r="25" s="14" customFormat="1" spans="1:35">
      <c r="A25" s="52" t="s">
        <v>157</v>
      </c>
      <c r="B25" s="53" t="s">
        <v>158</v>
      </c>
      <c r="C25" s="54"/>
      <c r="D25" s="54"/>
      <c r="E25" s="54"/>
      <c r="G25" s="55"/>
      <c r="J25" s="77"/>
      <c r="M25" s="78"/>
      <c r="AI25" s="109"/>
    </row>
    <row r="26" s="14" customFormat="1" spans="1:35">
      <c r="A26" s="56"/>
      <c r="B26" s="57" t="s">
        <v>159</v>
      </c>
      <c r="C26" s="54"/>
      <c r="D26" s="54"/>
      <c r="E26" s="54"/>
      <c r="G26" s="55"/>
      <c r="J26" s="77"/>
      <c r="M26" s="78"/>
      <c r="AI26" s="109"/>
    </row>
    <row r="27" s="14" customFormat="1" spans="1:35">
      <c r="A27" s="53"/>
      <c r="B27" s="57" t="s">
        <v>160</v>
      </c>
      <c r="C27" s="58"/>
      <c r="D27" s="58"/>
      <c r="E27" s="58"/>
      <c r="F27" s="58"/>
      <c r="G27" s="58"/>
      <c r="H27" s="58"/>
      <c r="I27" s="58"/>
      <c r="J27" s="79"/>
      <c r="K27" s="58"/>
      <c r="L27" s="58"/>
      <c r="M27" s="80"/>
      <c r="N27" s="58"/>
      <c r="O27" s="58"/>
      <c r="P27" s="58"/>
      <c r="AI27" s="109"/>
    </row>
    <row r="28" s="14" customFormat="1" customHeight="1" spans="1:35">
      <c r="A28" s="57"/>
      <c r="B28" s="57" t="s">
        <v>161</v>
      </c>
      <c r="C28" s="59"/>
      <c r="D28" s="59"/>
      <c r="E28" s="59"/>
      <c r="F28" s="59"/>
      <c r="G28" s="59"/>
      <c r="H28" s="59"/>
      <c r="I28" s="81"/>
      <c r="J28" s="82"/>
      <c r="K28" s="81"/>
      <c r="L28" s="81"/>
      <c r="M28" s="83"/>
      <c r="N28" s="81"/>
      <c r="O28" s="81"/>
      <c r="P28" s="81"/>
      <c r="AI28" s="109"/>
    </row>
    <row r="29" s="14" customFormat="1" customHeight="1" spans="1:35">
      <c r="A29" s="57"/>
      <c r="B29" s="57" t="s">
        <v>162</v>
      </c>
      <c r="C29" s="59"/>
      <c r="D29" s="59"/>
      <c r="E29" s="59"/>
      <c r="F29" s="59"/>
      <c r="G29" s="59"/>
      <c r="H29" s="59"/>
      <c r="I29" s="59"/>
      <c r="J29" s="84"/>
      <c r="K29" s="59"/>
      <c r="L29" s="81"/>
      <c r="M29" s="83"/>
      <c r="N29" s="81"/>
      <c r="O29" s="81"/>
      <c r="P29" s="81"/>
      <c r="AI29" s="109"/>
    </row>
    <row r="30" s="14" customFormat="1" customHeight="1" spans="1:35">
      <c r="A30" s="57"/>
      <c r="B30" s="57" t="s">
        <v>163</v>
      </c>
      <c r="C30" s="59"/>
      <c r="D30" s="59"/>
      <c r="E30" s="59"/>
      <c r="F30" s="59"/>
      <c r="G30" s="59"/>
      <c r="H30" s="59"/>
      <c r="I30" s="81"/>
      <c r="J30" s="82"/>
      <c r="K30" s="81"/>
      <c r="L30" s="81"/>
      <c r="M30" s="83"/>
      <c r="N30" s="81"/>
      <c r="O30" s="81"/>
      <c r="P30" s="81"/>
      <c r="AI30" s="109"/>
    </row>
    <row r="32" ht="11.25" customHeight="1" spans="2:2">
      <c r="B32" s="60" t="s">
        <v>164</v>
      </c>
    </row>
    <row r="33" spans="2:2">
      <c r="B33" s="61" t="s">
        <v>165</v>
      </c>
    </row>
    <row r="34" spans="2:2">
      <c r="B34" s="61" t="s">
        <v>166</v>
      </c>
    </row>
  </sheetData>
  <autoFilter ref="A3:AT1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2" priority="2" stopIfTrue="1"/>
  </conditionalFormatting>
  <conditionalFormatting sqref="B25:B29">
    <cfRule type="duplicateValues" dxfId="2" priority="3" stopIfTrue="1"/>
  </conditionalFormatting>
  <conditionalFormatting sqref="B33:B34">
    <cfRule type="duplicateValues" dxfId="2" priority="1" stopIfTrue="1"/>
  </conditionalFormatting>
  <conditionalFormatting sqref="C22:C24">
    <cfRule type="duplicateValues" dxfId="2" priority="4" stopIfTrue="1"/>
    <cfRule type="expression" dxfId="3" priority="5" stopIfTrue="1">
      <formula>AND(COUNTIF($B$18:$B$65454,C22)+COUNTIF($B$1:$B$3,C22)&gt;1,NOT(ISBLANK(C22)))</formula>
    </cfRule>
    <cfRule type="expression" dxfId="3" priority="6" stopIfTrue="1">
      <formula>AND(COUNTIF($B$29:$B$65405,C22)+COUNTIF($B$1:$B$28,C22)&gt;1,NOT(ISBLANK(C22)))</formula>
    </cfRule>
    <cfRule type="expression" dxfId="3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8"/>
  <sheetViews>
    <sheetView workbookViewId="0">
      <pane xSplit="6" ySplit="3" topLeftCell="AD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90833333333333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80</v>
      </c>
      <c r="B1" s="21"/>
      <c r="C1" s="22"/>
      <c r="D1" s="23"/>
      <c r="E1" s="24"/>
      <c r="F1" s="24"/>
      <c r="G1" s="25"/>
      <c r="J1" s="62"/>
      <c r="L1" s="63"/>
      <c r="M1" s="64" t="s">
        <v>81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82</v>
      </c>
      <c r="C2" s="28" t="s">
        <v>83</v>
      </c>
      <c r="D2" s="28" t="s">
        <v>84</v>
      </c>
      <c r="E2" s="29" t="s">
        <v>85</v>
      </c>
      <c r="F2" s="30" t="s">
        <v>86</v>
      </c>
      <c r="G2" s="29" t="s">
        <v>87</v>
      </c>
      <c r="H2" s="29" t="s">
        <v>88</v>
      </c>
      <c r="I2" s="29" t="s">
        <v>89</v>
      </c>
      <c r="J2" s="65" t="s">
        <v>90</v>
      </c>
      <c r="K2" s="29" t="s">
        <v>91</v>
      </c>
      <c r="L2" s="29" t="s">
        <v>92</v>
      </c>
      <c r="M2" s="66" t="s">
        <v>93</v>
      </c>
      <c r="N2" s="67"/>
      <c r="O2" s="67"/>
      <c r="P2" s="68"/>
      <c r="Q2" s="30" t="s">
        <v>94</v>
      </c>
      <c r="R2" s="29" t="s">
        <v>95</v>
      </c>
      <c r="S2" s="30" t="s">
        <v>96</v>
      </c>
      <c r="T2" s="86" t="s">
        <v>97</v>
      </c>
      <c r="U2" s="30" t="s">
        <v>98</v>
      </c>
      <c r="V2" s="87" t="s">
        <v>99</v>
      </c>
      <c r="W2" s="88"/>
      <c r="X2" s="88"/>
      <c r="Y2" s="88"/>
      <c r="Z2" s="88"/>
      <c r="AA2" s="94"/>
      <c r="AB2" s="30" t="s">
        <v>100</v>
      </c>
      <c r="AC2" s="30" t="s">
        <v>101</v>
      </c>
      <c r="AD2" s="86" t="s">
        <v>102</v>
      </c>
      <c r="AE2" s="86" t="s">
        <v>103</v>
      </c>
      <c r="AF2" s="86" t="s">
        <v>104</v>
      </c>
      <c r="AG2" s="86" t="s">
        <v>105</v>
      </c>
      <c r="AH2" s="100" t="s">
        <v>106</v>
      </c>
      <c r="AI2" s="101" t="s">
        <v>107</v>
      </c>
      <c r="AJ2" s="100" t="s">
        <v>108</v>
      </c>
      <c r="AK2" s="28" t="s">
        <v>58</v>
      </c>
      <c r="AL2" s="100" t="s">
        <v>109</v>
      </c>
      <c r="AM2" s="29" t="s">
        <v>110</v>
      </c>
      <c r="AN2" s="29" t="s">
        <v>111</v>
      </c>
      <c r="AO2" s="111" t="s">
        <v>112</v>
      </c>
      <c r="AP2" s="29" t="s">
        <v>113</v>
      </c>
      <c r="AQ2" s="29" t="s">
        <v>114</v>
      </c>
      <c r="AR2" s="30" t="s">
        <v>115</v>
      </c>
      <c r="AS2" s="30" t="s">
        <v>116</v>
      </c>
      <c r="AT2" s="30" t="s">
        <v>117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118</v>
      </c>
      <c r="N3" s="70" t="s">
        <v>119</v>
      </c>
      <c r="O3" s="70" t="s">
        <v>120</v>
      </c>
      <c r="P3" s="70" t="s">
        <v>71</v>
      </c>
      <c r="Q3" s="35"/>
      <c r="R3" s="34"/>
      <c r="S3" s="35"/>
      <c r="T3" s="89"/>
      <c r="U3" s="35"/>
      <c r="V3" s="90" t="s">
        <v>121</v>
      </c>
      <c r="W3" s="90" t="s">
        <v>122</v>
      </c>
      <c r="X3" s="90" t="s">
        <v>123</v>
      </c>
      <c r="Y3" s="90" t="s">
        <v>124</v>
      </c>
      <c r="Z3" s="90" t="s">
        <v>125</v>
      </c>
      <c r="AA3" s="90" t="s">
        <v>126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127</v>
      </c>
      <c r="C4" s="37" t="s">
        <v>128</v>
      </c>
      <c r="D4" s="37" t="s">
        <v>129</v>
      </c>
      <c r="E4" s="37" t="s">
        <v>130</v>
      </c>
      <c r="F4" s="38" t="str">
        <f t="shared" ref="F4:F10" si="0">IF(MOD(MID(E4,17,1),2)=1,"男","女")</f>
        <v>女</v>
      </c>
      <c r="G4" s="39">
        <v>19801207903</v>
      </c>
      <c r="H4" s="40"/>
      <c r="I4" s="40"/>
      <c r="J4" s="134"/>
      <c r="K4" s="40"/>
      <c r="L4" s="72">
        <v>9609.19540229885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0" si="1">ROUND(SUM(M4:P4),2)</f>
        <v>1009.8</v>
      </c>
      <c r="R4" s="72">
        <v>0</v>
      </c>
      <c r="S4" s="92">
        <f>L4+IFERROR(VLOOKUP($E:$E,'（居民）工资表-3月'!$E:$S,15,0),0)</f>
        <v>42609.1954022989</v>
      </c>
      <c r="T4" s="93">
        <f>5000+IFERROR(VLOOKUP($E:$E,'（居民）工资表-3月'!$E:$T,16,0),0)</f>
        <v>20000</v>
      </c>
      <c r="U4" s="93">
        <f>Q4+IFERROR(VLOOKUP($E:$E,'（居民）工资表-3月'!$E:$U,17,0),0)</f>
        <v>4039.2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/>
      <c r="AB4" s="92">
        <f t="shared" ref="AB4:AB10" si="2">ROUND(SUM(V4:AA4),2)</f>
        <v>0</v>
      </c>
      <c r="AC4" s="92">
        <f>R4+IFERROR(VLOOKUP($E:$E,'（居民）工资表-3月'!$E:$AC,25,0),0)</f>
        <v>0</v>
      </c>
      <c r="AD4" s="95">
        <f t="shared" ref="AD4:AD10" si="3">ROUND(S4-T4-U4-AB4-AC4,2)</f>
        <v>18570</v>
      </c>
      <c r="AE4" s="96">
        <f>ROUND(MAX((AD4)*{0.03;0.1;0.2;0.25;0.3;0.35;0.45}-{0;2520;16920;31920;52920;85920;181920},0),2)</f>
        <v>557.1</v>
      </c>
      <c r="AF4" s="97">
        <f>IFERROR(VLOOKUP(E:E,'（居民）工资表-3月'!E:AF,28,0)+VLOOKUP(E:E,'（居民）工资表-3月'!E:AG,29,0),0)</f>
        <v>449.12</v>
      </c>
      <c r="AG4" s="97">
        <f t="shared" ref="AG4:AG10" si="4">IF((AE4-AF4)&lt;0,0,AE4-AF4)</f>
        <v>107.98</v>
      </c>
      <c r="AH4" s="104">
        <f t="shared" ref="AH4:AH10" si="5">ROUND(IF((L4-Q4-AG4)&lt;0,0,(L4-Q4-AG4)),2)</f>
        <v>8491.42</v>
      </c>
      <c r="AI4" s="105"/>
      <c r="AJ4" s="104">
        <f t="shared" ref="AJ4:AJ10" si="6">AH4+AI4</f>
        <v>8491.42</v>
      </c>
      <c r="AK4" s="106"/>
      <c r="AL4" s="104">
        <f t="shared" ref="AL4:AL10" si="7">AJ4+AG4+AK4</f>
        <v>8599.4</v>
      </c>
      <c r="AM4" s="106"/>
      <c r="AN4" s="106"/>
      <c r="AO4" s="106"/>
      <c r="AP4" s="106"/>
      <c r="AQ4" s="106"/>
      <c r="AR4" s="113" t="str">
        <f t="shared" ref="AR4:AR12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0" si="9">IF(SUMPRODUCT(N(E$1:E$18=E4))&gt;1,"重复","不")</f>
        <v>不</v>
      </c>
      <c r="AT4" s="113" t="str">
        <f t="shared" ref="AT4:AT10" si="10">IF(SUMPRODUCT(N(AO$1:AO$18=AO4))&gt;1,"重复","不")</f>
        <v>重复</v>
      </c>
    </row>
    <row r="5" s="12" customFormat="1" ht="18" customHeight="1" spans="1:46">
      <c r="A5" s="36">
        <v>2</v>
      </c>
      <c r="B5" s="37" t="s">
        <v>127</v>
      </c>
      <c r="C5" s="37" t="s">
        <v>131</v>
      </c>
      <c r="D5" s="37" t="s">
        <v>129</v>
      </c>
      <c r="E5" s="37" t="s">
        <v>132</v>
      </c>
      <c r="F5" s="38" t="str">
        <f t="shared" si="0"/>
        <v>男</v>
      </c>
      <c r="G5" s="39">
        <v>13288877699</v>
      </c>
      <c r="H5" s="40"/>
      <c r="I5" s="40"/>
      <c r="J5" s="134"/>
      <c r="K5" s="40"/>
      <c r="L5" s="72">
        <v>9609.19540229885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L5+IFERROR(VLOOKUP($E:$E,'（居民）工资表-3月'!$E:$S,15,0),0)</f>
        <v>42639.1954022989</v>
      </c>
      <c r="T5" s="93">
        <f>5000+IFERROR(VLOOKUP($E:$E,'（居民）工资表-3月'!$E:$T,16,0),0)</f>
        <v>20000</v>
      </c>
      <c r="U5" s="93">
        <f>Q5+IFERROR(VLOOKUP($E:$E,'（居民）工资表-3月'!$E:$U,17,0),0)</f>
        <v>4039.2</v>
      </c>
      <c r="V5" s="72">
        <v>0</v>
      </c>
      <c r="W5" s="72">
        <v>0</v>
      </c>
      <c r="X5" s="72">
        <v>0</v>
      </c>
      <c r="Y5" s="72">
        <v>6000</v>
      </c>
      <c r="Z5" s="72">
        <v>0</v>
      </c>
      <c r="AA5" s="72"/>
      <c r="AB5" s="92">
        <f t="shared" si="2"/>
        <v>6000</v>
      </c>
      <c r="AC5" s="92">
        <f>R5+IFERROR(VLOOKUP($E:$E,'（居民）工资表-3月'!$E:$AC,25,0),0)</f>
        <v>0</v>
      </c>
      <c r="AD5" s="95">
        <f t="shared" si="3"/>
        <v>12600</v>
      </c>
      <c r="AE5" s="96">
        <f>ROUND(MAX((AD5)*{0.03;0.1;0.2;0.25;0.3;0.35;0.45}-{0;2520;16920;31920;52920;85920;181920},0),2)</f>
        <v>378</v>
      </c>
      <c r="AF5" s="97">
        <f>IFERROR(VLOOKUP(E:E,'（居民）工资表-3月'!E:AF,28,0)+VLOOKUP(E:E,'（居民）工资表-3月'!E:AG,29,0),0)</f>
        <v>450.02</v>
      </c>
      <c r="AG5" s="97">
        <f t="shared" si="4"/>
        <v>0</v>
      </c>
      <c r="AH5" s="104">
        <f t="shared" si="5"/>
        <v>8599.4</v>
      </c>
      <c r="AI5" s="105"/>
      <c r="AJ5" s="104">
        <f t="shared" si="6"/>
        <v>8599.4</v>
      </c>
      <c r="AK5" s="106"/>
      <c r="AL5" s="104">
        <f t="shared" si="7"/>
        <v>8599.4</v>
      </c>
      <c r="AM5" s="106"/>
      <c r="AN5" s="106"/>
      <c r="AO5" s="106"/>
      <c r="AP5" s="106"/>
      <c r="AQ5" s="106"/>
      <c r="AR5" s="113" t="str">
        <f t="shared" si="8"/>
        <v>正确</v>
      </c>
      <c r="AS5" s="113" t="str">
        <f t="shared" si="9"/>
        <v>不</v>
      </c>
      <c r="AT5" s="113" t="str">
        <f t="shared" si="10"/>
        <v>重复</v>
      </c>
    </row>
    <row r="6" s="12" customFormat="1" ht="18" customHeight="1" spans="1:46">
      <c r="A6" s="36">
        <v>3</v>
      </c>
      <c r="B6" s="37" t="s">
        <v>127</v>
      </c>
      <c r="C6" s="37" t="s">
        <v>133</v>
      </c>
      <c r="D6" s="37" t="s">
        <v>129</v>
      </c>
      <c r="E6" s="37" t="s">
        <v>134</v>
      </c>
      <c r="F6" s="38" t="str">
        <f t="shared" si="0"/>
        <v>女</v>
      </c>
      <c r="G6" s="39">
        <v>13520315667</v>
      </c>
      <c r="H6" s="40"/>
      <c r="I6" s="40"/>
      <c r="J6" s="134"/>
      <c r="K6" s="40"/>
      <c r="L6" s="72">
        <v>6620.68965517241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L6+IFERROR(VLOOKUP($E:$E,'（居民）工资表-3月'!$E:$S,15,0),0)</f>
        <v>42068.9655172414</v>
      </c>
      <c r="T6" s="93">
        <f>5000+IFERROR(VLOOKUP($E:$E,'（居民）工资表-3月'!$E:$T,16,0),0)</f>
        <v>20000</v>
      </c>
      <c r="U6" s="93">
        <f>Q6+IFERROR(VLOOKUP($E:$E,'（居民）工资表-3月'!$E:$U,17,0),0)</f>
        <v>4039.2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/>
      <c r="AB6" s="92">
        <f t="shared" si="2"/>
        <v>0</v>
      </c>
      <c r="AC6" s="92">
        <f>R6+IFERROR(VLOOKUP($E:$E,'（居民）工资表-3月'!$E:$AC,25,0),0)</f>
        <v>0</v>
      </c>
      <c r="AD6" s="95">
        <f t="shared" si="3"/>
        <v>18029.77</v>
      </c>
      <c r="AE6" s="96">
        <f>ROUND(MAX((AD6)*{0.03;0.1;0.2;0.25;0.3;0.35;0.45}-{0;2520;16920;31920;52920;85920;181920},0),2)</f>
        <v>540.89</v>
      </c>
      <c r="AF6" s="97">
        <f>IFERROR(VLOOKUP(E:E,'（居民）工资表-3月'!E:AF,28,0)+VLOOKUP(E:E,'（居民）工资表-3月'!E:AG,29,0),0)</f>
        <v>522.57</v>
      </c>
      <c r="AG6" s="97">
        <f t="shared" si="4"/>
        <v>18.3199999999999</v>
      </c>
      <c r="AH6" s="104">
        <f t="shared" si="5"/>
        <v>5592.57</v>
      </c>
      <c r="AI6" s="105"/>
      <c r="AJ6" s="104">
        <f t="shared" si="6"/>
        <v>5592.57</v>
      </c>
      <c r="AK6" s="106"/>
      <c r="AL6" s="104">
        <f t="shared" si="7"/>
        <v>5610.89</v>
      </c>
      <c r="AM6" s="106"/>
      <c r="AN6" s="106"/>
      <c r="AO6" s="106"/>
      <c r="AP6" s="106"/>
      <c r="AQ6" s="106"/>
      <c r="AR6" s="113" t="str">
        <f t="shared" si="8"/>
        <v>正确</v>
      </c>
      <c r="AS6" s="113" t="str">
        <f t="shared" si="9"/>
        <v>不</v>
      </c>
      <c r="AT6" s="113" t="str">
        <f t="shared" si="10"/>
        <v>重复</v>
      </c>
    </row>
    <row r="7" s="12" customFormat="1" ht="18" customHeight="1" spans="1:46">
      <c r="A7" s="36">
        <v>4</v>
      </c>
      <c r="B7" s="37" t="s">
        <v>127</v>
      </c>
      <c r="C7" s="37" t="s">
        <v>139</v>
      </c>
      <c r="D7" s="37" t="s">
        <v>129</v>
      </c>
      <c r="E7" s="37" t="s">
        <v>140</v>
      </c>
      <c r="F7" s="38" t="str">
        <f t="shared" si="0"/>
        <v>男</v>
      </c>
      <c r="G7" s="39">
        <v>15652649555</v>
      </c>
      <c r="H7" s="40"/>
      <c r="I7" s="40"/>
      <c r="J7" s="134"/>
      <c r="K7" s="40"/>
      <c r="L7" s="72">
        <v>11500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L7+IFERROR(VLOOKUP($E:$E,'（居民）工资表-3月'!$E:$S,15,0),0)</f>
        <v>43005.7471264368</v>
      </c>
      <c r="T7" s="93">
        <f>5000+IFERROR(VLOOKUP($E:$E,'（居民）工资表-3月'!$E:$T,16,0),0)</f>
        <v>20000</v>
      </c>
      <c r="U7" s="93">
        <f>Q7+IFERROR(VLOOKUP($E:$E,'（居民）工资表-3月'!$E:$U,17,0),0)</f>
        <v>4039.2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/>
      <c r="AB7" s="92">
        <f t="shared" si="2"/>
        <v>0</v>
      </c>
      <c r="AC7" s="92">
        <f>R7+IFERROR(VLOOKUP($E:$E,'（居民）工资表-3月'!$E:$AC,25,0),0)</f>
        <v>0</v>
      </c>
      <c r="AD7" s="95">
        <f t="shared" si="3"/>
        <v>18966.55</v>
      </c>
      <c r="AE7" s="96">
        <f>ROUND(MAX((AD7)*{0.03;0.1;0.2;0.25;0.3;0.35;0.45}-{0;2520;16920;31920;52920;85920;181920},0),2)</f>
        <v>569</v>
      </c>
      <c r="AF7" s="97">
        <f>IFERROR(VLOOKUP(E:E,'（居民）工资表-3月'!E:AF,28,0)+VLOOKUP(E:E,'（居民）工资表-3月'!E:AG,29,0),0)</f>
        <v>404.29</v>
      </c>
      <c r="AG7" s="97">
        <f t="shared" si="4"/>
        <v>164.71</v>
      </c>
      <c r="AH7" s="104">
        <f t="shared" si="5"/>
        <v>10325.49</v>
      </c>
      <c r="AI7" s="105"/>
      <c r="AJ7" s="104">
        <f t="shared" si="6"/>
        <v>10325.49</v>
      </c>
      <c r="AK7" s="106"/>
      <c r="AL7" s="104">
        <f t="shared" si="7"/>
        <v>10490.2</v>
      </c>
      <c r="AM7" s="106"/>
      <c r="AN7" s="106"/>
      <c r="AO7" s="106"/>
      <c r="AP7" s="106"/>
      <c r="AQ7" s="106"/>
      <c r="AR7" s="113" t="str">
        <f t="shared" si="8"/>
        <v>正确</v>
      </c>
      <c r="AS7" s="113" t="str">
        <f t="shared" si="9"/>
        <v>不</v>
      </c>
      <c r="AT7" s="113" t="str">
        <f t="shared" si="10"/>
        <v>重复</v>
      </c>
    </row>
    <row r="8" s="12" customFormat="1" ht="18" customHeight="1" spans="1:46">
      <c r="A8" s="36">
        <v>5</v>
      </c>
      <c r="B8" s="37" t="s">
        <v>127</v>
      </c>
      <c r="C8" s="37" t="s">
        <v>141</v>
      </c>
      <c r="D8" s="37" t="s">
        <v>129</v>
      </c>
      <c r="E8" s="313" t="s">
        <v>142</v>
      </c>
      <c r="F8" s="38" t="str">
        <f t="shared" si="0"/>
        <v>男</v>
      </c>
      <c r="G8" s="39">
        <v>17611149839</v>
      </c>
      <c r="H8" s="40"/>
      <c r="I8" s="40"/>
      <c r="J8" s="134"/>
      <c r="K8" s="40"/>
      <c r="L8" s="72">
        <v>11120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1"/>
        <v>1009.8</v>
      </c>
      <c r="R8" s="72">
        <v>0</v>
      </c>
      <c r="S8" s="92">
        <f>L8+IFERROR(VLOOKUP($E:$E,'（居民）工资表-3月'!$E:$S,15,0),0)</f>
        <v>39734.2528735632</v>
      </c>
      <c r="T8" s="93">
        <f>5000+IFERROR(VLOOKUP($E:$E,'（居民）工资表-3月'!$E:$T,16,0),0)</f>
        <v>20000</v>
      </c>
      <c r="U8" s="93">
        <f>Q8+IFERROR(VLOOKUP($E:$E,'（居民）工资表-3月'!$E:$U,17,0),0)</f>
        <v>4039.2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/>
      <c r="AB8" s="92">
        <f t="shared" si="2"/>
        <v>0</v>
      </c>
      <c r="AC8" s="92">
        <f>R8+IFERROR(VLOOKUP($E:$E,'（居民）工资表-3月'!$E:$AC,25,0),0)</f>
        <v>0</v>
      </c>
      <c r="AD8" s="95">
        <f t="shared" si="3"/>
        <v>15695.05</v>
      </c>
      <c r="AE8" s="96">
        <f>ROUND(MAX((AD8)*{0.03;0.1;0.2;0.25;0.3;0.35;0.45}-{0;2520;16920;31920;52920;85920;181920},0),2)</f>
        <v>470.85</v>
      </c>
      <c r="AF8" s="97">
        <f>IFERROR(VLOOKUP(E:E,'（居民）工资表-3月'!E:AF,28,0)+VLOOKUP(E:E,'（居民）工资表-3月'!E:AG,29,0),0)</f>
        <v>317.55</v>
      </c>
      <c r="AG8" s="97">
        <f t="shared" si="4"/>
        <v>153.3</v>
      </c>
      <c r="AH8" s="104">
        <f t="shared" si="5"/>
        <v>9956.9</v>
      </c>
      <c r="AI8" s="105"/>
      <c r="AJ8" s="104">
        <f t="shared" si="6"/>
        <v>9956.9</v>
      </c>
      <c r="AK8" s="106"/>
      <c r="AL8" s="104">
        <f t="shared" si="7"/>
        <v>10110.2</v>
      </c>
      <c r="AM8" s="106"/>
      <c r="AN8" s="106"/>
      <c r="AO8" s="106"/>
      <c r="AP8" s="106"/>
      <c r="AQ8" s="106"/>
      <c r="AR8" s="113" t="str">
        <f t="shared" si="8"/>
        <v>正确</v>
      </c>
      <c r="AS8" s="113" t="str">
        <f t="shared" si="9"/>
        <v>不</v>
      </c>
      <c r="AT8" s="113" t="str">
        <f t="shared" si="10"/>
        <v>重复</v>
      </c>
    </row>
    <row r="9" s="12" customFormat="1" ht="18" customHeight="1" spans="1:46">
      <c r="A9" s="36">
        <v>6</v>
      </c>
      <c r="B9" s="37" t="s">
        <v>127</v>
      </c>
      <c r="C9" s="37" t="s">
        <v>143</v>
      </c>
      <c r="D9" s="37" t="s">
        <v>129</v>
      </c>
      <c r="E9" s="313" t="s">
        <v>144</v>
      </c>
      <c r="F9" s="38" t="str">
        <f t="shared" si="0"/>
        <v>男</v>
      </c>
      <c r="G9" s="39">
        <v>13596154643</v>
      </c>
      <c r="H9" s="40"/>
      <c r="I9" s="40"/>
      <c r="J9" s="134"/>
      <c r="K9" s="40"/>
      <c r="L9" s="72">
        <v>11500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>L9+IFERROR(VLOOKUP($E:$E,'（居民）工资表-3月'!$E:$S,15,0),0)</f>
        <v>43035.7471264368</v>
      </c>
      <c r="T9" s="93">
        <f>5000+IFERROR(VLOOKUP($E:$E,'（居民）工资表-3月'!$E:$T,16,0),0)</f>
        <v>20000</v>
      </c>
      <c r="U9" s="93">
        <f>Q9+IFERROR(VLOOKUP($E:$E,'（居民）工资表-3月'!$E:$U,17,0),0)</f>
        <v>4039.2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/>
      <c r="AB9" s="92">
        <f t="shared" si="2"/>
        <v>0</v>
      </c>
      <c r="AC9" s="92">
        <f>R9+IFERROR(VLOOKUP($E:$E,'（居民）工资表-3月'!$E:$AC,25,0),0)</f>
        <v>0</v>
      </c>
      <c r="AD9" s="95">
        <f t="shared" si="3"/>
        <v>18996.55</v>
      </c>
      <c r="AE9" s="96">
        <f>ROUND(MAX((AD9)*{0.03;0.1;0.2;0.25;0.3;0.35;0.45}-{0;2520;16920;31920;52920;85920;181920},0),2)</f>
        <v>569.9</v>
      </c>
      <c r="AF9" s="97">
        <f>IFERROR(VLOOKUP(E:E,'（居民）工资表-3月'!E:AF,28,0)+VLOOKUP(E:E,'（居民）工资表-3月'!E:AG,29,0),0)</f>
        <v>405.19</v>
      </c>
      <c r="AG9" s="97">
        <f t="shared" si="4"/>
        <v>164.71</v>
      </c>
      <c r="AH9" s="104">
        <f t="shared" si="5"/>
        <v>10325.49</v>
      </c>
      <c r="AI9" s="105"/>
      <c r="AJ9" s="104">
        <f t="shared" si="6"/>
        <v>10325.49</v>
      </c>
      <c r="AK9" s="106"/>
      <c r="AL9" s="104">
        <f t="shared" si="7"/>
        <v>10490.2</v>
      </c>
      <c r="AM9" s="106"/>
      <c r="AN9" s="106"/>
      <c r="AO9" s="106"/>
      <c r="AP9" s="106"/>
      <c r="AQ9" s="106"/>
      <c r="AR9" s="113" t="str">
        <f t="shared" si="8"/>
        <v>正确</v>
      </c>
      <c r="AS9" s="113" t="str">
        <f t="shared" si="9"/>
        <v>不</v>
      </c>
      <c r="AT9" s="113" t="str">
        <f t="shared" si="10"/>
        <v>重复</v>
      </c>
    </row>
    <row r="10" s="12" customFormat="1" ht="18" customHeight="1" spans="1:46">
      <c r="A10" s="36">
        <v>7</v>
      </c>
      <c r="B10" s="37" t="s">
        <v>127</v>
      </c>
      <c r="C10" s="37" t="s">
        <v>147</v>
      </c>
      <c r="D10" s="37" t="s">
        <v>129</v>
      </c>
      <c r="E10" s="313" t="s">
        <v>148</v>
      </c>
      <c r="F10" s="38" t="str">
        <f t="shared" si="0"/>
        <v>男</v>
      </c>
      <c r="G10" s="39">
        <v>13626366929</v>
      </c>
      <c r="H10" s="40"/>
      <c r="I10" s="40"/>
      <c r="J10" s="134"/>
      <c r="K10" s="40"/>
      <c r="L10" s="72">
        <v>14930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>L10+IFERROR(VLOOKUP($E:$E,'（居民）工资表-3月'!$E:$S,15,0),0)</f>
        <v>60379.6551724138</v>
      </c>
      <c r="T10" s="93">
        <f>5000+IFERROR(VLOOKUP($E:$E,'（居民）工资表-3月'!$E:$T,16,0),0)</f>
        <v>20000</v>
      </c>
      <c r="U10" s="93">
        <f>Q10+IFERROR(VLOOKUP($E:$E,'（居民）工资表-3月'!$E:$U,17,0),0)</f>
        <v>4039.2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/>
      <c r="AB10" s="92">
        <f t="shared" si="2"/>
        <v>0</v>
      </c>
      <c r="AC10" s="92">
        <f>R10+IFERROR(VLOOKUP($E:$E,'（居民）工资表-3月'!$E:$AC,25,0),0)</f>
        <v>0</v>
      </c>
      <c r="AD10" s="95">
        <f t="shared" si="3"/>
        <v>36340.46</v>
      </c>
      <c r="AE10" s="96">
        <f>ROUND(MAX((AD10)*{0.03;0.1;0.2;0.25;0.3;0.35;0.45}-{0;2520;16920;31920;52920;85920;181920},0),2)</f>
        <v>1114.05</v>
      </c>
      <c r="AF10" s="97">
        <f>IFERROR(VLOOKUP(E:E,'（居民）工资表-3月'!E:AF,28,0)+VLOOKUP(E:E,'（居民）工资表-3月'!E:AG,29,0),0)</f>
        <v>822.61</v>
      </c>
      <c r="AG10" s="97">
        <f t="shared" si="4"/>
        <v>291.44</v>
      </c>
      <c r="AH10" s="104">
        <f t="shared" si="5"/>
        <v>13628.76</v>
      </c>
      <c r="AI10" s="105"/>
      <c r="AJ10" s="104">
        <f t="shared" si="6"/>
        <v>13628.76</v>
      </c>
      <c r="AK10" s="106"/>
      <c r="AL10" s="104">
        <f t="shared" si="7"/>
        <v>13920.2</v>
      </c>
      <c r="AM10" s="106"/>
      <c r="AN10" s="106"/>
      <c r="AO10" s="106"/>
      <c r="AP10" s="106"/>
      <c r="AQ10" s="106"/>
      <c r="AR10" s="113" t="str">
        <f t="shared" si="8"/>
        <v>正确</v>
      </c>
      <c r="AS10" s="113" t="str">
        <f t="shared" si="9"/>
        <v>不</v>
      </c>
      <c r="AT10" s="113" t="str">
        <f t="shared" si="10"/>
        <v>重复</v>
      </c>
    </row>
    <row r="11" s="12" customFormat="1" ht="18" customHeight="1" spans="1:46">
      <c r="A11" s="36">
        <v>9</v>
      </c>
      <c r="B11" s="37" t="s">
        <v>127</v>
      </c>
      <c r="C11" s="37" t="s">
        <v>151</v>
      </c>
      <c r="D11" s="37" t="s">
        <v>129</v>
      </c>
      <c r="E11" s="313" t="s">
        <v>152</v>
      </c>
      <c r="F11" s="38" t="str">
        <f t="shared" ref="F11:F20" si="11">IF(MOD(MID(E11,17,1),2)=1,"男","女")</f>
        <v>女</v>
      </c>
      <c r="G11" s="39">
        <v>18674014622</v>
      </c>
      <c r="H11" s="40"/>
      <c r="I11" s="40"/>
      <c r="J11" s="134"/>
      <c r="K11" s="40"/>
      <c r="L11" s="72">
        <v>10000</v>
      </c>
      <c r="M11" s="73">
        <v>428.8</v>
      </c>
      <c r="N11" s="73">
        <v>110.2</v>
      </c>
      <c r="O11" s="73">
        <v>26.8</v>
      </c>
      <c r="P11" s="73">
        <v>600</v>
      </c>
      <c r="Q11" s="91">
        <f t="shared" ref="Q11:Q20" si="12">ROUND(SUM(M11:P11),2)</f>
        <v>1165.8</v>
      </c>
      <c r="R11" s="72">
        <v>0</v>
      </c>
      <c r="S11" s="92">
        <f>L11+IFERROR(VLOOKUP($E:$E,'（居民）工资表-3月'!$E:$S,15,0),0)</f>
        <v>38275.8620689655</v>
      </c>
      <c r="T11" s="93">
        <f>5000+IFERROR(VLOOKUP($E:$E,'（居民）工资表-3月'!$E:$T,16,0),0)</f>
        <v>20000</v>
      </c>
      <c r="U11" s="93">
        <f>Q11+IFERROR(VLOOKUP($E:$E,'（居民）工资表-3月'!$E:$U,17,0),0)</f>
        <v>4663.2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/>
      <c r="AB11" s="92">
        <f t="shared" ref="AB11:AB20" si="13">ROUND(SUM(V11:AA11),2)</f>
        <v>0</v>
      </c>
      <c r="AC11" s="92">
        <f>R11+IFERROR(VLOOKUP($E:$E,'（居民）工资表-3月'!$E:$AC,25,0),0)</f>
        <v>0</v>
      </c>
      <c r="AD11" s="95">
        <f t="shared" ref="AD11:AD20" si="14">ROUND(S11-T11-U11-AB11-AC11,2)</f>
        <v>13612.66</v>
      </c>
      <c r="AE11" s="96">
        <f>ROUND(MAX((AD11)*{0.03;0.1;0.2;0.25;0.3;0.35;0.45}-{0;2520;16920;31920;52920;85920;181920},0),2)</f>
        <v>408.38</v>
      </c>
      <c r="AF11" s="97">
        <f>IFERROR(VLOOKUP(E:E,'（居民）工资表-3月'!E:AF,28,0)+VLOOKUP(E:E,'（居民）工资表-3月'!E:AG,29,0),0)</f>
        <v>293.35</v>
      </c>
      <c r="AG11" s="97">
        <f t="shared" ref="AG11:AG20" si="15">IF((AE11-AF11)&lt;0,0,AE11-AF11)</f>
        <v>115.03</v>
      </c>
      <c r="AH11" s="104">
        <f t="shared" ref="AH11:AH20" si="16">ROUND(IF((L11-Q11-AG11)&lt;0,0,(L11-Q11-AG11)),2)</f>
        <v>8719.17</v>
      </c>
      <c r="AI11" s="105"/>
      <c r="AJ11" s="104">
        <f t="shared" ref="AJ11:AJ20" si="17">AH11+AI11</f>
        <v>8719.17</v>
      </c>
      <c r="AK11" s="106"/>
      <c r="AL11" s="104">
        <f t="shared" ref="AL11:AL20" si="18">AJ11+AG11+AK11</f>
        <v>8834.2</v>
      </c>
      <c r="AM11" s="106"/>
      <c r="AN11" s="106"/>
      <c r="AO11" s="106"/>
      <c r="AP11" s="106"/>
      <c r="AQ11" s="106"/>
      <c r="AR11" s="113" t="str">
        <f t="shared" si="8"/>
        <v>正确</v>
      </c>
      <c r="AS11" s="113" t="str">
        <f t="shared" ref="AS11:AS18" si="19">IF(SUMPRODUCT(N(E$1:E$18=E11))&gt;1,"重复","不")</f>
        <v>不</v>
      </c>
      <c r="AT11" s="113" t="str">
        <f t="shared" ref="AT11:AT18" si="20">IF(SUMPRODUCT(N(AO$1:AO$18=AO11))&gt;1,"重复","不")</f>
        <v>重复</v>
      </c>
    </row>
    <row r="12" s="12" customFormat="1" ht="18" customHeight="1" spans="1:46">
      <c r="A12" s="36">
        <v>10</v>
      </c>
      <c r="B12" s="37" t="s">
        <v>127</v>
      </c>
      <c r="C12" s="37" t="s">
        <v>153</v>
      </c>
      <c r="D12" s="37" t="s">
        <v>129</v>
      </c>
      <c r="E12" s="313" t="s">
        <v>154</v>
      </c>
      <c r="F12" s="38" t="str">
        <f t="shared" si="11"/>
        <v>女</v>
      </c>
      <c r="G12" s="39">
        <v>15145001723</v>
      </c>
      <c r="H12" s="40"/>
      <c r="I12" s="40"/>
      <c r="J12" s="134"/>
      <c r="K12" s="40"/>
      <c r="L12" s="72">
        <v>10000</v>
      </c>
      <c r="M12" s="73">
        <v>428.8</v>
      </c>
      <c r="N12" s="73">
        <v>110.2</v>
      </c>
      <c r="O12" s="73">
        <v>26.8</v>
      </c>
      <c r="P12" s="73">
        <v>444</v>
      </c>
      <c r="Q12" s="91">
        <f t="shared" si="12"/>
        <v>1009.8</v>
      </c>
      <c r="R12" s="72">
        <v>0</v>
      </c>
      <c r="S12" s="92">
        <f>L12+IFERROR(VLOOKUP($E:$E,'（居民）工资表-3月'!$E:$S,15,0),0)</f>
        <v>32758.6206896552</v>
      </c>
      <c r="T12" s="93">
        <f>5000+IFERROR(VLOOKUP($E:$E,'（居民）工资表-3月'!$E:$T,16,0),0)</f>
        <v>20000</v>
      </c>
      <c r="U12" s="93">
        <f>Q12+IFERROR(VLOOKUP($E:$E,'（居民）工资表-3月'!$E:$U,17,0),0)</f>
        <v>3029.4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/>
      <c r="AB12" s="92">
        <f t="shared" si="13"/>
        <v>0</v>
      </c>
      <c r="AC12" s="92">
        <f>R12+IFERROR(VLOOKUP($E:$E,'（居民）工资表-3月'!$E:$AC,25,0),0)</f>
        <v>0</v>
      </c>
      <c r="AD12" s="95">
        <f t="shared" si="14"/>
        <v>9729.22</v>
      </c>
      <c r="AE12" s="96">
        <f>ROUND(MAX((AD12)*{0.03;0.1;0.2;0.25;0.3;0.35;0.45}-{0;2520;16920;31920;52920;85920;181920},0),2)</f>
        <v>291.88</v>
      </c>
      <c r="AF12" s="97">
        <f>IFERROR(VLOOKUP(E:E,'（居民）工资表-3月'!E:AF,28,0)+VLOOKUP(E:E,'（居民）工资表-3月'!E:AG,29,0),0)</f>
        <v>172.17</v>
      </c>
      <c r="AG12" s="97">
        <f t="shared" si="15"/>
        <v>119.71</v>
      </c>
      <c r="AH12" s="104">
        <f t="shared" si="16"/>
        <v>8870.49</v>
      </c>
      <c r="AI12" s="105"/>
      <c r="AJ12" s="104">
        <f t="shared" si="17"/>
        <v>8870.49</v>
      </c>
      <c r="AK12" s="106"/>
      <c r="AL12" s="104">
        <f t="shared" si="18"/>
        <v>8990.2</v>
      </c>
      <c r="AM12" s="106"/>
      <c r="AN12" s="106"/>
      <c r="AO12" s="106"/>
      <c r="AP12" s="106"/>
      <c r="AQ12" s="106"/>
      <c r="AR12" s="113" t="str">
        <f t="shared" si="8"/>
        <v>正确</v>
      </c>
      <c r="AS12" s="113" t="str">
        <f t="shared" si="19"/>
        <v>不</v>
      </c>
      <c r="AT12" s="113" t="str">
        <f t="shared" si="20"/>
        <v>重复</v>
      </c>
    </row>
    <row r="13" s="12" customFormat="1" ht="18" customHeight="1" spans="1:46">
      <c r="A13" s="36">
        <v>11</v>
      </c>
      <c r="B13" s="37" t="s">
        <v>127</v>
      </c>
      <c r="C13" s="37" t="s">
        <v>167</v>
      </c>
      <c r="D13" s="37" t="s">
        <v>129</v>
      </c>
      <c r="E13" s="313" t="s">
        <v>168</v>
      </c>
      <c r="F13" s="38" t="str">
        <f t="shared" si="11"/>
        <v>女</v>
      </c>
      <c r="G13" s="39">
        <v>15943200312</v>
      </c>
      <c r="H13" s="40"/>
      <c r="I13" s="40"/>
      <c r="J13" s="134"/>
      <c r="K13" s="40"/>
      <c r="L13" s="72">
        <v>15310.3448275862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12"/>
        <v>1009.8</v>
      </c>
      <c r="R13" s="72">
        <v>0</v>
      </c>
      <c r="S13" s="92">
        <f>L13+IFERROR(VLOOKUP($E:$E,'（居民）工资表-3月'!$E:$S,15,0),0)</f>
        <v>38708.6206896552</v>
      </c>
      <c r="T13" s="93">
        <f>5000+IFERROR(VLOOKUP($E:$E,'（居民）工资表-3月'!$E:$T,16,0),0)</f>
        <v>15000</v>
      </c>
      <c r="U13" s="93">
        <f>Q13+IFERROR(VLOOKUP($E:$E,'（居民）工资表-3月'!$E:$U,17,0),0)</f>
        <v>3029.4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/>
      <c r="AB13" s="92">
        <f t="shared" si="13"/>
        <v>0</v>
      </c>
      <c r="AC13" s="92">
        <f>R13+IFERROR(VLOOKUP($E:$E,'（居民）工资表-3月'!$E:$AC,25,0),0)</f>
        <v>0</v>
      </c>
      <c r="AD13" s="95">
        <f t="shared" si="14"/>
        <v>20679.22</v>
      </c>
      <c r="AE13" s="96">
        <f>ROUND(MAX((AD13)*{0.03;0.1;0.2;0.25;0.3;0.35;0.45}-{0;2520;16920;31920;52920;85920;181920},0),2)</f>
        <v>620.38</v>
      </c>
      <c r="AF13" s="97">
        <f>IFERROR(VLOOKUP(E:E,'（居民）工资表-3月'!E:AF,28,0)+VLOOKUP(E:E,'（居民）工资表-3月'!E:AG,29,0),0)</f>
        <v>341.36</v>
      </c>
      <c r="AG13" s="97">
        <f t="shared" si="15"/>
        <v>279.02</v>
      </c>
      <c r="AH13" s="104">
        <f t="shared" si="16"/>
        <v>14021.52</v>
      </c>
      <c r="AI13" s="105"/>
      <c r="AJ13" s="104">
        <f t="shared" si="17"/>
        <v>14021.52</v>
      </c>
      <c r="AK13" s="106"/>
      <c r="AL13" s="104">
        <f t="shared" si="18"/>
        <v>14300.54</v>
      </c>
      <c r="AM13" s="106"/>
      <c r="AN13" s="106"/>
      <c r="AO13" s="106"/>
      <c r="AP13" s="106"/>
      <c r="AQ13" s="106"/>
      <c r="AR13" s="113" t="str">
        <f t="shared" ref="AR13:AR20" si="21">IF(LEN(E13)=18,IF(RIGHT(E13,1)="X"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,"正确","错误")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*1,"正确","错误")),IF(LEN(E13)=15,"老号，请注意！",IF(LEN(E13)=0,"未填写身份证号码","位数不对！")))</f>
        <v>正确</v>
      </c>
      <c r="AS13" s="113" t="str">
        <f t="shared" si="19"/>
        <v>不</v>
      </c>
      <c r="AT13" s="113" t="str">
        <f t="shared" si="20"/>
        <v>重复</v>
      </c>
    </row>
    <row r="14" s="12" customFormat="1" ht="18" customHeight="1" spans="1:46">
      <c r="A14" s="36">
        <v>12</v>
      </c>
      <c r="B14" s="37" t="s">
        <v>127</v>
      </c>
      <c r="C14" s="37" t="s">
        <v>169</v>
      </c>
      <c r="D14" s="37" t="s">
        <v>129</v>
      </c>
      <c r="E14" s="313" t="s">
        <v>170</v>
      </c>
      <c r="F14" s="38" t="str">
        <f t="shared" si="11"/>
        <v>女</v>
      </c>
      <c r="G14" s="39">
        <v>18745463721</v>
      </c>
      <c r="H14" s="40"/>
      <c r="I14" s="40"/>
      <c r="J14" s="134"/>
      <c r="K14" s="40"/>
      <c r="L14" s="72">
        <v>11000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2"/>
        <v>1009.8</v>
      </c>
      <c r="R14" s="72">
        <v>0</v>
      </c>
      <c r="S14" s="92">
        <f>L14+IFERROR(VLOOKUP($E:$E,'（居民）工资表-3月'!$E:$S,15,0),0)</f>
        <v>28574.7126436782</v>
      </c>
      <c r="T14" s="93">
        <f>5000+IFERROR(VLOOKUP($E:$E,'（居民）工资表-3月'!$E:$T,16,0),0)</f>
        <v>15000</v>
      </c>
      <c r="U14" s="93">
        <f>Q14+IFERROR(VLOOKUP($E:$E,'（居民）工资表-3月'!$E:$U,17,0),0)</f>
        <v>3029.4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/>
      <c r="AB14" s="92">
        <f t="shared" si="13"/>
        <v>0</v>
      </c>
      <c r="AC14" s="92">
        <f>R14+IFERROR(VLOOKUP($E:$E,'（居民）工资表-3月'!$E:$AC,25,0),0)</f>
        <v>0</v>
      </c>
      <c r="AD14" s="95">
        <f t="shared" si="14"/>
        <v>10545.31</v>
      </c>
      <c r="AE14" s="96">
        <f>ROUND(MAX((AD14)*{0.03;0.1;0.2;0.25;0.3;0.35;0.45}-{0;2520;16920;31920;52920;85920;181920},0),2)</f>
        <v>316.36</v>
      </c>
      <c r="AF14" s="97">
        <f>IFERROR(VLOOKUP(E:E,'（居民）工资表-3月'!E:AF,28,0)+VLOOKUP(E:E,'（居民）工资表-3月'!E:AG,29,0),0)</f>
        <v>166.65</v>
      </c>
      <c r="AG14" s="97">
        <f t="shared" si="15"/>
        <v>149.71</v>
      </c>
      <c r="AH14" s="104">
        <f t="shared" si="16"/>
        <v>9840.49</v>
      </c>
      <c r="AI14" s="105"/>
      <c r="AJ14" s="104">
        <f t="shared" si="17"/>
        <v>9840.49</v>
      </c>
      <c r="AK14" s="106"/>
      <c r="AL14" s="104">
        <f t="shared" si="18"/>
        <v>9990.2</v>
      </c>
      <c r="AM14" s="106"/>
      <c r="AN14" s="106"/>
      <c r="AO14" s="106"/>
      <c r="AP14" s="106"/>
      <c r="AQ14" s="106"/>
      <c r="AR14" s="113" t="str">
        <f t="shared" si="21"/>
        <v>正确</v>
      </c>
      <c r="AS14" s="113" t="str">
        <f t="shared" si="19"/>
        <v>不</v>
      </c>
      <c r="AT14" s="113" t="str">
        <f t="shared" si="20"/>
        <v>重复</v>
      </c>
    </row>
    <row r="15" s="12" customFormat="1" ht="18" customHeight="1" spans="1:46">
      <c r="A15" s="36">
        <v>13</v>
      </c>
      <c r="B15" s="37" t="s">
        <v>127</v>
      </c>
      <c r="C15" s="37" t="s">
        <v>171</v>
      </c>
      <c r="D15" s="37" t="s">
        <v>129</v>
      </c>
      <c r="E15" s="313" t="s">
        <v>172</v>
      </c>
      <c r="F15" s="38" t="str">
        <f t="shared" si="11"/>
        <v>女</v>
      </c>
      <c r="G15" s="39">
        <v>18935711299</v>
      </c>
      <c r="H15" s="40"/>
      <c r="I15" s="40"/>
      <c r="J15" s="134"/>
      <c r="K15" s="40"/>
      <c r="L15" s="72">
        <v>11000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12"/>
        <v>1009.8</v>
      </c>
      <c r="R15" s="72">
        <v>0</v>
      </c>
      <c r="S15" s="92">
        <f>L15+IFERROR(VLOOKUP($E:$E,'（居民）工资表-3月'!$E:$S,15,0),0)</f>
        <v>31867.1264367816</v>
      </c>
      <c r="T15" s="93">
        <f>5000+IFERROR(VLOOKUP($E:$E,'（居民）工资表-3月'!$E:$T,16,0),0)</f>
        <v>15000</v>
      </c>
      <c r="U15" s="93">
        <f>Q15+IFERROR(VLOOKUP($E:$E,'（居民）工资表-3月'!$E:$U,17,0),0)</f>
        <v>3029.4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/>
      <c r="AB15" s="92">
        <f t="shared" si="13"/>
        <v>0</v>
      </c>
      <c r="AC15" s="92">
        <f>R15+IFERROR(VLOOKUP($E:$E,'（居民）工资表-3月'!$E:$AC,25,0),0)</f>
        <v>0</v>
      </c>
      <c r="AD15" s="95">
        <f t="shared" si="14"/>
        <v>13837.73</v>
      </c>
      <c r="AE15" s="96">
        <f>ROUND(MAX((AD15)*{0.03;0.1;0.2;0.25;0.3;0.35;0.45}-{0;2520;16920;31920;52920;85920;181920},0),2)</f>
        <v>415.13</v>
      </c>
      <c r="AF15" s="97">
        <f>IFERROR(VLOOKUP(E:E,'（居民）工资表-3月'!E:AF,28,0)+VLOOKUP(E:E,'（居民）工资表-3月'!E:AG,29,0),0)</f>
        <v>265.43</v>
      </c>
      <c r="AG15" s="97">
        <f t="shared" si="15"/>
        <v>149.7</v>
      </c>
      <c r="AH15" s="104">
        <f t="shared" si="16"/>
        <v>9840.5</v>
      </c>
      <c r="AI15" s="105"/>
      <c r="AJ15" s="104">
        <f t="shared" si="17"/>
        <v>9840.5</v>
      </c>
      <c r="AK15" s="106"/>
      <c r="AL15" s="104">
        <f t="shared" si="18"/>
        <v>9990.2</v>
      </c>
      <c r="AM15" s="106"/>
      <c r="AN15" s="106"/>
      <c r="AO15" s="106"/>
      <c r="AP15" s="106"/>
      <c r="AQ15" s="106"/>
      <c r="AR15" s="113" t="str">
        <f t="shared" si="21"/>
        <v>正确</v>
      </c>
      <c r="AS15" s="113" t="str">
        <f t="shared" si="19"/>
        <v>不</v>
      </c>
      <c r="AT15" s="113" t="str">
        <f t="shared" si="20"/>
        <v>重复</v>
      </c>
    </row>
    <row r="16" s="12" customFormat="1" ht="18" customHeight="1" spans="1:46">
      <c r="A16" s="36">
        <v>14</v>
      </c>
      <c r="B16" s="37" t="s">
        <v>127</v>
      </c>
      <c r="C16" s="37" t="s">
        <v>173</v>
      </c>
      <c r="D16" s="37" t="s">
        <v>129</v>
      </c>
      <c r="E16" s="313" t="s">
        <v>174</v>
      </c>
      <c r="F16" s="38" t="str">
        <f t="shared" si="11"/>
        <v>女</v>
      </c>
      <c r="G16" s="39">
        <v>13301242552</v>
      </c>
      <c r="H16" s="40"/>
      <c r="I16" s="40"/>
      <c r="J16" s="134"/>
      <c r="K16" s="40"/>
      <c r="L16" s="72">
        <v>14000</v>
      </c>
      <c r="M16" s="73">
        <v>640</v>
      </c>
      <c r="N16" s="73">
        <v>163</v>
      </c>
      <c r="O16" s="73">
        <v>40</v>
      </c>
      <c r="P16" s="73">
        <v>960</v>
      </c>
      <c r="Q16" s="91">
        <f t="shared" si="12"/>
        <v>1803</v>
      </c>
      <c r="R16" s="72">
        <v>0</v>
      </c>
      <c r="S16" s="92">
        <f>L16+IFERROR(VLOOKUP($E:$E,'（居民）工资表-3月'!$E:$S,15,0),0)</f>
        <v>41000</v>
      </c>
      <c r="T16" s="93">
        <f>5000+IFERROR(VLOOKUP($E:$E,'（居民）工资表-3月'!$E:$T,16,0),0)</f>
        <v>10000</v>
      </c>
      <c r="U16" s="93">
        <f>Q16+IFERROR(VLOOKUP($E:$E,'（居民）工资表-3月'!$E:$U,17,0),0)</f>
        <v>3606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/>
      <c r="AB16" s="92">
        <f t="shared" si="13"/>
        <v>0</v>
      </c>
      <c r="AC16" s="92">
        <f>R16+IFERROR(VLOOKUP($E:$E,'（居民）工资表-3月'!$E:$AC,25,0),0)</f>
        <v>0</v>
      </c>
      <c r="AD16" s="95">
        <f t="shared" si="14"/>
        <v>27394</v>
      </c>
      <c r="AE16" s="96">
        <f>ROUND(MAX((AD16)*{0.03;0.1;0.2;0.25;0.3;0.35;0.45}-{0;2520;16920;31920;52920;85920;181920},0),2)</f>
        <v>821.82</v>
      </c>
      <c r="AF16" s="97">
        <f>IFERROR(VLOOKUP(E:E,'（居民）工资表-3月'!E:AF,28,0)+VLOOKUP(E:E,'（居民）工资表-3月'!E:AG,29,0),0)</f>
        <v>605.91</v>
      </c>
      <c r="AG16" s="97">
        <f t="shared" si="15"/>
        <v>215.91</v>
      </c>
      <c r="AH16" s="104">
        <f t="shared" si="16"/>
        <v>11981.09</v>
      </c>
      <c r="AI16" s="105"/>
      <c r="AJ16" s="104">
        <f t="shared" si="17"/>
        <v>11981.09</v>
      </c>
      <c r="AK16" s="106"/>
      <c r="AL16" s="104">
        <f t="shared" si="18"/>
        <v>12197</v>
      </c>
      <c r="AM16" s="106"/>
      <c r="AN16" s="106"/>
      <c r="AO16" s="106"/>
      <c r="AP16" s="106"/>
      <c r="AQ16" s="106"/>
      <c r="AR16" s="113" t="str">
        <f t="shared" si="21"/>
        <v>正确</v>
      </c>
      <c r="AS16" s="113" t="str">
        <f t="shared" si="19"/>
        <v>不</v>
      </c>
      <c r="AT16" s="113" t="str">
        <f t="shared" si="20"/>
        <v>重复</v>
      </c>
    </row>
    <row r="17" s="12" customFormat="1" ht="18" customHeight="1" spans="1:46">
      <c r="A17" s="36">
        <v>15</v>
      </c>
      <c r="B17" s="37" t="s">
        <v>127</v>
      </c>
      <c r="C17" s="37" t="s">
        <v>175</v>
      </c>
      <c r="D17" s="37" t="s">
        <v>129</v>
      </c>
      <c r="E17" s="313" t="s">
        <v>176</v>
      </c>
      <c r="F17" s="38" t="str">
        <f t="shared" si="11"/>
        <v>女</v>
      </c>
      <c r="G17" s="39">
        <v>13842815360</v>
      </c>
      <c r="H17" s="40"/>
      <c r="I17" s="40"/>
      <c r="J17" s="134"/>
      <c r="K17" s="40"/>
      <c r="L17" s="72">
        <v>2758.62068965517</v>
      </c>
      <c r="M17" s="73"/>
      <c r="N17" s="73"/>
      <c r="O17" s="73"/>
      <c r="P17" s="73"/>
      <c r="Q17" s="91">
        <f t="shared" si="12"/>
        <v>0</v>
      </c>
      <c r="R17" s="72">
        <v>0</v>
      </c>
      <c r="S17" s="92">
        <f>L17+IFERROR(VLOOKUP($E:$E,'（居民）工资表-3月'!$E:$S,15,0),0)</f>
        <v>8827.58620689655</v>
      </c>
      <c r="T17" s="93">
        <f>5000+IFERROR(VLOOKUP($E:$E,'（居民）工资表-3月'!$E:$T,16,0),0)</f>
        <v>10000</v>
      </c>
      <c r="U17" s="93">
        <f>Q17+IFERROR(VLOOKUP($E:$E,'（居民）工资表-3月'!$E:$U,17,0),0)</f>
        <v>1009.8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/>
      <c r="AB17" s="92">
        <f t="shared" si="13"/>
        <v>0</v>
      </c>
      <c r="AC17" s="92">
        <f>R17+IFERROR(VLOOKUP($E:$E,'（居民）工资表-3月'!$E:$AC,25,0),0)</f>
        <v>0</v>
      </c>
      <c r="AD17" s="95">
        <f t="shared" si="14"/>
        <v>-2182.21</v>
      </c>
      <c r="AE17" s="96">
        <f>ROUND(MAX((AD17)*{0.03;0.1;0.2;0.25;0.3;0.35;0.45}-{0;2520;16920;31920;52920;85920;181920},0),2)</f>
        <v>0</v>
      </c>
      <c r="AF17" s="97">
        <f>IFERROR(VLOOKUP(E:E,'（居民）工资表-3月'!E:AF,28,0)+VLOOKUP(E:E,'（居民）工资表-3月'!E:AG,29,0),0)</f>
        <v>1.78</v>
      </c>
      <c r="AG17" s="97">
        <f t="shared" si="15"/>
        <v>0</v>
      </c>
      <c r="AH17" s="104">
        <f t="shared" si="16"/>
        <v>2758.62</v>
      </c>
      <c r="AI17" s="105"/>
      <c r="AJ17" s="104">
        <f t="shared" si="17"/>
        <v>2758.62</v>
      </c>
      <c r="AK17" s="106"/>
      <c r="AL17" s="104">
        <f t="shared" si="18"/>
        <v>2758.62</v>
      </c>
      <c r="AM17" s="106"/>
      <c r="AN17" s="106"/>
      <c r="AO17" s="106"/>
      <c r="AP17" s="106"/>
      <c r="AQ17" s="106"/>
      <c r="AR17" s="113" t="str">
        <f t="shared" si="21"/>
        <v>正确</v>
      </c>
      <c r="AS17" s="113" t="str">
        <f t="shared" si="19"/>
        <v>不</v>
      </c>
      <c r="AT17" s="113" t="str">
        <f t="shared" si="20"/>
        <v>重复</v>
      </c>
    </row>
    <row r="18" s="12" customFormat="1" ht="18" customHeight="1" spans="1:46">
      <c r="A18" s="36">
        <v>16</v>
      </c>
      <c r="B18" s="37" t="s">
        <v>127</v>
      </c>
      <c r="C18" s="37" t="s">
        <v>177</v>
      </c>
      <c r="D18" s="37" t="s">
        <v>129</v>
      </c>
      <c r="E18" s="37" t="s">
        <v>178</v>
      </c>
      <c r="F18" s="38" t="str">
        <f t="shared" si="11"/>
        <v>女</v>
      </c>
      <c r="G18" s="39">
        <v>18733620146</v>
      </c>
      <c r="H18" s="40"/>
      <c r="I18" s="40"/>
      <c r="J18" s="134"/>
      <c r="K18" s="40"/>
      <c r="L18" s="72">
        <v>4781.6091954023</v>
      </c>
      <c r="M18" s="73">
        <v>428.8</v>
      </c>
      <c r="N18" s="73">
        <v>110.2</v>
      </c>
      <c r="O18" s="73">
        <v>26.8</v>
      </c>
      <c r="P18" s="73">
        <v>444</v>
      </c>
      <c r="Q18" s="91">
        <f t="shared" si="12"/>
        <v>1009.8</v>
      </c>
      <c r="R18" s="72">
        <v>0</v>
      </c>
      <c r="S18" s="92">
        <f>L18+IFERROR(VLOOKUP($E:$E,'（居民）工资表-3月'!$E:$S,15,0),0)</f>
        <v>8459.77011494253</v>
      </c>
      <c r="T18" s="93">
        <f>5000+IFERROR(VLOOKUP($E:$E,'（居民）工资表-3月'!$E:$T,16,0),0)</f>
        <v>10000</v>
      </c>
      <c r="U18" s="93">
        <f>Q18+IFERROR(VLOOKUP($E:$E,'（居民）工资表-3月'!$E:$U,17,0),0)</f>
        <v>2019.6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/>
      <c r="AB18" s="92">
        <f t="shared" si="13"/>
        <v>0</v>
      </c>
      <c r="AC18" s="92">
        <f>R18+IFERROR(VLOOKUP($E:$E,'（居民）工资表-3月'!$E:$AC,25,0),0)</f>
        <v>0</v>
      </c>
      <c r="AD18" s="95">
        <f t="shared" si="14"/>
        <v>-3559.83</v>
      </c>
      <c r="AE18" s="96">
        <f>ROUND(MAX((AD18)*{0.03;0.1;0.2;0.25;0.3;0.35;0.45}-{0;2520;16920;31920;52920;85920;181920},0),2)</f>
        <v>0</v>
      </c>
      <c r="AF18" s="97">
        <f>IFERROR(VLOOKUP(E:E,'（居民）工资表-3月'!E:AF,28,0)+VLOOKUP(E:E,'（居民）工资表-3月'!E:AG,29,0),0)</f>
        <v>0</v>
      </c>
      <c r="AG18" s="97">
        <f t="shared" si="15"/>
        <v>0</v>
      </c>
      <c r="AH18" s="104">
        <f t="shared" si="16"/>
        <v>3771.81</v>
      </c>
      <c r="AI18" s="105"/>
      <c r="AJ18" s="104">
        <f t="shared" si="17"/>
        <v>3771.81</v>
      </c>
      <c r="AK18" s="106"/>
      <c r="AL18" s="104">
        <f t="shared" si="18"/>
        <v>3771.81</v>
      </c>
      <c r="AM18" s="106"/>
      <c r="AN18" s="106"/>
      <c r="AO18" s="106"/>
      <c r="AP18" s="106"/>
      <c r="AQ18" s="106"/>
      <c r="AR18" s="113" t="str">
        <f t="shared" si="21"/>
        <v>正确</v>
      </c>
      <c r="AS18" s="113" t="str">
        <f t="shared" si="19"/>
        <v>不</v>
      </c>
      <c r="AT18" s="113" t="str">
        <f t="shared" si="20"/>
        <v>重复</v>
      </c>
    </row>
    <row r="19" s="12" customFormat="1" ht="18" customHeight="1" spans="1:46">
      <c r="A19" s="36">
        <v>17</v>
      </c>
      <c r="B19" s="37" t="s">
        <v>127</v>
      </c>
      <c r="C19" s="37" t="s">
        <v>198</v>
      </c>
      <c r="D19" s="37" t="s">
        <v>129</v>
      </c>
      <c r="E19" s="313" t="s">
        <v>199</v>
      </c>
      <c r="F19" s="38" t="str">
        <f t="shared" si="11"/>
        <v>女</v>
      </c>
      <c r="G19" s="39">
        <v>15321201469</v>
      </c>
      <c r="H19" s="40"/>
      <c r="I19" s="40"/>
      <c r="J19" s="134"/>
      <c r="K19" s="40"/>
      <c r="L19" s="72">
        <v>10359.7701149425</v>
      </c>
      <c r="M19" s="73">
        <v>560</v>
      </c>
      <c r="N19" s="73">
        <v>143</v>
      </c>
      <c r="O19" s="73">
        <v>35</v>
      </c>
      <c r="P19" s="73">
        <v>840</v>
      </c>
      <c r="Q19" s="91">
        <f t="shared" si="12"/>
        <v>1578</v>
      </c>
      <c r="R19" s="72">
        <v>0</v>
      </c>
      <c r="S19" s="92">
        <f>L19+IFERROR(VLOOKUP($E:$E,'（居民）工资表-3月'!$E:$S,15,0),0)</f>
        <v>10359.7701149425</v>
      </c>
      <c r="T19" s="93">
        <f>5000+IFERROR(VLOOKUP($E:$E,'（居民）工资表-3月'!$E:$T,16,0),0)</f>
        <v>5000</v>
      </c>
      <c r="U19" s="93">
        <f>Q19+IFERROR(VLOOKUP($E:$E,'（居民）工资表-3月'!$E:$U,17,0),0)</f>
        <v>1578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/>
      <c r="AB19" s="92">
        <f t="shared" si="13"/>
        <v>0</v>
      </c>
      <c r="AC19" s="92">
        <f>R19+IFERROR(VLOOKUP($E:$E,'（居民）工资表-3月'!$E:$AC,25,0),0)</f>
        <v>0</v>
      </c>
      <c r="AD19" s="95">
        <f t="shared" si="14"/>
        <v>3781.77</v>
      </c>
      <c r="AE19" s="96">
        <f>ROUND(MAX((AD19)*{0.03;0.1;0.2;0.25;0.3;0.35;0.45}-{0;2520;16920;31920;52920;85920;181920},0),2)</f>
        <v>113.45</v>
      </c>
      <c r="AF19" s="97">
        <f>IFERROR(VLOOKUP(E:E,'（居民）工资表-3月'!E:AF,28,0)+VLOOKUP(E:E,'（居民）工资表-3月'!E:AG,29,0),0)</f>
        <v>0</v>
      </c>
      <c r="AG19" s="97">
        <f t="shared" si="15"/>
        <v>113.45</v>
      </c>
      <c r="AH19" s="104">
        <f t="shared" si="16"/>
        <v>8668.32</v>
      </c>
      <c r="AI19" s="105"/>
      <c r="AJ19" s="104">
        <f t="shared" si="17"/>
        <v>8668.32</v>
      </c>
      <c r="AK19" s="106"/>
      <c r="AL19" s="104">
        <f t="shared" si="18"/>
        <v>8781.77</v>
      </c>
      <c r="AM19" s="106"/>
      <c r="AN19" s="106"/>
      <c r="AO19" s="106"/>
      <c r="AP19" s="106"/>
      <c r="AQ19" s="106"/>
      <c r="AR19" s="113" t="str">
        <f t="shared" si="21"/>
        <v>正确</v>
      </c>
      <c r="AS19" s="113" t="str">
        <f>IF(SUMPRODUCT(N(E$1:E$18=E19))&gt;1,"重复","不")</f>
        <v>不</v>
      </c>
      <c r="AT19" s="113" t="str">
        <f>IF(SUMPRODUCT(N(AO$1:AO$18=AO19))&gt;1,"重复","不")</f>
        <v>重复</v>
      </c>
    </row>
    <row r="20" s="12" customFormat="1" ht="18" customHeight="1" spans="1:46">
      <c r="A20" s="36">
        <v>18</v>
      </c>
      <c r="B20" s="37" t="s">
        <v>127</v>
      </c>
      <c r="C20" s="37" t="s">
        <v>200</v>
      </c>
      <c r="D20" s="37" t="s">
        <v>129</v>
      </c>
      <c r="E20" s="313" t="s">
        <v>201</v>
      </c>
      <c r="F20" s="38" t="str">
        <f t="shared" si="11"/>
        <v>女</v>
      </c>
      <c r="G20" s="39">
        <v>17611309622</v>
      </c>
      <c r="H20" s="40"/>
      <c r="I20" s="40"/>
      <c r="J20" s="134"/>
      <c r="K20" s="40"/>
      <c r="L20" s="72">
        <v>7724.13793103448</v>
      </c>
      <c r="M20" s="73">
        <v>428.8</v>
      </c>
      <c r="N20" s="73">
        <v>110.2</v>
      </c>
      <c r="O20" s="73">
        <v>26.8</v>
      </c>
      <c r="P20" s="73">
        <v>444</v>
      </c>
      <c r="Q20" s="91">
        <f t="shared" si="12"/>
        <v>1009.8</v>
      </c>
      <c r="R20" s="72">
        <v>0</v>
      </c>
      <c r="S20" s="92">
        <f>L20+IFERROR(VLOOKUP($E:$E,'（居民）工资表-3月'!$E:$S,15,0),0)</f>
        <v>7724.13793103448</v>
      </c>
      <c r="T20" s="93">
        <f>5000+IFERROR(VLOOKUP($E:$E,'（居民）工资表-3月'!$E:$T,16,0),0)</f>
        <v>5000</v>
      </c>
      <c r="U20" s="93">
        <f>Q20+IFERROR(VLOOKUP($E:$E,'（居民）工资表-3月'!$E:$U,17,0),0)</f>
        <v>1009.8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/>
      <c r="AB20" s="92">
        <f t="shared" si="13"/>
        <v>0</v>
      </c>
      <c r="AC20" s="92">
        <f>R20+IFERROR(VLOOKUP($E:$E,'（居民）工资表-3月'!$E:$AC,25,0),0)</f>
        <v>0</v>
      </c>
      <c r="AD20" s="95">
        <f t="shared" si="14"/>
        <v>1714.34</v>
      </c>
      <c r="AE20" s="96">
        <f>ROUND(MAX((AD20)*{0.03;0.1;0.2;0.25;0.3;0.35;0.45}-{0;2520;16920;31920;52920;85920;181920},0),2)</f>
        <v>51.43</v>
      </c>
      <c r="AF20" s="97">
        <f>IFERROR(VLOOKUP(E:E,'（居民）工资表-3月'!E:AF,28,0)+VLOOKUP(E:E,'（居民）工资表-3月'!E:AG,29,0),0)</f>
        <v>0</v>
      </c>
      <c r="AG20" s="97">
        <f t="shared" si="15"/>
        <v>51.43</v>
      </c>
      <c r="AH20" s="104">
        <f t="shared" si="16"/>
        <v>6662.91</v>
      </c>
      <c r="AI20" s="105"/>
      <c r="AJ20" s="104">
        <f t="shared" si="17"/>
        <v>6662.91</v>
      </c>
      <c r="AK20" s="106"/>
      <c r="AL20" s="104">
        <f t="shared" si="18"/>
        <v>6714.34</v>
      </c>
      <c r="AM20" s="106"/>
      <c r="AN20" s="106"/>
      <c r="AO20" s="106"/>
      <c r="AP20" s="106"/>
      <c r="AQ20" s="106"/>
      <c r="AR20" s="113" t="str">
        <f t="shared" si="21"/>
        <v>正确</v>
      </c>
      <c r="AS20" s="113" t="str">
        <f>IF(SUMPRODUCT(N(E$1:E$18=E20))&gt;1,"重复","不")</f>
        <v>不</v>
      </c>
      <c r="AT20" s="113" t="str">
        <f>IF(SUMPRODUCT(N(AO$1:AO$18=AO20))&gt;1,"重复","不")</f>
        <v>重复</v>
      </c>
    </row>
    <row r="21" s="12" customFormat="1" ht="18" customHeight="1" spans="1:46">
      <c r="A21" s="36"/>
      <c r="B21" s="37"/>
      <c r="C21" s="37"/>
      <c r="D21" s="37"/>
      <c r="E21" s="37"/>
      <c r="F21" s="38"/>
      <c r="G21" s="39"/>
      <c r="H21" s="40"/>
      <c r="I21" s="40"/>
      <c r="J21" s="115"/>
      <c r="K21" s="40"/>
      <c r="L21" s="72"/>
      <c r="M21" s="73"/>
      <c r="N21" s="73"/>
      <c r="O21" s="73"/>
      <c r="P21" s="73"/>
      <c r="Q21" s="91"/>
      <c r="R21" s="72"/>
      <c r="S21" s="92"/>
      <c r="T21" s="93"/>
      <c r="U21" s="93"/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/>
      <c r="AB21" s="92"/>
      <c r="AC21" s="92"/>
      <c r="AD21" s="95"/>
      <c r="AE21" s="96"/>
      <c r="AF21" s="97"/>
      <c r="AG21" s="97"/>
      <c r="AH21" s="104"/>
      <c r="AI21" s="105"/>
      <c r="AJ21" s="104"/>
      <c r="AK21" s="106"/>
      <c r="AL21" s="104"/>
      <c r="AM21" s="106"/>
      <c r="AN21" s="106"/>
      <c r="AO21" s="106"/>
      <c r="AP21" s="106"/>
      <c r="AQ21" s="106"/>
      <c r="AR21" s="113"/>
      <c r="AS21" s="113"/>
      <c r="AT21" s="113"/>
    </row>
    <row r="22" s="13" customFormat="1" ht="18" customHeight="1" spans="1:46">
      <c r="A22" s="43"/>
      <c r="B22" s="44" t="s">
        <v>155</v>
      </c>
      <c r="C22" s="44"/>
      <c r="D22" s="45"/>
      <c r="E22" s="46"/>
      <c r="F22" s="47"/>
      <c r="G22" s="48"/>
      <c r="H22" s="47"/>
      <c r="I22" s="74"/>
      <c r="J22" s="75"/>
      <c r="K22" s="74"/>
      <c r="L22" s="76">
        <f>SUM(L4:L21)</f>
        <v>171823.563218391</v>
      </c>
      <c r="M22" s="76">
        <f t="shared" ref="M22:AL22" si="22">SUM(M4:M21)</f>
        <v>7203.2</v>
      </c>
      <c r="N22" s="76">
        <f t="shared" si="22"/>
        <v>1848.8</v>
      </c>
      <c r="O22" s="76">
        <f t="shared" si="22"/>
        <v>450.2</v>
      </c>
      <c r="P22" s="76">
        <f t="shared" si="22"/>
        <v>8172</v>
      </c>
      <c r="Q22" s="76">
        <f t="shared" si="22"/>
        <v>17674.2</v>
      </c>
      <c r="R22" s="76">
        <f t="shared" si="22"/>
        <v>0</v>
      </c>
      <c r="S22" s="76">
        <f t="shared" si="22"/>
        <v>560028.965517242</v>
      </c>
      <c r="T22" s="76">
        <f t="shared" si="22"/>
        <v>265000</v>
      </c>
      <c r="U22" s="76">
        <f t="shared" si="22"/>
        <v>54278.4</v>
      </c>
      <c r="V22" s="76">
        <f t="shared" si="22"/>
        <v>0</v>
      </c>
      <c r="W22" s="76">
        <f t="shared" si="22"/>
        <v>0</v>
      </c>
      <c r="X22" s="76">
        <f t="shared" si="22"/>
        <v>0</v>
      </c>
      <c r="Y22" s="76">
        <f t="shared" si="22"/>
        <v>6000</v>
      </c>
      <c r="Z22" s="76">
        <f t="shared" si="22"/>
        <v>0</v>
      </c>
      <c r="AA22" s="76">
        <f t="shared" si="22"/>
        <v>0</v>
      </c>
      <c r="AB22" s="76">
        <f t="shared" si="22"/>
        <v>6000</v>
      </c>
      <c r="AC22" s="76">
        <f t="shared" si="22"/>
        <v>0</v>
      </c>
      <c r="AD22" s="76">
        <f t="shared" si="22"/>
        <v>234750.59</v>
      </c>
      <c r="AE22" s="76">
        <f t="shared" si="22"/>
        <v>7238.62</v>
      </c>
      <c r="AF22" s="76">
        <f t="shared" si="22"/>
        <v>5218</v>
      </c>
      <c r="AG22" s="76">
        <f t="shared" si="22"/>
        <v>2094.42</v>
      </c>
      <c r="AH22" s="76">
        <f t="shared" si="22"/>
        <v>152054.95</v>
      </c>
      <c r="AI22" s="76">
        <f t="shared" si="22"/>
        <v>0</v>
      </c>
      <c r="AJ22" s="76">
        <f t="shared" si="22"/>
        <v>152054.95</v>
      </c>
      <c r="AK22" s="76">
        <f t="shared" si="22"/>
        <v>0</v>
      </c>
      <c r="AL22" s="76">
        <f t="shared" si="22"/>
        <v>154149.37</v>
      </c>
      <c r="AM22" s="108"/>
      <c r="AN22" s="108"/>
      <c r="AO22" s="108"/>
      <c r="AP22" s="108"/>
      <c r="AQ22" s="108"/>
      <c r="AR22" s="47"/>
      <c r="AS22" s="47"/>
      <c r="AT22" s="114"/>
    </row>
    <row r="25" spans="30:30">
      <c r="AD25" s="98"/>
    </row>
    <row r="26" ht="18.75" customHeight="1" spans="2:33">
      <c r="B26" s="49" t="s">
        <v>108</v>
      </c>
      <c r="C26" s="49" t="s">
        <v>156</v>
      </c>
      <c r="D26" s="49" t="s">
        <v>58</v>
      </c>
      <c r="E26" s="49" t="s">
        <v>59</v>
      </c>
      <c r="AD26" s="10"/>
      <c r="AG26" s="135"/>
    </row>
    <row r="27" ht="18.75" customHeight="1" spans="2:5">
      <c r="B27" s="50">
        <f>AJ22</f>
        <v>152054.95</v>
      </c>
      <c r="C27" s="50">
        <f>AG22</f>
        <v>2094.42</v>
      </c>
      <c r="D27" s="50">
        <f>AK22</f>
        <v>0</v>
      </c>
      <c r="E27" s="50">
        <f>B27+C27+D27</f>
        <v>154149.37</v>
      </c>
    </row>
    <row r="28" spans="2:5">
      <c r="B28" s="51"/>
      <c r="C28" s="51"/>
      <c r="D28" s="51"/>
      <c r="E28" s="51"/>
    </row>
    <row r="29" s="14" customFormat="1" spans="1:35">
      <c r="A29" s="52" t="s">
        <v>157</v>
      </c>
      <c r="B29" s="53" t="s">
        <v>158</v>
      </c>
      <c r="C29" s="54"/>
      <c r="D29" s="54"/>
      <c r="E29" s="54"/>
      <c r="G29" s="55"/>
      <c r="J29" s="77"/>
      <c r="M29" s="78"/>
      <c r="AI29" s="109"/>
    </row>
    <row r="30" s="14" customFormat="1" spans="1:35">
      <c r="A30" s="56"/>
      <c r="B30" s="57" t="s">
        <v>159</v>
      </c>
      <c r="C30" s="54"/>
      <c r="D30" s="54"/>
      <c r="E30" s="54"/>
      <c r="G30" s="55"/>
      <c r="J30" s="77"/>
      <c r="M30" s="78"/>
      <c r="AI30" s="109"/>
    </row>
    <row r="31" s="14" customFormat="1" spans="1:35">
      <c r="A31" s="53"/>
      <c r="B31" s="57" t="s">
        <v>160</v>
      </c>
      <c r="C31" s="58"/>
      <c r="D31" s="58"/>
      <c r="E31" s="58"/>
      <c r="F31" s="58"/>
      <c r="G31" s="58"/>
      <c r="H31" s="58"/>
      <c r="I31" s="58"/>
      <c r="J31" s="79"/>
      <c r="K31" s="58"/>
      <c r="L31" s="58"/>
      <c r="M31" s="80"/>
      <c r="N31" s="58"/>
      <c r="O31" s="58"/>
      <c r="P31" s="58"/>
      <c r="AI31" s="109"/>
    </row>
    <row r="32" s="14" customFormat="1" customHeight="1" spans="1:35">
      <c r="A32" s="57"/>
      <c r="B32" s="57" t="s">
        <v>161</v>
      </c>
      <c r="C32" s="59"/>
      <c r="D32" s="59"/>
      <c r="E32" s="59"/>
      <c r="F32" s="59"/>
      <c r="G32" s="59"/>
      <c r="H32" s="59"/>
      <c r="I32" s="81"/>
      <c r="J32" s="82"/>
      <c r="K32" s="81"/>
      <c r="L32" s="81"/>
      <c r="M32" s="83"/>
      <c r="N32" s="81"/>
      <c r="O32" s="81"/>
      <c r="P32" s="81"/>
      <c r="AI32" s="109"/>
    </row>
    <row r="33" s="14" customFormat="1" customHeight="1" spans="1:35">
      <c r="A33" s="57"/>
      <c r="B33" s="57" t="s">
        <v>162</v>
      </c>
      <c r="C33" s="59"/>
      <c r="D33" s="59"/>
      <c r="E33" s="59"/>
      <c r="F33" s="59"/>
      <c r="G33" s="59"/>
      <c r="H33" s="59"/>
      <c r="I33" s="59"/>
      <c r="J33" s="84"/>
      <c r="K33" s="59"/>
      <c r="L33" s="81"/>
      <c r="M33" s="83"/>
      <c r="N33" s="81"/>
      <c r="O33" s="81"/>
      <c r="P33" s="81"/>
      <c r="AI33" s="109"/>
    </row>
    <row r="34" s="14" customFormat="1" customHeight="1" spans="1:35">
      <c r="A34" s="57"/>
      <c r="B34" s="57" t="s">
        <v>163</v>
      </c>
      <c r="C34" s="59"/>
      <c r="D34" s="59"/>
      <c r="E34" s="59"/>
      <c r="F34" s="59"/>
      <c r="G34" s="59"/>
      <c r="H34" s="59"/>
      <c r="I34" s="81"/>
      <c r="J34" s="82"/>
      <c r="K34" s="81"/>
      <c r="L34" s="81"/>
      <c r="M34" s="83"/>
      <c r="N34" s="81"/>
      <c r="O34" s="81"/>
      <c r="P34" s="81"/>
      <c r="AI34" s="109"/>
    </row>
    <row r="36" ht="11.25" customHeight="1" spans="2:2">
      <c r="B36" s="60" t="s">
        <v>164</v>
      </c>
    </row>
    <row r="37" spans="2:2">
      <c r="B37" s="61" t="s">
        <v>165</v>
      </c>
    </row>
    <row r="38" spans="2:2">
      <c r="B38" s="61" t="s">
        <v>166</v>
      </c>
    </row>
  </sheetData>
  <autoFilter ref="A3:AT22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4">
    <cfRule type="duplicateValues" dxfId="2" priority="2" stopIfTrue="1"/>
  </conditionalFormatting>
  <conditionalFormatting sqref="B29:B33">
    <cfRule type="duplicateValues" dxfId="2" priority="3" stopIfTrue="1"/>
  </conditionalFormatting>
  <conditionalFormatting sqref="B37:B38">
    <cfRule type="duplicateValues" dxfId="2" priority="1" stopIfTrue="1"/>
  </conditionalFormatting>
  <conditionalFormatting sqref="C26:C28">
    <cfRule type="duplicateValues" dxfId="2" priority="4" stopIfTrue="1"/>
    <cfRule type="expression" dxfId="3" priority="5" stopIfTrue="1">
      <formula>AND(COUNTIF($B$22:$B$65458,C26)+COUNTIF($B$1:$B$3,C26)&gt;1,NOT(ISBLANK(C26)))</formula>
    </cfRule>
    <cfRule type="expression" dxfId="3" priority="6" stopIfTrue="1">
      <formula>AND(COUNTIF($B$33:$B$65409,C26)+COUNTIF($B$1:$B$32,C26)&gt;1,NOT(ISBLANK(C26)))</formula>
    </cfRule>
    <cfRule type="expression" dxfId="3" priority="7" stopIfTrue="1">
      <formula>AND(COUNTIF($B$22:$B$65447,C26)+COUNTIF($B$1:$B$3,C26)&gt;1,NOT(ISBLANK(C26)))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2"/>
  <sheetViews>
    <sheetView workbookViewId="0">
      <pane xSplit="6" ySplit="3" topLeftCell="U4" activePane="bottomRight" state="frozen"/>
      <selection/>
      <selection pane="topRight"/>
      <selection pane="bottomLeft"/>
      <selection pane="bottomRight" activeCell="J19" sqref="J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11.45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80</v>
      </c>
      <c r="B1" s="21"/>
      <c r="C1" s="22"/>
      <c r="D1" s="23"/>
      <c r="E1" s="24"/>
      <c r="F1" s="24"/>
      <c r="G1" s="25"/>
      <c r="J1" s="62"/>
      <c r="L1" s="63"/>
      <c r="M1" s="64" t="s">
        <v>81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82</v>
      </c>
      <c r="C2" s="28" t="s">
        <v>83</v>
      </c>
      <c r="D2" s="28" t="s">
        <v>84</v>
      </c>
      <c r="E2" s="29" t="s">
        <v>85</v>
      </c>
      <c r="F2" s="30" t="s">
        <v>86</v>
      </c>
      <c r="G2" s="29" t="s">
        <v>87</v>
      </c>
      <c r="H2" s="29" t="s">
        <v>88</v>
      </c>
      <c r="I2" s="29" t="s">
        <v>89</v>
      </c>
      <c r="J2" s="65" t="s">
        <v>90</v>
      </c>
      <c r="K2" s="29" t="s">
        <v>91</v>
      </c>
      <c r="L2" s="29" t="s">
        <v>92</v>
      </c>
      <c r="M2" s="66" t="s">
        <v>93</v>
      </c>
      <c r="N2" s="67"/>
      <c r="O2" s="67"/>
      <c r="P2" s="68"/>
      <c r="Q2" s="30" t="s">
        <v>94</v>
      </c>
      <c r="R2" s="29" t="s">
        <v>95</v>
      </c>
      <c r="S2" s="30" t="s">
        <v>96</v>
      </c>
      <c r="T2" s="86" t="s">
        <v>97</v>
      </c>
      <c r="U2" s="30" t="s">
        <v>98</v>
      </c>
      <c r="V2" s="87" t="s">
        <v>99</v>
      </c>
      <c r="W2" s="88"/>
      <c r="X2" s="88"/>
      <c r="Y2" s="88"/>
      <c r="Z2" s="88"/>
      <c r="AA2" s="94"/>
      <c r="AB2" s="30" t="s">
        <v>100</v>
      </c>
      <c r="AC2" s="30" t="s">
        <v>101</v>
      </c>
      <c r="AD2" s="86" t="s">
        <v>102</v>
      </c>
      <c r="AE2" s="86" t="s">
        <v>103</v>
      </c>
      <c r="AF2" s="86" t="s">
        <v>104</v>
      </c>
      <c r="AG2" s="86" t="s">
        <v>105</v>
      </c>
      <c r="AH2" s="100" t="s">
        <v>106</v>
      </c>
      <c r="AI2" s="101" t="s">
        <v>107</v>
      </c>
      <c r="AJ2" s="100" t="s">
        <v>108</v>
      </c>
      <c r="AK2" s="28" t="s">
        <v>58</v>
      </c>
      <c r="AL2" s="100" t="s">
        <v>109</v>
      </c>
      <c r="AM2" s="29" t="s">
        <v>110</v>
      </c>
      <c r="AN2" s="29" t="s">
        <v>111</v>
      </c>
      <c r="AO2" s="111" t="s">
        <v>112</v>
      </c>
      <c r="AP2" s="29" t="s">
        <v>113</v>
      </c>
      <c r="AQ2" s="29" t="s">
        <v>114</v>
      </c>
      <c r="AR2" s="30" t="s">
        <v>115</v>
      </c>
      <c r="AS2" s="30" t="s">
        <v>116</v>
      </c>
      <c r="AT2" s="30" t="s">
        <v>117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118</v>
      </c>
      <c r="N3" s="70" t="s">
        <v>119</v>
      </c>
      <c r="O3" s="70" t="s">
        <v>120</v>
      </c>
      <c r="P3" s="70" t="s">
        <v>71</v>
      </c>
      <c r="Q3" s="35"/>
      <c r="R3" s="34"/>
      <c r="S3" s="35"/>
      <c r="T3" s="89"/>
      <c r="U3" s="35"/>
      <c r="V3" s="90" t="s">
        <v>121</v>
      </c>
      <c r="W3" s="90" t="s">
        <v>122</v>
      </c>
      <c r="X3" s="90" t="s">
        <v>123</v>
      </c>
      <c r="Y3" s="90" t="s">
        <v>124</v>
      </c>
      <c r="Z3" s="90" t="s">
        <v>125</v>
      </c>
      <c r="AA3" s="90" t="s">
        <v>126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127</v>
      </c>
      <c r="C4" s="37" t="s">
        <v>139</v>
      </c>
      <c r="D4" s="37" t="s">
        <v>129</v>
      </c>
      <c r="E4" s="37" t="s">
        <v>140</v>
      </c>
      <c r="F4" s="38" t="s">
        <v>207</v>
      </c>
      <c r="G4" s="39">
        <v>15652649555</v>
      </c>
      <c r="H4" s="40"/>
      <c r="I4" s="40"/>
      <c r="J4" s="115"/>
      <c r="K4" s="40"/>
      <c r="L4" s="72">
        <v>11500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L4+IFERROR(VLOOKUP($E:$E,'（居民）工资表-5月'!$E:$S,15,0),0)</f>
        <v>66534.4827586207</v>
      </c>
      <c r="T4" s="93">
        <f>5000+IFERROR(VLOOKUP($E:$E,'（居民）工资表-5月'!$E:$T,16,0),0)</f>
        <v>30000</v>
      </c>
      <c r="U4" s="93">
        <f>Q4+IFERROR(VLOOKUP($E:$E,'（居民）工资表-5月'!$E:$U,17,0),0)</f>
        <v>6058.8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/>
      <c r="AB4" s="92">
        <f>ROUND(SUM(V4:AA4),2)</f>
        <v>0</v>
      </c>
      <c r="AC4" s="92">
        <f>R4+IFERROR(VLOOKUP($E:$E,'（居民）工资表-5月'!$E:$AC,25,0),0)</f>
        <v>0</v>
      </c>
      <c r="AD4" s="95">
        <f>ROUND(S4-T4-U4-AB4-AC4,2)</f>
        <v>30475.68</v>
      </c>
      <c r="AE4" s="96">
        <f>ROUND(MAX((AD4)*{0.03;0.1;0.2;0.25;0.3;0.35;0.45}-{0;2520;16920;31920;52920;85920;181920},0),2)</f>
        <v>914.27</v>
      </c>
      <c r="AF4" s="97">
        <f>IFERROR(VLOOKUP(E:E,'（居民）工资表-5月'!E:AF,28,0)+VLOOKUP(E:E,'（居民）工资表-5月'!E:AG,29,0),0)</f>
        <v>749.56</v>
      </c>
      <c r="AG4" s="97">
        <f>IF((AE4-AF4)&lt;0,0,AE4-AF4)</f>
        <v>164.71</v>
      </c>
      <c r="AH4" s="104">
        <f>ROUND(IF((L4-Q4-AG4)&lt;0,0,(L4-Q4-AG4)),2)</f>
        <v>10325.49</v>
      </c>
      <c r="AI4" s="105"/>
      <c r="AJ4" s="104">
        <f>AH4+AI4</f>
        <v>10325.49</v>
      </c>
      <c r="AK4" s="106"/>
      <c r="AL4" s="104">
        <f>AJ4+AG4+AK4</f>
        <v>10490.2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IF(SUMPRODUCT(N(E$1:E$15=E4))&gt;1,"重复","不")</f>
        <v>不</v>
      </c>
      <c r="AT4" s="113" t="str">
        <f>IF(SUMPRODUCT(N(AO$1:AO$15=AO4))&gt;1,"重复","不")</f>
        <v>重复</v>
      </c>
    </row>
    <row r="5" s="12" customFormat="1" ht="18" customHeight="1" spans="1:46">
      <c r="A5" s="36">
        <v>2</v>
      </c>
      <c r="B5" s="37" t="s">
        <v>127</v>
      </c>
      <c r="C5" s="37" t="s">
        <v>141</v>
      </c>
      <c r="D5" s="37" t="s">
        <v>129</v>
      </c>
      <c r="E5" s="313" t="s">
        <v>142</v>
      </c>
      <c r="F5" s="38" t="s">
        <v>207</v>
      </c>
      <c r="G5" s="39">
        <v>17611149839</v>
      </c>
      <c r="H5" s="40"/>
      <c r="I5" s="40"/>
      <c r="J5" s="115"/>
      <c r="K5" s="40"/>
      <c r="L5" s="72">
        <v>12900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13" si="0">ROUND(SUM(M5:P5),2)</f>
        <v>1009.8</v>
      </c>
      <c r="R5" s="72">
        <v>0</v>
      </c>
      <c r="S5" s="92">
        <f>L5+IFERROR(VLOOKUP($E:$E,'（居民）工资表-5月'!$E:$S,15,0),0)</f>
        <v>63381.3793103448</v>
      </c>
      <c r="T5" s="93">
        <f>5000+IFERROR(VLOOKUP($E:$E,'（居民）工资表-5月'!$E:$T,16,0),0)</f>
        <v>30000</v>
      </c>
      <c r="U5" s="93">
        <f>Q5+IFERROR(VLOOKUP($E:$E,'（居民）工资表-5月'!$E:$U,17,0),0)</f>
        <v>6058.8</v>
      </c>
      <c r="V5" s="72">
        <v>0</v>
      </c>
      <c r="W5" s="72">
        <v>0</v>
      </c>
      <c r="X5" s="72">
        <v>0</v>
      </c>
      <c r="Y5" s="72">
        <v>0</v>
      </c>
      <c r="Z5" s="72">
        <v>0</v>
      </c>
      <c r="AA5" s="72"/>
      <c r="AB5" s="92">
        <f t="shared" ref="AB5:AB13" si="1">ROUND(SUM(V5:AA5),2)</f>
        <v>0</v>
      </c>
      <c r="AC5" s="92">
        <f>R5+IFERROR(VLOOKUP($E:$E,'（居民）工资表-5月'!$E:$AC,25,0),0)</f>
        <v>0</v>
      </c>
      <c r="AD5" s="95">
        <f t="shared" ref="AD5:AD13" si="2">ROUND(S5-T5-U5-AB5-AC5,2)</f>
        <v>27322.58</v>
      </c>
      <c r="AE5" s="96">
        <f>ROUND(MAX((AD5)*{0.03;0.1;0.2;0.25;0.3;0.35;0.45}-{0;2520;16920;31920;52920;85920;181920},0),2)</f>
        <v>819.68</v>
      </c>
      <c r="AF5" s="97">
        <f>IFERROR(VLOOKUP(E:E,'（居民）工资表-5月'!E:AF,28,0)+VLOOKUP(E:E,'（居民）工资表-5月'!E:AG,29,0),0)</f>
        <v>612.97</v>
      </c>
      <c r="AG5" s="97">
        <f t="shared" ref="AG5:AG13" si="3">IF((AE5-AF5)&lt;0,0,AE5-AF5)</f>
        <v>206.71</v>
      </c>
      <c r="AH5" s="104">
        <f t="shared" ref="AH5:AH13" si="4">ROUND(IF((L5-Q5-AG5)&lt;0,0,(L5-Q5-AG5)),2)</f>
        <v>11683.49</v>
      </c>
      <c r="AI5" s="105"/>
      <c r="AJ5" s="104">
        <f t="shared" ref="AJ5:AJ13" si="5">AH5+AI5</f>
        <v>11683.49</v>
      </c>
      <c r="AK5" s="106"/>
      <c r="AL5" s="104">
        <f t="shared" ref="AL5:AL13" si="6">AJ5+AG5+AK5</f>
        <v>11890.2</v>
      </c>
      <c r="AM5" s="106"/>
      <c r="AN5" s="106"/>
      <c r="AO5" s="106"/>
      <c r="AP5" s="106"/>
      <c r="AQ5" s="106"/>
      <c r="AR5" s="113" t="str">
        <f t="shared" ref="AR5:AR13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3" t="str">
        <f t="shared" ref="AS5:AS12" si="8">IF(SUMPRODUCT(N(E$1:E$15=E5))&gt;1,"重复","不")</f>
        <v>不</v>
      </c>
      <c r="AT5" s="113" t="str">
        <f t="shared" ref="AT5:AT12" si="9">IF(SUMPRODUCT(N(AO$1:AO$15=AO5))&gt;1,"重复","不")</f>
        <v>重复</v>
      </c>
    </row>
    <row r="6" s="12" customFormat="1" ht="18" customHeight="1" spans="1:46">
      <c r="A6" s="36">
        <v>3</v>
      </c>
      <c r="B6" s="37" t="s">
        <v>127</v>
      </c>
      <c r="C6" s="37" t="s">
        <v>143</v>
      </c>
      <c r="D6" s="37" t="s">
        <v>129</v>
      </c>
      <c r="E6" s="313" t="s">
        <v>144</v>
      </c>
      <c r="F6" s="38" t="s">
        <v>207</v>
      </c>
      <c r="G6" s="39">
        <v>13596154643</v>
      </c>
      <c r="H6" s="40"/>
      <c r="I6" s="40"/>
      <c r="J6" s="115"/>
      <c r="K6" s="40"/>
      <c r="L6" s="72">
        <v>10921.2643678161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0"/>
        <v>1009.8</v>
      </c>
      <c r="R6" s="72">
        <v>0</v>
      </c>
      <c r="S6" s="92">
        <f>L6+IFERROR(VLOOKUP($E:$E,'（居民）工资表-5月'!$E:$S,15,0),0)</f>
        <v>65985.7471264368</v>
      </c>
      <c r="T6" s="93">
        <f>5000+IFERROR(VLOOKUP($E:$E,'（居民）工资表-5月'!$E:$T,16,0),0)</f>
        <v>30000</v>
      </c>
      <c r="U6" s="93">
        <f>Q6+IFERROR(VLOOKUP($E:$E,'（居民）工资表-5月'!$E:$U,17,0),0)</f>
        <v>6058.8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/>
      <c r="AB6" s="92">
        <f t="shared" si="1"/>
        <v>0</v>
      </c>
      <c r="AC6" s="92">
        <f>R6+IFERROR(VLOOKUP($E:$E,'（居民）工资表-5月'!$E:$AC,25,0),0)</f>
        <v>0</v>
      </c>
      <c r="AD6" s="95">
        <f t="shared" si="2"/>
        <v>29926.95</v>
      </c>
      <c r="AE6" s="96">
        <f>ROUND(MAX((AD6)*{0.03;0.1;0.2;0.25;0.3;0.35;0.45}-{0;2520;16920;31920;52920;85920;181920},0),2)</f>
        <v>897.81</v>
      </c>
      <c r="AF6" s="97">
        <f>IFERROR(VLOOKUP(E:E,'（居民）工资表-5月'!E:AF,28,0)+VLOOKUP(E:E,'（居民）工资表-5月'!E:AG,29,0),0)</f>
        <v>750.46</v>
      </c>
      <c r="AG6" s="97">
        <f t="shared" si="3"/>
        <v>147.35</v>
      </c>
      <c r="AH6" s="104">
        <f t="shared" si="4"/>
        <v>9764.11</v>
      </c>
      <c r="AI6" s="105"/>
      <c r="AJ6" s="104">
        <f t="shared" si="5"/>
        <v>9764.11</v>
      </c>
      <c r="AK6" s="106"/>
      <c r="AL6" s="104">
        <f t="shared" si="6"/>
        <v>9911.46</v>
      </c>
      <c r="AM6" s="106"/>
      <c r="AN6" s="106"/>
      <c r="AO6" s="106"/>
      <c r="AP6" s="106"/>
      <c r="AQ6" s="106"/>
      <c r="AR6" s="113" t="str">
        <f t="shared" si="7"/>
        <v>正确</v>
      </c>
      <c r="AS6" s="113" t="str">
        <f t="shared" si="8"/>
        <v>不</v>
      </c>
      <c r="AT6" s="113" t="str">
        <f t="shared" si="9"/>
        <v>重复</v>
      </c>
    </row>
    <row r="7" s="12" customFormat="1" ht="18" customHeight="1" spans="1:46">
      <c r="A7" s="36">
        <v>4</v>
      </c>
      <c r="B7" s="37" t="s">
        <v>127</v>
      </c>
      <c r="C7" s="37" t="s">
        <v>147</v>
      </c>
      <c r="D7" s="37" t="s">
        <v>129</v>
      </c>
      <c r="E7" s="313" t="s">
        <v>148</v>
      </c>
      <c r="F7" s="38" t="s">
        <v>207</v>
      </c>
      <c r="G7" s="39">
        <v>13626366929</v>
      </c>
      <c r="H7" s="40"/>
      <c r="I7" s="40"/>
      <c r="J7" s="115"/>
      <c r="K7" s="40"/>
      <c r="L7" s="72">
        <v>10258.6206896552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0"/>
        <v>1009.8</v>
      </c>
      <c r="R7" s="72">
        <v>0</v>
      </c>
      <c r="S7" s="92">
        <f>L7+IFERROR(VLOOKUP($E:$E,'（居民）工资表-5月'!$E:$S,15,0),0)</f>
        <v>84748.6206896552</v>
      </c>
      <c r="T7" s="93">
        <f>5000+IFERROR(VLOOKUP($E:$E,'（居民）工资表-5月'!$E:$T,16,0),0)</f>
        <v>30000</v>
      </c>
      <c r="U7" s="93">
        <f>Q7+IFERROR(VLOOKUP($E:$E,'（居民）工资表-5月'!$E:$U,17,0),0)</f>
        <v>6058.8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/>
      <c r="AB7" s="92">
        <f t="shared" si="1"/>
        <v>0</v>
      </c>
      <c r="AC7" s="92">
        <f>R7+IFERROR(VLOOKUP($E:$E,'（居民）工资表-5月'!$E:$AC,25,0),0)</f>
        <v>0</v>
      </c>
      <c r="AD7" s="95">
        <f t="shared" si="2"/>
        <v>48689.82</v>
      </c>
      <c r="AE7" s="96">
        <f>ROUND(MAX((AD7)*{0.03;0.1;0.2;0.25;0.3;0.35;0.45}-{0;2520;16920;31920;52920;85920;181920},0),2)</f>
        <v>2348.98</v>
      </c>
      <c r="AF7" s="97">
        <f>IFERROR(VLOOKUP(E:E,'（居民）工资表-5月'!E:AF,28,0)+VLOOKUP(E:E,'（居民）工资表-5月'!E:AG,29,0),0)</f>
        <v>1924.1</v>
      </c>
      <c r="AG7" s="97">
        <f t="shared" si="3"/>
        <v>424.88</v>
      </c>
      <c r="AH7" s="104">
        <f t="shared" si="4"/>
        <v>8823.94</v>
      </c>
      <c r="AI7" s="105"/>
      <c r="AJ7" s="104">
        <f t="shared" si="5"/>
        <v>8823.94</v>
      </c>
      <c r="AK7" s="106"/>
      <c r="AL7" s="104">
        <f t="shared" si="6"/>
        <v>9248.82</v>
      </c>
      <c r="AM7" s="106"/>
      <c r="AN7" s="106"/>
      <c r="AO7" s="106"/>
      <c r="AP7" s="106"/>
      <c r="AQ7" s="106"/>
      <c r="AR7" s="113" t="str">
        <f t="shared" si="7"/>
        <v>正确</v>
      </c>
      <c r="AS7" s="113" t="str">
        <f t="shared" si="8"/>
        <v>不</v>
      </c>
      <c r="AT7" s="113" t="str">
        <f t="shared" si="9"/>
        <v>重复</v>
      </c>
    </row>
    <row r="8" s="12" customFormat="1" ht="18" customHeight="1" spans="1:46">
      <c r="A8" s="36">
        <v>5</v>
      </c>
      <c r="B8" s="37" t="s">
        <v>127</v>
      </c>
      <c r="C8" s="37" t="s">
        <v>151</v>
      </c>
      <c r="D8" s="37" t="s">
        <v>129</v>
      </c>
      <c r="E8" s="313" t="s">
        <v>152</v>
      </c>
      <c r="F8" s="38" t="s">
        <v>204</v>
      </c>
      <c r="G8" s="39">
        <v>18674014622</v>
      </c>
      <c r="H8" s="40"/>
      <c r="I8" s="40"/>
      <c r="J8" s="115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600</v>
      </c>
      <c r="Q8" s="91">
        <f t="shared" si="0"/>
        <v>1165.8</v>
      </c>
      <c r="R8" s="72">
        <v>0</v>
      </c>
      <c r="S8" s="92">
        <f>L8+IFERROR(VLOOKUP($E:$E,'（居民）工资表-5月'!$E:$S,15,0),0)</f>
        <v>58275.8620689655</v>
      </c>
      <c r="T8" s="93">
        <f>5000+IFERROR(VLOOKUP($E:$E,'（居民）工资表-5月'!$E:$T,16,0),0)</f>
        <v>30000</v>
      </c>
      <c r="U8" s="93">
        <f>Q8+IFERROR(VLOOKUP($E:$E,'（居民）工资表-5月'!$E:$U,17,0),0)</f>
        <v>6994.8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/>
      <c r="AB8" s="92">
        <f t="shared" si="1"/>
        <v>0</v>
      </c>
      <c r="AC8" s="92">
        <f>R8+IFERROR(VLOOKUP($E:$E,'（居民）工资表-5月'!$E:$AC,25,0),0)</f>
        <v>0</v>
      </c>
      <c r="AD8" s="95">
        <f t="shared" si="2"/>
        <v>21281.06</v>
      </c>
      <c r="AE8" s="96">
        <f>ROUND(MAX((AD8)*{0.03;0.1;0.2;0.25;0.3;0.35;0.45}-{0;2520;16920;31920;52920;85920;181920},0),2)</f>
        <v>638.43</v>
      </c>
      <c r="AF8" s="97">
        <f>IFERROR(VLOOKUP(E:E,'（居民）工资表-5月'!E:AF,28,0)+VLOOKUP(E:E,'（居民）工资表-5月'!E:AG,29,0),0)</f>
        <v>523.41</v>
      </c>
      <c r="AG8" s="97">
        <f t="shared" si="3"/>
        <v>115.02</v>
      </c>
      <c r="AH8" s="104">
        <f t="shared" si="4"/>
        <v>8719.18</v>
      </c>
      <c r="AI8" s="105"/>
      <c r="AJ8" s="104">
        <f t="shared" si="5"/>
        <v>8719.18</v>
      </c>
      <c r="AK8" s="106"/>
      <c r="AL8" s="104">
        <f t="shared" si="6"/>
        <v>8834.2</v>
      </c>
      <c r="AM8" s="106"/>
      <c r="AN8" s="106"/>
      <c r="AO8" s="106"/>
      <c r="AP8" s="106"/>
      <c r="AQ8" s="106"/>
      <c r="AR8" s="113" t="str">
        <f t="shared" si="7"/>
        <v>正确</v>
      </c>
      <c r="AS8" s="113" t="str">
        <f t="shared" si="8"/>
        <v>不</v>
      </c>
      <c r="AT8" s="113" t="str">
        <f t="shared" si="9"/>
        <v>重复</v>
      </c>
    </row>
    <row r="9" s="12" customFormat="1" ht="18" customHeight="1" spans="1:46">
      <c r="A9" s="36">
        <v>6</v>
      </c>
      <c r="B9" s="37" t="s">
        <v>127</v>
      </c>
      <c r="C9" s="37" t="s">
        <v>153</v>
      </c>
      <c r="D9" s="37" t="s">
        <v>129</v>
      </c>
      <c r="E9" s="313" t="s">
        <v>154</v>
      </c>
      <c r="F9" s="38" t="s">
        <v>204</v>
      </c>
      <c r="G9" s="39">
        <v>15145001723</v>
      </c>
      <c r="H9" s="40"/>
      <c r="I9" s="40"/>
      <c r="J9" s="115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0"/>
        <v>1009.8</v>
      </c>
      <c r="R9" s="72">
        <v>0</v>
      </c>
      <c r="S9" s="92">
        <f>L9+IFERROR(VLOOKUP($E:$E,'（居民）工资表-5月'!$E:$S,15,0),0)</f>
        <v>52758.6206896552</v>
      </c>
      <c r="T9" s="93">
        <f>5000+IFERROR(VLOOKUP($E:$E,'（居民）工资表-5月'!$E:$T,16,0),0)</f>
        <v>30000</v>
      </c>
      <c r="U9" s="93">
        <f>Q9+IFERROR(VLOOKUP($E:$E,'（居民）工资表-5月'!$E:$U,17,0),0)</f>
        <v>5049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/>
      <c r="AB9" s="92">
        <f t="shared" si="1"/>
        <v>0</v>
      </c>
      <c r="AC9" s="92">
        <f>R9+IFERROR(VLOOKUP($E:$E,'（居民）工资表-5月'!$E:$AC,25,0),0)</f>
        <v>0</v>
      </c>
      <c r="AD9" s="95">
        <f t="shared" si="2"/>
        <v>17709.62</v>
      </c>
      <c r="AE9" s="96">
        <f>ROUND(MAX((AD9)*{0.03;0.1;0.2;0.25;0.3;0.35;0.45}-{0;2520;16920;31920;52920;85920;181920},0),2)</f>
        <v>531.29</v>
      </c>
      <c r="AF9" s="97">
        <f>IFERROR(VLOOKUP(E:E,'（居民）工资表-5月'!E:AF,28,0)+VLOOKUP(E:E,'（居民）工资表-5月'!E:AG,29,0),0)</f>
        <v>411.58</v>
      </c>
      <c r="AG9" s="97">
        <f t="shared" si="3"/>
        <v>119.71</v>
      </c>
      <c r="AH9" s="104">
        <f t="shared" si="4"/>
        <v>8870.49</v>
      </c>
      <c r="AI9" s="105"/>
      <c r="AJ9" s="104">
        <f t="shared" si="5"/>
        <v>8870.49</v>
      </c>
      <c r="AK9" s="106"/>
      <c r="AL9" s="104">
        <f t="shared" si="6"/>
        <v>8990.2</v>
      </c>
      <c r="AM9" s="106"/>
      <c r="AN9" s="106"/>
      <c r="AO9" s="106"/>
      <c r="AP9" s="106"/>
      <c r="AQ9" s="106"/>
      <c r="AR9" s="113" t="str">
        <f t="shared" si="7"/>
        <v>正确</v>
      </c>
      <c r="AS9" s="113" t="str">
        <f t="shared" si="8"/>
        <v>不</v>
      </c>
      <c r="AT9" s="113" t="str">
        <f t="shared" si="9"/>
        <v>重复</v>
      </c>
    </row>
    <row r="10" s="12" customFormat="1" ht="18" customHeight="1" spans="1:46">
      <c r="A10" s="36">
        <v>7</v>
      </c>
      <c r="B10" s="37" t="s">
        <v>127</v>
      </c>
      <c r="C10" s="37" t="s">
        <v>169</v>
      </c>
      <c r="D10" s="37" t="s">
        <v>129</v>
      </c>
      <c r="E10" s="313" t="s">
        <v>170</v>
      </c>
      <c r="F10" s="38" t="s">
        <v>204</v>
      </c>
      <c r="G10" s="39">
        <v>18745463721</v>
      </c>
      <c r="H10" s="40"/>
      <c r="I10" s="40"/>
      <c r="J10" s="115"/>
      <c r="K10" s="40"/>
      <c r="L10" s="72">
        <v>9482.75862068966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0"/>
        <v>1009.8</v>
      </c>
      <c r="R10" s="72">
        <v>0</v>
      </c>
      <c r="S10" s="92">
        <f>L10+IFERROR(VLOOKUP($E:$E,'（居民）工资表-5月'!$E:$S,15,0),0)</f>
        <v>48045.9770114943</v>
      </c>
      <c r="T10" s="93">
        <f>5000+IFERROR(VLOOKUP($E:$E,'（居民）工资表-5月'!$E:$T,16,0),0)</f>
        <v>25000</v>
      </c>
      <c r="U10" s="93">
        <f>Q10+IFERROR(VLOOKUP($E:$E,'（居民）工资表-5月'!$E:$U,17,0),0)</f>
        <v>5049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/>
      <c r="AB10" s="92">
        <f t="shared" si="1"/>
        <v>0</v>
      </c>
      <c r="AC10" s="92">
        <f>R10+IFERROR(VLOOKUP($E:$E,'（居民）工资表-5月'!$E:$AC,25,0),0)</f>
        <v>0</v>
      </c>
      <c r="AD10" s="95">
        <f t="shared" si="2"/>
        <v>17996.98</v>
      </c>
      <c r="AE10" s="96">
        <f>ROUND(MAX((AD10)*{0.03;0.1;0.2;0.25;0.3;0.35;0.45}-{0;2520;16920;31920;52920;85920;181920},0),2)</f>
        <v>539.91</v>
      </c>
      <c r="AF10" s="97">
        <f>IFERROR(VLOOKUP(E:E,'（居民）工资表-5月'!E:AF,28,0)+VLOOKUP(E:E,'（居民）工资表-5月'!E:AG,29,0),0)</f>
        <v>435.72</v>
      </c>
      <c r="AG10" s="97">
        <f t="shared" si="3"/>
        <v>104.19</v>
      </c>
      <c r="AH10" s="104">
        <f t="shared" si="4"/>
        <v>8368.77</v>
      </c>
      <c r="AI10" s="105"/>
      <c r="AJ10" s="104">
        <f t="shared" si="5"/>
        <v>8368.77</v>
      </c>
      <c r="AK10" s="106"/>
      <c r="AL10" s="104">
        <f t="shared" si="6"/>
        <v>8472.96</v>
      </c>
      <c r="AM10" s="106"/>
      <c r="AN10" s="106"/>
      <c r="AO10" s="106"/>
      <c r="AP10" s="106"/>
      <c r="AQ10" s="106"/>
      <c r="AR10" s="113" t="str">
        <f t="shared" si="7"/>
        <v>正确</v>
      </c>
      <c r="AS10" s="113" t="str">
        <f t="shared" si="8"/>
        <v>不</v>
      </c>
      <c r="AT10" s="113" t="str">
        <f t="shared" si="9"/>
        <v>重复</v>
      </c>
    </row>
    <row r="11" s="12" customFormat="1" ht="18" customHeight="1" spans="1:46">
      <c r="A11" s="36">
        <v>8</v>
      </c>
      <c r="B11" s="37" t="s">
        <v>127</v>
      </c>
      <c r="C11" s="37" t="s">
        <v>171</v>
      </c>
      <c r="D11" s="37" t="s">
        <v>129</v>
      </c>
      <c r="E11" s="313" t="s">
        <v>172</v>
      </c>
      <c r="F11" s="38" t="s">
        <v>204</v>
      </c>
      <c r="G11" s="39">
        <v>18935711299</v>
      </c>
      <c r="H11" s="40"/>
      <c r="I11" s="40"/>
      <c r="J11" s="115"/>
      <c r="K11" s="40"/>
      <c r="L11" s="72">
        <v>10747.1264367816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0"/>
        <v>1009.8</v>
      </c>
      <c r="R11" s="72">
        <v>0</v>
      </c>
      <c r="S11" s="92">
        <f>L11+IFERROR(VLOOKUP($E:$E,'（居民）工资表-5月'!$E:$S,15,0),0)</f>
        <v>53361.3793103448</v>
      </c>
      <c r="T11" s="93">
        <f>5000+IFERROR(VLOOKUP($E:$E,'（居民）工资表-5月'!$E:$T,16,0),0)</f>
        <v>25000</v>
      </c>
      <c r="U11" s="93">
        <f>Q11+IFERROR(VLOOKUP($E:$E,'（居民）工资表-5月'!$E:$U,17,0),0)</f>
        <v>5049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/>
      <c r="AB11" s="92">
        <f t="shared" si="1"/>
        <v>0</v>
      </c>
      <c r="AC11" s="92">
        <f>R11+IFERROR(VLOOKUP($E:$E,'（居民）工资表-5月'!$E:$AC,25,0),0)</f>
        <v>0</v>
      </c>
      <c r="AD11" s="95">
        <f t="shared" si="2"/>
        <v>23312.38</v>
      </c>
      <c r="AE11" s="96">
        <f>ROUND(MAX((AD11)*{0.03;0.1;0.2;0.25;0.3;0.35;0.45}-{0;2520;16920;31920;52920;85920;181920},0),2)</f>
        <v>699.37</v>
      </c>
      <c r="AF11" s="97">
        <f>IFERROR(VLOOKUP(E:E,'（居民）工资表-5月'!E:AF,28,0)+VLOOKUP(E:E,'（居民）工资表-5月'!E:AG,29,0),0)</f>
        <v>557.25</v>
      </c>
      <c r="AG11" s="97">
        <f t="shared" si="3"/>
        <v>142.12</v>
      </c>
      <c r="AH11" s="104">
        <f t="shared" si="4"/>
        <v>9595.21</v>
      </c>
      <c r="AI11" s="105"/>
      <c r="AJ11" s="104">
        <f t="shared" si="5"/>
        <v>9595.21</v>
      </c>
      <c r="AK11" s="106"/>
      <c r="AL11" s="104">
        <f t="shared" si="6"/>
        <v>9737.33</v>
      </c>
      <c r="AM11" s="106"/>
      <c r="AN11" s="106"/>
      <c r="AO11" s="106"/>
      <c r="AP11" s="106"/>
      <c r="AQ11" s="106"/>
      <c r="AR11" s="113" t="str">
        <f t="shared" si="7"/>
        <v>正确</v>
      </c>
      <c r="AS11" s="113" t="str">
        <f t="shared" si="8"/>
        <v>不</v>
      </c>
      <c r="AT11" s="113" t="str">
        <f t="shared" si="9"/>
        <v>重复</v>
      </c>
    </row>
    <row r="12" s="12" customFormat="1" ht="18" customHeight="1" spans="1:46">
      <c r="A12" s="36">
        <v>9</v>
      </c>
      <c r="B12" s="37" t="s">
        <v>127</v>
      </c>
      <c r="C12" s="37" t="s">
        <v>173</v>
      </c>
      <c r="D12" s="37" t="s">
        <v>129</v>
      </c>
      <c r="E12" s="313" t="s">
        <v>174</v>
      </c>
      <c r="F12" s="38" t="s">
        <v>204</v>
      </c>
      <c r="G12" s="39">
        <v>13301242552</v>
      </c>
      <c r="H12" s="40"/>
      <c r="I12" s="40"/>
      <c r="J12" s="115"/>
      <c r="K12" s="40"/>
      <c r="L12" s="72">
        <v>14000</v>
      </c>
      <c r="M12" s="73">
        <v>640</v>
      </c>
      <c r="N12" s="73">
        <v>163</v>
      </c>
      <c r="O12" s="73">
        <v>40</v>
      </c>
      <c r="P12" s="73">
        <v>960</v>
      </c>
      <c r="Q12" s="91">
        <f t="shared" si="0"/>
        <v>1803</v>
      </c>
      <c r="R12" s="72">
        <v>0</v>
      </c>
      <c r="S12" s="92">
        <f>L12+IFERROR(VLOOKUP($E:$E,'（居民）工资表-5月'!$E:$S,15,0),0)</f>
        <v>69000</v>
      </c>
      <c r="T12" s="93">
        <f>5000+IFERROR(VLOOKUP($E:$E,'（居民）工资表-5月'!$E:$T,16,0),0)</f>
        <v>20000</v>
      </c>
      <c r="U12" s="93">
        <f>Q12+IFERROR(VLOOKUP($E:$E,'（居民）工资表-5月'!$E:$U,17,0),0)</f>
        <v>7212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/>
      <c r="AB12" s="92">
        <f t="shared" si="1"/>
        <v>0</v>
      </c>
      <c r="AC12" s="92">
        <f>R12+IFERROR(VLOOKUP($E:$E,'（居民）工资表-5月'!$E:$AC,25,0),0)</f>
        <v>0</v>
      </c>
      <c r="AD12" s="95">
        <f t="shared" si="2"/>
        <v>41788</v>
      </c>
      <c r="AE12" s="96">
        <f>ROUND(MAX((AD12)*{0.03;0.1;0.2;0.25;0.3;0.35;0.45}-{0;2520;16920;31920;52920;85920;181920},0),2)</f>
        <v>1658.8</v>
      </c>
      <c r="AF12" s="97">
        <f>IFERROR(VLOOKUP(E:E,'（居民）工资表-5月'!E:AF,28,0)+VLOOKUP(E:E,'（居民）工资表-5月'!E:AG,29,0),0)</f>
        <v>1037.73</v>
      </c>
      <c r="AG12" s="97">
        <f t="shared" si="3"/>
        <v>621.07</v>
      </c>
      <c r="AH12" s="104">
        <f t="shared" si="4"/>
        <v>11575.93</v>
      </c>
      <c r="AI12" s="105"/>
      <c r="AJ12" s="104">
        <f t="shared" si="5"/>
        <v>11575.93</v>
      </c>
      <c r="AK12" s="106"/>
      <c r="AL12" s="104">
        <f t="shared" si="6"/>
        <v>12197</v>
      </c>
      <c r="AM12" s="106"/>
      <c r="AN12" s="106"/>
      <c r="AO12" s="106"/>
      <c r="AP12" s="106"/>
      <c r="AQ12" s="106"/>
      <c r="AR12" s="113" t="str">
        <f t="shared" si="7"/>
        <v>正确</v>
      </c>
      <c r="AS12" s="113" t="str">
        <f t="shared" si="8"/>
        <v>不</v>
      </c>
      <c r="AT12" s="113" t="str">
        <f t="shared" si="9"/>
        <v>重复</v>
      </c>
    </row>
    <row r="13" s="12" customFormat="1" ht="18" customHeight="1" spans="1:46">
      <c r="A13" s="36">
        <v>10</v>
      </c>
      <c r="B13" s="37" t="s">
        <v>127</v>
      </c>
      <c r="C13" s="37" t="s">
        <v>205</v>
      </c>
      <c r="D13" s="37" t="s">
        <v>129</v>
      </c>
      <c r="E13" s="37" t="s">
        <v>206</v>
      </c>
      <c r="F13" s="38" t="s">
        <v>204</v>
      </c>
      <c r="G13" s="39">
        <v>18803345711</v>
      </c>
      <c r="H13" s="40"/>
      <c r="I13" s="40"/>
      <c r="J13" s="115"/>
      <c r="K13" s="40"/>
      <c r="L13" s="72">
        <v>11839.0804597701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0"/>
        <v>1009.8</v>
      </c>
      <c r="R13" s="72">
        <v>0</v>
      </c>
      <c r="S13" s="92">
        <f>L13+IFERROR(VLOOKUP($E:$E,'（居民）工资表-5月'!$E:$S,15,0),0)</f>
        <v>17816.091954023</v>
      </c>
      <c r="T13" s="93">
        <f>5000+IFERROR(VLOOKUP($E:$E,'（居民）工资表-5月'!$E:$T,16,0),0)</f>
        <v>10000</v>
      </c>
      <c r="U13" s="93">
        <f>Q13+IFERROR(VLOOKUP($E:$E,'（居民）工资表-5月'!$E:$U,17,0),0)</f>
        <v>2019.6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/>
      <c r="AB13" s="92">
        <f t="shared" si="1"/>
        <v>0</v>
      </c>
      <c r="AC13" s="92">
        <f>R13+IFERROR(VLOOKUP($E:$E,'（居民）工资表-5月'!$E:$AC,25,0),0)</f>
        <v>0</v>
      </c>
      <c r="AD13" s="95">
        <f t="shared" si="2"/>
        <v>5796.49</v>
      </c>
      <c r="AE13" s="96">
        <f>ROUND(MAX((AD13)*{0.03;0.1;0.2;0.25;0.3;0.35;0.45}-{0;2520;16920;31920;52920;85920;181920},0),2)</f>
        <v>173.89</v>
      </c>
      <c r="AF13" s="97">
        <f>IFERROR(VLOOKUP(E:E,'（居民）工资表-5月'!E:AF,28,0)+VLOOKUP(E:E,'（居民）工资表-5月'!E:AG,29,0),0)</f>
        <v>0</v>
      </c>
      <c r="AG13" s="97">
        <f t="shared" si="3"/>
        <v>173.89</v>
      </c>
      <c r="AH13" s="104">
        <f t="shared" si="4"/>
        <v>10655.39</v>
      </c>
      <c r="AI13" s="105"/>
      <c r="AJ13" s="104">
        <f t="shared" si="5"/>
        <v>10655.39</v>
      </c>
      <c r="AK13" s="106"/>
      <c r="AL13" s="104">
        <f t="shared" si="6"/>
        <v>10829.28</v>
      </c>
      <c r="AM13" s="106"/>
      <c r="AN13" s="106"/>
      <c r="AO13" s="106"/>
      <c r="AP13" s="106"/>
      <c r="AQ13" s="106"/>
      <c r="AR13" s="113" t="str">
        <f t="shared" si="7"/>
        <v>正确</v>
      </c>
      <c r="AS13" s="113" t="str">
        <f>IF(SUMPRODUCT(N(E$1:E$15=E13))&gt;1,"重复","不")</f>
        <v>不</v>
      </c>
      <c r="AT13" s="113" t="str">
        <f>IF(SUMPRODUCT(N(AO$1:AO$15=AO13))&gt;1,"重复","不")</f>
        <v>重复</v>
      </c>
    </row>
    <row r="14" s="12" customFormat="1" ht="18" customHeight="1" spans="1:46">
      <c r="A14" s="36"/>
      <c r="B14" s="37"/>
      <c r="C14" s="37"/>
      <c r="D14" s="37"/>
      <c r="E14" s="37"/>
      <c r="F14" s="38"/>
      <c r="G14" s="39"/>
      <c r="H14" s="40"/>
      <c r="I14" s="40"/>
      <c r="J14" s="115"/>
      <c r="K14" s="40"/>
      <c r="L14" s="72"/>
      <c r="M14" s="73"/>
      <c r="N14" s="73"/>
      <c r="O14" s="73"/>
      <c r="P14" s="73"/>
      <c r="Q14" s="91"/>
      <c r="R14" s="72"/>
      <c r="S14" s="92"/>
      <c r="T14" s="93"/>
      <c r="U14" s="93"/>
      <c r="V14" s="72"/>
      <c r="W14" s="72"/>
      <c r="X14" s="72"/>
      <c r="Y14" s="72"/>
      <c r="Z14" s="72"/>
      <c r="AA14" s="72"/>
      <c r="AB14" s="92"/>
      <c r="AC14" s="92"/>
      <c r="AD14" s="95"/>
      <c r="AE14" s="96"/>
      <c r="AF14" s="97"/>
      <c r="AG14" s="97"/>
      <c r="AH14" s="104"/>
      <c r="AI14" s="105"/>
      <c r="AJ14" s="104"/>
      <c r="AK14" s="106"/>
      <c r="AL14" s="104"/>
      <c r="AM14" s="106"/>
      <c r="AN14" s="106"/>
      <c r="AO14" s="106"/>
      <c r="AP14" s="106"/>
      <c r="AQ14" s="106"/>
      <c r="AR14" s="113"/>
      <c r="AS14" s="113"/>
      <c r="AT14" s="113"/>
    </row>
    <row r="15" s="12" customFormat="1" ht="18" customHeight="1" spans="1:46">
      <c r="A15" s="36"/>
      <c r="B15" s="37"/>
      <c r="C15" s="37"/>
      <c r="D15" s="37"/>
      <c r="E15" s="37"/>
      <c r="F15" s="38"/>
      <c r="G15" s="39"/>
      <c r="H15" s="40"/>
      <c r="I15" s="40"/>
      <c r="J15" s="115"/>
      <c r="K15" s="40"/>
      <c r="L15" s="72"/>
      <c r="M15" s="73"/>
      <c r="N15" s="73"/>
      <c r="O15" s="73"/>
      <c r="P15" s="73"/>
      <c r="Q15" s="91"/>
      <c r="R15" s="72"/>
      <c r="S15" s="92"/>
      <c r="T15" s="93"/>
      <c r="U15" s="93"/>
      <c r="V15" s="72"/>
      <c r="W15" s="72"/>
      <c r="X15" s="72"/>
      <c r="Y15" s="72"/>
      <c r="Z15" s="72"/>
      <c r="AA15" s="72"/>
      <c r="AB15" s="92"/>
      <c r="AC15" s="92"/>
      <c r="AD15" s="95"/>
      <c r="AE15" s="96"/>
      <c r="AF15" s="97"/>
      <c r="AG15" s="97"/>
      <c r="AH15" s="104"/>
      <c r="AI15" s="105"/>
      <c r="AJ15" s="104"/>
      <c r="AK15" s="106"/>
      <c r="AL15" s="104"/>
      <c r="AM15" s="106"/>
      <c r="AN15" s="106"/>
      <c r="AO15" s="106"/>
      <c r="AP15" s="106"/>
      <c r="AQ15" s="106"/>
      <c r="AR15" s="113"/>
      <c r="AS15" s="113"/>
      <c r="AT15" s="113"/>
    </row>
    <row r="16" s="13" customFormat="1" ht="18" customHeight="1" spans="1:46">
      <c r="A16" s="43"/>
      <c r="B16" s="44" t="s">
        <v>155</v>
      </c>
      <c r="C16" s="44"/>
      <c r="D16" s="45"/>
      <c r="E16" s="46"/>
      <c r="F16" s="47"/>
      <c r="G16" s="48"/>
      <c r="H16" s="47"/>
      <c r="I16" s="74"/>
      <c r="J16" s="75"/>
      <c r="K16" s="74"/>
      <c r="L16" s="76">
        <f t="shared" ref="L16:AL16" si="10">SUM(L4:L15)</f>
        <v>111648.850574713</v>
      </c>
      <c r="M16" s="76">
        <f t="shared" si="10"/>
        <v>4499.2</v>
      </c>
      <c r="N16" s="76">
        <f t="shared" si="10"/>
        <v>1154.8</v>
      </c>
      <c r="O16" s="76">
        <f t="shared" si="10"/>
        <v>281.2</v>
      </c>
      <c r="P16" s="76">
        <f t="shared" si="10"/>
        <v>5112</v>
      </c>
      <c r="Q16" s="76">
        <f t="shared" si="10"/>
        <v>11047.2</v>
      </c>
      <c r="R16" s="76">
        <f t="shared" si="10"/>
        <v>0</v>
      </c>
      <c r="S16" s="76">
        <f t="shared" si="10"/>
        <v>579908.16091954</v>
      </c>
      <c r="T16" s="76">
        <f t="shared" si="10"/>
        <v>260000</v>
      </c>
      <c r="U16" s="76">
        <f t="shared" si="10"/>
        <v>55608.6</v>
      </c>
      <c r="V16" s="76">
        <f t="shared" si="10"/>
        <v>0</v>
      </c>
      <c r="W16" s="76">
        <f t="shared" si="10"/>
        <v>0</v>
      </c>
      <c r="X16" s="76">
        <f t="shared" si="10"/>
        <v>0</v>
      </c>
      <c r="Y16" s="76">
        <f t="shared" si="10"/>
        <v>0</v>
      </c>
      <c r="Z16" s="76">
        <f t="shared" si="10"/>
        <v>0</v>
      </c>
      <c r="AA16" s="76">
        <f t="shared" si="10"/>
        <v>0</v>
      </c>
      <c r="AB16" s="76">
        <f t="shared" si="10"/>
        <v>0</v>
      </c>
      <c r="AC16" s="76">
        <f t="shared" si="10"/>
        <v>0</v>
      </c>
      <c r="AD16" s="76">
        <f t="shared" si="10"/>
        <v>264299.56</v>
      </c>
      <c r="AE16" s="76">
        <f t="shared" si="10"/>
        <v>9222.43</v>
      </c>
      <c r="AF16" s="76">
        <f t="shared" si="10"/>
        <v>7002.78</v>
      </c>
      <c r="AG16" s="76">
        <f t="shared" si="10"/>
        <v>2219.65</v>
      </c>
      <c r="AH16" s="76">
        <f t="shared" si="10"/>
        <v>98382</v>
      </c>
      <c r="AI16" s="107">
        <f t="shared" si="10"/>
        <v>0</v>
      </c>
      <c r="AJ16" s="76">
        <f t="shared" si="10"/>
        <v>98382</v>
      </c>
      <c r="AK16" s="76">
        <f t="shared" si="10"/>
        <v>0</v>
      </c>
      <c r="AL16" s="76">
        <f t="shared" si="10"/>
        <v>100601.65</v>
      </c>
      <c r="AM16" s="108"/>
      <c r="AN16" s="108"/>
      <c r="AO16" s="108"/>
      <c r="AP16" s="108"/>
      <c r="AQ16" s="108"/>
      <c r="AR16" s="47"/>
      <c r="AS16" s="47"/>
      <c r="AT16" s="114"/>
    </row>
    <row r="19" spans="30:30">
      <c r="AD19" s="98"/>
    </row>
    <row r="20" ht="18.75" customHeight="1" spans="2:30">
      <c r="B20" s="49" t="s">
        <v>108</v>
      </c>
      <c r="C20" s="49" t="s">
        <v>156</v>
      </c>
      <c r="D20" s="49" t="s">
        <v>58</v>
      </c>
      <c r="E20" s="49" t="s">
        <v>59</v>
      </c>
      <c r="AD20" s="10"/>
    </row>
    <row r="21" ht="18.75" customHeight="1" spans="2:6">
      <c r="B21" s="50">
        <f>AJ16</f>
        <v>98382</v>
      </c>
      <c r="C21" s="50">
        <f>AG16</f>
        <v>2219.65</v>
      </c>
      <c r="D21" s="50">
        <f>AK16</f>
        <v>0</v>
      </c>
      <c r="E21" s="50">
        <f>B21+C21+D21</f>
        <v>100601.65</v>
      </c>
      <c r="F21" s="15">
        <f>E21*6.78%</f>
        <v>6820.79187</v>
      </c>
    </row>
    <row r="22" spans="2:6">
      <c r="B22" s="51"/>
      <c r="C22" s="51"/>
      <c r="D22" s="51"/>
      <c r="E22" s="51"/>
      <c r="F22" s="16">
        <v>683.367048</v>
      </c>
    </row>
    <row r="23" s="14" customFormat="1" spans="1:35">
      <c r="A23" s="52" t="s">
        <v>157</v>
      </c>
      <c r="B23" s="53" t="s">
        <v>158</v>
      </c>
      <c r="C23" s="54"/>
      <c r="D23" s="54"/>
      <c r="E23" s="54"/>
      <c r="G23" s="55"/>
      <c r="J23" s="77"/>
      <c r="M23" s="78"/>
      <c r="AI23" s="109"/>
    </row>
    <row r="24" s="14" customFormat="1" spans="1:35">
      <c r="A24" s="56"/>
      <c r="B24" s="57" t="s">
        <v>159</v>
      </c>
      <c r="C24" s="54"/>
      <c r="D24" s="54"/>
      <c r="E24" s="54"/>
      <c r="G24" s="55"/>
      <c r="J24" s="77"/>
      <c r="M24" s="78"/>
      <c r="AI24" s="109"/>
    </row>
    <row r="25" s="14" customFormat="1" spans="1:35">
      <c r="A25" s="53"/>
      <c r="B25" s="57" t="s">
        <v>160</v>
      </c>
      <c r="C25" s="58"/>
      <c r="D25" s="58"/>
      <c r="E25" s="58"/>
      <c r="F25" s="58"/>
      <c r="G25" s="58"/>
      <c r="H25" s="58"/>
      <c r="I25" s="58"/>
      <c r="J25" s="79"/>
      <c r="K25" s="58"/>
      <c r="L25" s="58"/>
      <c r="M25" s="80"/>
      <c r="N25" s="58"/>
      <c r="O25" s="58"/>
      <c r="P25" s="58"/>
      <c r="AI25" s="109"/>
    </row>
    <row r="26" s="14" customFormat="1" customHeight="1" spans="1:35">
      <c r="A26" s="57"/>
      <c r="B26" s="57" t="s">
        <v>161</v>
      </c>
      <c r="C26" s="59"/>
      <c r="D26" s="59"/>
      <c r="E26" s="59"/>
      <c r="F26" s="59"/>
      <c r="G26" s="59"/>
      <c r="H26" s="59"/>
      <c r="I26" s="81"/>
      <c r="J26" s="82"/>
      <c r="K26" s="81"/>
      <c r="L26" s="81"/>
      <c r="M26" s="83"/>
      <c r="N26" s="81"/>
      <c r="O26" s="81"/>
      <c r="P26" s="81"/>
      <c r="AI26" s="109"/>
    </row>
    <row r="27" s="14" customFormat="1" customHeight="1" spans="1:35">
      <c r="A27" s="57"/>
      <c r="B27" s="57" t="s">
        <v>162</v>
      </c>
      <c r="C27" s="59"/>
      <c r="D27" s="59"/>
      <c r="E27" s="59"/>
      <c r="F27" s="59"/>
      <c r="G27" s="59"/>
      <c r="H27" s="59"/>
      <c r="I27" s="59"/>
      <c r="J27" s="84"/>
      <c r="K27" s="59"/>
      <c r="L27" s="81"/>
      <c r="M27" s="83"/>
      <c r="N27" s="81"/>
      <c r="O27" s="81"/>
      <c r="P27" s="81"/>
      <c r="AI27" s="109"/>
    </row>
    <row r="28" s="14" customFormat="1" customHeight="1" spans="1:35">
      <c r="A28" s="57"/>
      <c r="B28" s="57" t="s">
        <v>163</v>
      </c>
      <c r="C28" s="59"/>
      <c r="D28" s="59"/>
      <c r="E28" s="59"/>
      <c r="F28" s="59"/>
      <c r="G28" s="59"/>
      <c r="H28" s="59"/>
      <c r="I28" s="81"/>
      <c r="J28" s="82"/>
      <c r="K28" s="81"/>
      <c r="L28" s="81"/>
      <c r="M28" s="83"/>
      <c r="N28" s="81"/>
      <c r="O28" s="81"/>
      <c r="P28" s="81"/>
      <c r="AI28" s="109"/>
    </row>
    <row r="30" ht="11.25" customHeight="1" spans="2:2">
      <c r="B30" s="60" t="s">
        <v>164</v>
      </c>
    </row>
    <row r="31" spans="2:2">
      <c r="B31" s="61" t="s">
        <v>165</v>
      </c>
    </row>
    <row r="32" spans="2:2">
      <c r="B32" s="61" t="s">
        <v>166</v>
      </c>
    </row>
  </sheetData>
  <autoFilter ref="A3:AT1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8">
    <cfRule type="duplicateValues" dxfId="2" priority="2" stopIfTrue="1"/>
  </conditionalFormatting>
  <conditionalFormatting sqref="B23:B27">
    <cfRule type="duplicateValues" dxfId="2" priority="3" stopIfTrue="1"/>
  </conditionalFormatting>
  <conditionalFormatting sqref="B31:B32">
    <cfRule type="duplicateValues" dxfId="2" priority="1" stopIfTrue="1"/>
  </conditionalFormatting>
  <conditionalFormatting sqref="C20:C22">
    <cfRule type="duplicateValues" dxfId="2" priority="4" stopIfTrue="1"/>
    <cfRule type="expression" dxfId="3" priority="5" stopIfTrue="1">
      <formula>AND(COUNTIF($B$16:$B$65452,C20)+COUNTIF($B$1:$B$3,C20)&gt;1,NOT(ISBLANK(C20)))</formula>
    </cfRule>
    <cfRule type="expression" dxfId="3" priority="6" stopIfTrue="1">
      <formula>AND(COUNTIF($B$27:$B$65403,C20)+COUNTIF($B$1:$B$26,C20)&gt;1,NOT(ISBLANK(C20)))</formula>
    </cfRule>
    <cfRule type="expression" dxfId="3" priority="7" stopIfTrue="1">
      <formula>AND(COUNTIF($B$16:$B$65441,C20)+COUNTIF($B$1:$B$3,C20)&gt;1,NOT(ISBLANK(C20)))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9 " > < c o m m e n t   s : r e f = " E 1 "   r g b C l r = " 4 F C 8 A C " / > < c o m m e n t   s : r e f = " F 1 "   r g b C l r = " 4 F C 8 A C " / > < c o m m e n t   s : r e f = " G 1 "   r g b C l r = " 4 F C 8 A C " / > < c o m m e n t   s : r e f = " H 1 "   r g b C l r = " 4 F C 8 A C " / > < c o m m e n t   s : r e f = " O 1 "   r g b C l r = " 4 F C 8 A C " / > < c o m m e n t   s : r e f = " P 1 "   r g b C l r = " 4 F C 8 A C " / > < c o m m e n t   s : r e f = " S 1 "   r g b C l r = " 4 F C 8 A C " / > < c o m m e n t   s : r e f = " Z 1 "   r g b C l r = " 4 F C 8 A C " / > < c o m m e n t   s : r e f = " A L 1 "   r g b C l r = " 4 F C 8 A C " / > < c o m m e n t   s : r e f = " A M 1 "   r g b C l r = " 4 F C 8 A C " / > < c o m m e n t   s : r e f = " A N 1 "   r g b C l r = " 4 F C 8 A C " / > < c o m m e n t   s : r e f = " A O 1 "   r g b C l r = " 4 F C 8 A C " / > < c o m m e n t   s : r e f = " T 2 "   r g b C l r = " 4 F C 8 A C " / > < c o m m e n t   s : r e f = " A A 2 "   r g b C l r = " 4 F C 8 A C " / > < c o m m e n t   s : r e f = " E 7 "   r g b C l r = " 4 F C 8 A C " / > < c o m m e n t   s : r e f = " F 7 "   r g b C l r = " 4 F C 8 A C " / > < c o m m e n t   s : r e f = " G 7 "   r g b C l r = " 4 F C 8 A C " / > < c o m m e n t   s : r e f = " H 7 "   r g b C l r = " 4 F C 8 A C " / > < c o m m e n t   s : r e f = " O 7 "   r g b C l r = " 4 F C 8 A C " / > < c o m m e n t   s : r e f = " P 7 "   r g b C l r = " 4 F C 8 A C " / > < c o m m e n t   s : r e f = " Q 7 "   r g b C l r = " 4 F C 8 A C " / > < c o m m e n t   s : r e f = " T 7 "   r g b C l r = " 4 F C 8 A C " / > < c o m m e n t   s : r e f = " X 7 "   r g b C l r = " 4 F C 8 A C " / > < / c o m m e n t L i s t > < c o m m e n t L i s t   s h e e t S t i d = " 2 8 " / > < c o m m e n t L i s t   s h e e t S t i d = " 2 3 " / > < c o m m e n t L i s t   s h e e t S t i d = " 2 5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付款通知</vt:lpstr>
      <vt:lpstr>社保</vt:lpstr>
      <vt:lpstr>（居民）工资表-1月</vt:lpstr>
      <vt:lpstr>（居民）工资表-2月</vt:lpstr>
      <vt:lpstr>（居民）工资表-3月</vt:lpstr>
      <vt:lpstr>（居民）工资表-11月</vt:lpstr>
      <vt:lpstr>（居民）工资表-5月</vt:lpstr>
      <vt:lpstr>（居民）工资表-4月</vt:lpstr>
      <vt:lpstr>（居民）工资表-6月</vt:lpstr>
      <vt:lpstr>（居民）工资表-7月</vt:lpstr>
      <vt:lpstr>（居民）工资表-8月</vt:lpstr>
      <vt:lpstr>（居民）工资表-9月</vt:lpstr>
      <vt:lpstr>减</vt:lpstr>
      <vt:lpstr>（居民）工资表-10月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2018-08-02T08:19:00Z</dcterms:created>
  <cp:lastPrinted>2019-02-03T09:30:00Z</cp:lastPrinted>
  <dcterms:modified xsi:type="dcterms:W3CDTF">2023-05-30T02:47:27Z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2052-11.1.0.14309</vt:lpwstr>
  </property>
  <property fmtid="{D5CDD505-2E9C-101B-9397-08002B2CF9AE}" pid="4" name="ICV">
    <vt:lpwstr>5661C0951B774402AED9F9D90D14ED94</vt:lpwstr>
  </property>
  <property fmtid="{D5CDD505-2E9C-101B-9397-08002B2CF9AE}" pid="5" name="KSOReadingLayout">
    <vt:bool>true</vt:bool>
  </property>
</Properties>
</file>