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09"/>
  </bookViews>
  <sheets>
    <sheet name="付款通知" sheetId="26" r:id="rId1"/>
    <sheet name="社保" sheetId="27" state="hidden" r:id="rId2"/>
    <sheet name="（居民）工资表-6月" sheetId="19" state="hidden" r:id="rId3"/>
    <sheet name="（居民）工资表-7月" sheetId="20" state="hidden" r:id="rId4"/>
    <sheet name="（居民）工资表-8月" sheetId="21" state="hidden" r:id="rId5"/>
    <sheet name="（居民）工资表-9月" sheetId="22" state="hidden" r:id="rId6"/>
    <sheet name="（居民）工资表-10月" sheetId="23" state="hidden" r:id="rId7"/>
    <sheet name="增" sheetId="29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r:id="rId13"/>
    <sheet name="（居民）工资表-4月" sheetId="17" state="hidden" r:id="rId14"/>
    <sheet name="（居民）工资表-5月" sheetId="18" state="hidden" r:id="rId15"/>
    <sheet name="Sheet1" sheetId="14" state="hidden" r:id="rId16"/>
  </sheets>
  <definedNames>
    <definedName name="_xlnm._FilterDatabase" localSheetId="2" hidden="1">'（居民）工资表-6月'!$A$3:$AT$19</definedName>
    <definedName name="_xlnm._FilterDatabase" localSheetId="3" hidden="1">'（居民）工资表-7月'!$A$3:$AT$19</definedName>
    <definedName name="_xlnm._FilterDatabase" localSheetId="4" hidden="1">'（居民）工资表-8月'!$A$3:$AT$20</definedName>
    <definedName name="_xlnm._FilterDatabase" localSheetId="5" hidden="1">'（居民）工资表-9月'!$A$3:$AT$13</definedName>
    <definedName name="_xlnm._FilterDatabase" localSheetId="6" hidden="1">'（居民）工资表-10月'!$A$3:$AT$5</definedName>
    <definedName name="_xlnm._FilterDatabase" localSheetId="8" hidden="1">'（居民）工资表-11月'!$A$3:$AT$5</definedName>
    <definedName name="_xlnm._FilterDatabase" localSheetId="9" hidden="1">'（居民）工资表-1月'!$A$3:$AT$5</definedName>
    <definedName name="_xlnm._FilterDatabase" localSheetId="10" hidden="1">'（居民）工资表-12月'!$A$3:$AT$5</definedName>
    <definedName name="_xlnm._FilterDatabase" localSheetId="11" hidden="1">'（居民）工资表-2月'!$A$3:$AT$5</definedName>
    <definedName name="_xlnm._FilterDatabase" localSheetId="12" hidden="1">'（居民）工资表-3月'!$A$3:$AT$6</definedName>
    <definedName name="_xlnm._FilterDatabase" localSheetId="13" hidden="1">'（居民）工资表-4月'!$A$3:$AT$18</definedName>
    <definedName name="_xlnm._FilterDatabase" localSheetId="14" hidden="1">'（居民）工资表-5月'!$A$3:$AT$22</definedName>
    <definedName name="_xlnm.Print_Area" localSheetId="6">'（居民）工资表-10月'!$A$1:$AT$11</definedName>
    <definedName name="_xlnm.Print_Area" localSheetId="8">'（居民）工资表-11月'!$A$1:$AT$11</definedName>
    <definedName name="_xlnm.Print_Area" localSheetId="10">'（居民）工资表-12月'!$A$1:$AT$11</definedName>
    <definedName name="_xlnm.Print_Area" localSheetId="9">'（居民）工资表-1月'!$A$1:$AT$11</definedName>
    <definedName name="_xlnm.Print_Area" localSheetId="11">'（居民）工资表-2月'!$A$1:$AT$11</definedName>
    <definedName name="_xlnm.Print_Area" localSheetId="12">'（居民）工资表-3月'!$A$1:$AT$12</definedName>
    <definedName name="_xlnm.Print_Area" localSheetId="13">'（居民）工资表-4月'!$A$1:$AT$24</definedName>
    <definedName name="_xlnm.Print_Area" localSheetId="14">'（居民）工资表-5月'!$A$1:$AT$28</definedName>
    <definedName name="_xlnm.Print_Area" localSheetId="2">'（居民）工资表-6月'!$A$1:$AT$25</definedName>
    <definedName name="_xlnm.Print_Area" localSheetId="3">'（居民）工资表-7月'!$A$1:$AT$25</definedName>
    <definedName name="_xlnm.Print_Area" localSheetId="4">'（居民）工资表-8月'!$A$1:$AT$26</definedName>
    <definedName name="_xlnm.Print_Area" localSheetId="5">'（居民）工资表-9月'!$A$1:$AT$19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<sst xmlns="http://schemas.openxmlformats.org/spreadsheetml/2006/main" count="1591" uniqueCount="280">
  <si>
    <t>付款通知书</t>
  </si>
  <si>
    <t>尊敬的客户：北京创联致信科技有限公司</t>
  </si>
  <si>
    <t>根据贵公司与我公司所签订的服务协议，请贵公司在2023年3月8日之前按照下列表格内容支付相关款项.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</si>
  <si>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</si>
  <si>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</si>
  <si>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</si>
  <si>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</si>
  <si>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</si>
  <si>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开户银行：广发银行北京光华路支行</t>
  </si>
  <si>
    <t>本期款项合计：</t>
  </si>
  <si>
    <t>尾数调整：</t>
  </si>
  <si>
    <t>银行账号：9550880215395900189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</si>
  <si>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</si>
  <si>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</si>
  <si>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</si>
  <si>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</si>
  <si>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</si>
  <si>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</si>
  <si>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</si>
  <si>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</si>
  <si>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</si>
  <si>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</si>
  <si>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</si>
  <si>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</si>
  <si>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</si>
  <si>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</si>
  <si>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</si>
  <si>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</si>
  <si>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</si>
  <si>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</si>
  <si>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</si>
  <si>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</si>
  <si>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</si>
  <si>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</si>
  <si>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</si>
  <si>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</si>
  <si>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</si>
  <si>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</si>
  <si>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</si>
  <si>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</si>
  <si>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</si>
  <si>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</si>
  <si>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</si>
  <si>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</si>
  <si>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</si>
  <si>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</si>
  <si>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</si>
  <si>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</si>
  <si>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</si>
  <si>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</si>
  <si>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</si>
  <si>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</si>
  <si>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</si>
  <si>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</si>
  <si>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</si>
  <si>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</si>
  <si>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</si>
  <si>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</si>
  <si>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</si>
  <si>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</si>
  <si>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</si>
  <si>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</si>
  <si>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</si>
  <si>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</si>
  <si>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</si>
  <si>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</si>
  <si>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</si>
  <si>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</si>
  <si>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</si>
  <si>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</si>
  <si>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</si>
  <si>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</si>
  <si>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</si>
  <si>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</si>
  <si>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</si>
  <si>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</si>
  <si>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</si>
  <si>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</si>
  <si>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</si>
  <si>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</si>
  <si>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</si>
  <si>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</si>
  <si>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</si>
  <si>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</si>
  <si>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</si>
  <si>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</si>
  <si>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</si>
  <si>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</si>
  <si>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</si>
  <si>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</si>
  <si>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</si>
  <si>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</si>
  <si>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</si>
  <si>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</si>
  <si>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</si>
  <si>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</si>
  <si>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</si>
  <si>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</si>
  <si>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</si>
  <si>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</si>
  <si>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</si>
  <si>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</si>
  <si>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</si>
  <si>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</si>
  <si>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</si>
  <si>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</si>
  <si>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</si>
  <si>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</si>
  <si>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</si>
  <si>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</si>
  <si>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</si>
  <si>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</si>
  <si>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</si>
  <si>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</si>
  <si>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</si>
  <si>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</si>
  <si>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</si>
  <si>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</si>
  <si>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</si>
  <si>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</si>
  <si>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</si>
  <si>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</si>
  <si>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</si>
  <si>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</si>
  <si>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</si>
  <si>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</si>
  <si>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</si>
  <si>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</si>
  <si>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</si>
  <si>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</si>
  <si>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</si>
  <si>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</si>
  <si>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</si>
  <si>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</si>
  <si>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</si>
  <si>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</si>
  <si>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</si>
  <si>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</si>
  <si>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</si>
  <si>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</si>
  <si>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</si>
  <si>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</si>
  <si>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</si>
  <si>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</si>
  <si>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</si>
  <si>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</si>
  <si>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</si>
  <si>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</si>
  <si>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</si>
  <si>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梁敏霞</t>
  </si>
  <si>
    <t>440883199611084547</t>
  </si>
  <si>
    <t>女</t>
  </si>
  <si>
    <t>王明贤</t>
  </si>
  <si>
    <t>411322199302132416</t>
  </si>
  <si>
    <t>何仪华</t>
  </si>
  <si>
    <t>412726198606097916</t>
  </si>
  <si>
    <t>楚华锋</t>
  </si>
  <si>
    <t>410183199311189538</t>
  </si>
  <si>
    <t>芮瑞</t>
  </si>
  <si>
    <t>411221198610113536</t>
  </si>
  <si>
    <t>15537954009</t>
  </si>
  <si>
    <t>桑柳成</t>
  </si>
  <si>
    <t>410521199111257519</t>
  </si>
  <si>
    <t>15713680881</t>
  </si>
  <si>
    <t>姚远</t>
  </si>
  <si>
    <t>410102198812110135</t>
  </si>
  <si>
    <t>15938792012</t>
  </si>
  <si>
    <t>张铭</t>
  </si>
  <si>
    <t>411402199905127632</t>
  </si>
  <si>
    <t>张明亮</t>
  </si>
  <si>
    <t>41042219910810183X</t>
  </si>
  <si>
    <t>周砺兴</t>
  </si>
  <si>
    <t>642222198309050097</t>
  </si>
  <si>
    <t>马欢</t>
  </si>
  <si>
    <t>640223199201051513</t>
  </si>
  <si>
    <t>卢平</t>
  </si>
  <si>
    <t>640321199312071114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</si>
  <si>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</si>
  <si>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</si>
  <si>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</si>
  <si>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</si>
  <si>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</si>
  <si>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</si>
  <si>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</si>
  <si>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</si>
  <si>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</si>
  <si>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</si>
  <si>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</si>
  <si>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</si>
  <si>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夏旭</t>
  </si>
  <si>
    <t>340122198708021850</t>
  </si>
  <si>
    <t>18297976577</t>
  </si>
  <si>
    <t>徐明龙</t>
  </si>
  <si>
    <t>340311199902251816</t>
  </si>
  <si>
    <t>15255242118</t>
  </si>
  <si>
    <t>陈佳文</t>
  </si>
  <si>
    <t>34122719960403561X</t>
  </si>
  <si>
    <t>龙治旺</t>
  </si>
  <si>
    <t>43070219881009051X</t>
  </si>
  <si>
    <t>冯玉</t>
  </si>
  <si>
    <t>370724197703022770</t>
  </si>
  <si>
    <t>13564614685</t>
  </si>
  <si>
    <t>郭建芳</t>
  </si>
  <si>
    <t>360421197603120026</t>
  </si>
  <si>
    <t>15801385790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</si>
  <si>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</si>
  <si>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</si>
  <si>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</si>
  <si>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</si>
  <si>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</si>
  <si>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</si>
  <si>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</si>
  <si>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</si>
  <si>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</si>
  <si>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</si>
  <si>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</si>
  <si>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</si>
  <si>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</si>
  <si>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</si>
  <si>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</si>
  <si>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</si>
  <si>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</si>
  <si>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</si>
  <si>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</si>
  <si>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</si>
  <si>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</si>
  <si>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</si>
  <si>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</si>
  <si>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</si>
  <si>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</si>
  <si>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r>
      <rPr>
        <b/>
        <sz val="10"/>
        <color indexed="10"/>
        <rFont val="微软雅黑"/>
        <charset val="134"/>
      </rPr>
      <t>首次参加工作时间（仅大连地区填写）</t>
    </r>
  </si>
  <si>
    <t>采暖统筹
是否缴纳（仅大连地区填写）</t>
  </si>
  <si>
    <r>
      <rPr>
        <b/>
        <sz val="10"/>
        <color rgb="FFFF0000"/>
        <rFont val="微软雅黑"/>
        <charset val="134"/>
      </rPr>
      <t>福利开始时间
（</t>
    </r>
    <r>
      <rPr>
        <b/>
        <sz val="10"/>
        <color indexed="10"/>
        <rFont val="微软雅黑"/>
        <charset val="134"/>
      </rPr>
      <t>与起缴月一致）（仅大连地区填写）</t>
    </r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</si>
  <si>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</si>
  <si>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</si>
  <si>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</si>
  <si>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</si>
  <si>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</si>
  <si>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</si>
  <si>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</si>
  <si>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</si>
  <si>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</si>
  <si>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创联致信</t>
  </si>
  <si>
    <t>阜阳</t>
  </si>
  <si>
    <t>蚌埠</t>
  </si>
  <si>
    <t>本地城镇</t>
  </si>
  <si>
    <t>调入</t>
  </si>
  <si>
    <t>莫文太</t>
  </si>
  <si>
    <t>430822198211098211</t>
  </si>
  <si>
    <t>谢锋明</t>
  </si>
  <si>
    <t>43022319780815051X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</si>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</sst>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-804]General"/>
    <numFmt numFmtId="178" formatCode="[$-10432]yyyy/mm/dd;@"/>
    <numFmt numFmtId="179" formatCode="0.00;[Red]0.00"/>
    <numFmt numFmtId="180" formatCode="0_);[Red]\(0\)"/>
    <numFmt numFmtId="181" formatCode="0.00_);\(0.00\)"/>
    <numFmt numFmtId="182" formatCode="0.00_);[Red]\(0.00\)"/>
    <numFmt numFmtId="183" formatCode="#,##0_);[Red]\(#,##0\)"/>
    <numFmt numFmtId="184" formatCode="#,##0.00_);[Red]\(#,##0.00\)"/>
    <numFmt numFmtId="185" formatCode="&quot;$&quot;0_ "/>
    <numFmt numFmtId="186" formatCode="&quot;$&quot;#,##0_ ;[Red]\-&quot;$&quot;#,##0_ "/>
    <numFmt numFmtId="187" formatCode="General\ &quot;年&quot;"/>
  </numFmts>
  <fonts count="1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0"/>
      <color indexed="10"/>
      <name val="宋体"/>
      <charset val="134"/>
    </font>
    <font>
      <b/>
      <sz val="10"/>
      <color indexed="10"/>
      <name val="微软雅黑"/>
      <charset val="134"/>
    </font>
    <font>
      <b/>
      <sz val="10"/>
      <color indexed="8"/>
      <name val="微软雅黑"/>
      <charset val="134"/>
    </font>
    <font>
      <sz val="11"/>
      <color rgb="FF000000"/>
      <name val="宋体"/>
      <charset val="134"/>
    </font>
    <font>
      <b/>
      <sz val="10"/>
      <color rgb="FFFF0000"/>
      <name val="微软雅黑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  <font>
      <b/>
      <sz val="1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3" fillId="14" borderId="49" applyNumberFormat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73" fillId="0" borderId="0">
      <alignment vertical="center"/>
    </xf>
    <xf numFmtId="0" fontId="87" fillId="0" borderId="51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/>
    <xf numFmtId="0" fontId="85" fillId="19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22" borderId="54" applyNumberFormat="0" applyFont="0" applyAlignment="0" applyProtection="0">
      <alignment vertical="center"/>
    </xf>
    <xf numFmtId="0" fontId="6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6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9" fillId="0" borderId="56" applyNumberFormat="0" applyFill="0" applyAlignment="0" applyProtection="0">
      <alignment vertical="center"/>
    </xf>
    <xf numFmtId="0" fontId="100" fillId="0" borderId="0"/>
    <xf numFmtId="0" fontId="101" fillId="0" borderId="56" applyNumberFormat="0" applyFill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5" fillId="0" borderId="57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28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102" fillId="29" borderId="58" applyNumberFormat="0" applyAlignment="0" applyProtection="0">
      <alignment vertical="center"/>
    </xf>
    <xf numFmtId="0" fontId="103" fillId="29" borderId="4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04" fillId="30" borderId="59" applyNumberFormat="0" applyAlignment="0" applyProtection="0">
      <alignment vertical="center"/>
    </xf>
    <xf numFmtId="0" fontId="29" fillId="0" borderId="0">
      <alignment vertical="center"/>
    </xf>
    <xf numFmtId="0" fontId="85" fillId="31" borderId="0" applyNumberFormat="0" applyBorder="0" applyAlignment="0" applyProtection="0">
      <alignment vertical="center"/>
    </xf>
    <xf numFmtId="0" fontId="92" fillId="32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05" fillId="0" borderId="60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106" fillId="0" borderId="61" applyNumberFormat="0" applyFill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10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6" fillId="17" borderId="50" applyNumberFormat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29" fillId="0" borderId="0"/>
    <xf numFmtId="0" fontId="109" fillId="7" borderId="62" applyNumberFormat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73" fillId="0" borderId="0"/>
    <xf numFmtId="0" fontId="6" fillId="24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2" fillId="5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5" fillId="52" borderId="0" applyNumberFormat="0" applyBorder="0" applyAlignment="0" applyProtection="0">
      <alignment vertical="center"/>
    </xf>
    <xf numFmtId="0" fontId="92" fillId="53" borderId="0" applyNumberFormat="0" applyBorder="0" applyAlignment="0" applyProtection="0">
      <alignment vertical="center"/>
    </xf>
    <xf numFmtId="0" fontId="73" fillId="0" borderId="0"/>
    <xf numFmtId="0" fontId="11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3" fillId="0" borderId="0"/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113" fillId="54" borderId="0" applyNumberFormat="0" applyBorder="0" applyAlignment="0" applyProtection="0">
      <alignment vertical="center"/>
    </xf>
    <xf numFmtId="0" fontId="73" fillId="0" borderId="0"/>
    <xf numFmtId="0" fontId="6" fillId="18" borderId="0" applyNumberFormat="0" applyBorder="0" applyAlignment="0" applyProtection="0">
      <alignment vertical="center"/>
    </xf>
    <xf numFmtId="0" fontId="29" fillId="0" borderId="0"/>
    <xf numFmtId="0" fontId="84" fillId="5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7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7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4" fillId="57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7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9" fillId="0" borderId="0"/>
    <xf numFmtId="0" fontId="86" fillId="17" borderId="5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177" fontId="29" fillId="0" borderId="0"/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55" applyNumberFormat="0" applyFont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176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3" fillId="5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6" fillId="0" borderId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8" fillId="0" borderId="0"/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84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4" fillId="57" borderId="53" applyNumberFormat="0" applyAlignment="0" applyProtection="0">
      <alignment vertical="center"/>
    </xf>
    <xf numFmtId="0" fontId="29" fillId="0" borderId="0">
      <alignment vertical="center"/>
    </xf>
    <xf numFmtId="0" fontId="114" fillId="57" borderId="53" applyNumberFormat="0" applyAlignment="0" applyProtection="0">
      <alignment vertical="center"/>
    </xf>
    <xf numFmtId="0" fontId="118" fillId="0" borderId="0"/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4" fillId="57" borderId="53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84" fillId="34" borderId="0" applyNumberFormat="0" applyBorder="0" applyAlignment="0" applyProtection="0">
      <alignment vertical="center"/>
    </xf>
    <xf numFmtId="0" fontId="6" fillId="0" borderId="0"/>
    <xf numFmtId="0" fontId="84" fillId="34" borderId="0" applyNumberFormat="0" applyBorder="0" applyAlignment="0" applyProtection="0">
      <alignment vertical="center"/>
    </xf>
    <xf numFmtId="0" fontId="29" fillId="0" borderId="0"/>
    <xf numFmtId="0" fontId="84" fillId="34" borderId="0" applyNumberFormat="0" applyBorder="0" applyAlignment="0" applyProtection="0">
      <alignment vertical="center"/>
    </xf>
    <xf numFmtId="0" fontId="29" fillId="0" borderId="0"/>
    <xf numFmtId="0" fontId="84" fillId="34" borderId="0" applyNumberFormat="0" applyBorder="0" applyAlignment="0" applyProtection="0">
      <alignment vertical="center"/>
    </xf>
    <xf numFmtId="0" fontId="29" fillId="0" borderId="0"/>
    <xf numFmtId="0" fontId="6" fillId="0" borderId="0">
      <alignment vertical="center"/>
    </xf>
    <xf numFmtId="0" fontId="6" fillId="0" borderId="0">
      <alignment vertical="center"/>
    </xf>
    <xf numFmtId="0" fontId="110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>
      <alignment vertical="center"/>
    </xf>
    <xf numFmtId="0" fontId="114" fillId="57" borderId="53" applyNumberFormat="0" applyAlignment="0" applyProtection="0">
      <alignment vertical="center"/>
    </xf>
    <xf numFmtId="0" fontId="29" fillId="0" borderId="0"/>
    <xf numFmtId="0" fontId="73" fillId="0" borderId="0">
      <alignment vertical="center"/>
    </xf>
    <xf numFmtId="0" fontId="84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18" fillId="0" borderId="0"/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73" fillId="0" borderId="0"/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21" fillId="0" borderId="0"/>
    <xf numFmtId="0" fontId="73" fillId="0" borderId="0"/>
    <xf numFmtId="0" fontId="100" fillId="0" borderId="0"/>
    <xf numFmtId="0" fontId="100" fillId="0" borderId="0"/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29" fillId="0" borderId="0"/>
    <xf numFmtId="0" fontId="122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7" fontId="0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1" applyBorder="1">
      <alignment vertical="center"/>
    </xf>
    <xf numFmtId="0" fontId="7" fillId="0" borderId="0" xfId="311" applyNumberFormat="1" applyFont="1" applyFill="1" applyBorder="1" applyAlignment="1" applyProtection="1">
      <alignment horizontal="center" vertical="center"/>
    </xf>
    <xf numFmtId="0" fontId="6" fillId="0" borderId="0" xfId="311" applyFill="1">
      <alignment vertical="center"/>
    </xf>
    <xf numFmtId="0" fontId="6" fillId="0" borderId="0" xfId="311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1">
      <alignment vertical="center"/>
    </xf>
    <xf numFmtId="0" fontId="6" fillId="0" borderId="0" xfId="311" applyNumberFormat="1">
      <alignment vertical="center"/>
    </xf>
    <xf numFmtId="0" fontId="6" fillId="0" borderId="0" xfId="311" applyNumberFormat="1" applyAlignment="1">
      <alignment horizontal="center" vertical="center"/>
    </xf>
    <xf numFmtId="14" fontId="6" fillId="0" borderId="0" xfId="311" applyNumberFormat="1">
      <alignment vertical="center"/>
    </xf>
    <xf numFmtId="182" fontId="6" fillId="0" borderId="0" xfId="311" applyNumberFormat="1">
      <alignment vertical="center"/>
    </xf>
    <xf numFmtId="183" fontId="8" fillId="0" borderId="0" xfId="110" applyNumberFormat="1" applyFont="1" applyFill="1" applyBorder="1" applyAlignment="1" applyProtection="1">
      <alignment vertical="center"/>
    </xf>
    <xf numFmtId="183" fontId="9" fillId="0" borderId="0" xfId="110" applyNumberFormat="1" applyFont="1" applyFill="1" applyBorder="1" applyAlignment="1" applyProtection="1">
      <alignment vertical="center"/>
    </xf>
    <xf numFmtId="183" fontId="10" fillId="0" borderId="0" xfId="110" applyNumberFormat="1" applyFont="1" applyFill="1" applyBorder="1" applyAlignment="1" applyProtection="1">
      <alignment vertical="center"/>
    </xf>
    <xf numFmtId="183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11" applyNumberFormat="1" applyFont="1" applyFill="1" applyBorder="1" applyAlignment="1" applyProtection="1">
      <alignment horizontal="center" vertical="center"/>
    </xf>
    <xf numFmtId="0" fontId="6" fillId="0" borderId="0" xfId="311" applyNumberFormat="1" applyBorder="1" applyAlignment="1">
      <alignment horizontal="center" vertical="center"/>
    </xf>
    <xf numFmtId="183" fontId="11" fillId="3" borderId="5" xfId="110" applyNumberFormat="1" applyFont="1" applyFill="1" applyBorder="1" applyAlignment="1" applyProtection="1">
      <alignment horizontal="center" vertical="center"/>
    </xf>
    <xf numFmtId="183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401" applyNumberFormat="1" applyFont="1" applyFill="1" applyBorder="1" applyAlignment="1" applyProtection="1">
      <alignment horizontal="center" vertical="center" wrapText="1"/>
    </xf>
    <xf numFmtId="0" fontId="13" fillId="3" borderId="5" xfId="401" applyNumberFormat="1" applyFont="1" applyFill="1" applyBorder="1" applyAlignment="1" applyProtection="1">
      <alignment horizontal="center" vertical="center" wrapText="1"/>
    </xf>
    <xf numFmtId="183" fontId="11" fillId="3" borderId="6" xfId="110" applyNumberFormat="1" applyFont="1" applyFill="1" applyBorder="1" applyAlignment="1" applyProtection="1">
      <alignment horizontal="center" vertical="center"/>
    </xf>
    <xf numFmtId="183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401" applyNumberFormat="1" applyFont="1" applyFill="1" applyBorder="1" applyAlignment="1" applyProtection="1">
      <alignment horizontal="center" vertical="center" wrapText="1"/>
    </xf>
    <xf numFmtId="0" fontId="13" fillId="3" borderId="6" xfId="401" applyNumberFormat="1" applyFont="1" applyFill="1" applyBorder="1" applyAlignment="1" applyProtection="1">
      <alignment horizontal="center" vertical="center" wrapText="1"/>
    </xf>
    <xf numFmtId="183" fontId="14" fillId="0" borderId="6" xfId="311" applyNumberFormat="1" applyFont="1" applyFill="1" applyBorder="1" applyAlignment="1" applyProtection="1">
      <alignment horizontal="center" vertical="center"/>
    </xf>
    <xf numFmtId="0" fontId="15" fillId="0" borderId="7" xfId="311" applyFont="1" applyFill="1" applyBorder="1" applyAlignment="1">
      <alignment horizontal="center" vertical="center" wrapText="1"/>
    </xf>
    <xf numFmtId="49" fontId="16" fillId="4" borderId="8" xfId="311" applyNumberFormat="1" applyFont="1" applyFill="1" applyBorder="1" applyAlignment="1">
      <alignment horizontal="center" vertical="center" wrapText="1"/>
    </xf>
    <xf numFmtId="0" fontId="6" fillId="0" borderId="7" xfId="311" applyNumberFormat="1" applyFont="1" applyFill="1" applyBorder="1" applyAlignment="1">
      <alignment horizontal="center" vertical="center"/>
    </xf>
    <xf numFmtId="0" fontId="6" fillId="0" borderId="8" xfId="311" applyFill="1" applyBorder="1">
      <alignment vertical="center"/>
    </xf>
    <xf numFmtId="0" fontId="15" fillId="3" borderId="7" xfId="311" applyFont="1" applyFill="1" applyBorder="1" applyAlignment="1">
      <alignment horizontal="center" vertical="center" wrapText="1"/>
    </xf>
    <xf numFmtId="49" fontId="16" fillId="3" borderId="8" xfId="311" applyNumberFormat="1" applyFont="1" applyFill="1" applyBorder="1" applyAlignment="1">
      <alignment horizontal="center" vertical="center" wrapText="1"/>
    </xf>
    <xf numFmtId="0" fontId="6" fillId="3" borderId="7" xfId="311" applyNumberFormat="1" applyFont="1" applyFill="1" applyBorder="1" applyAlignment="1">
      <alignment horizontal="center" vertical="center"/>
    </xf>
    <xf numFmtId="0" fontId="6" fillId="3" borderId="8" xfId="311" applyFill="1" applyBorder="1">
      <alignment vertical="center"/>
    </xf>
    <xf numFmtId="0" fontId="6" fillId="0" borderId="7" xfId="311" applyNumberFormat="1" applyFill="1" applyBorder="1" applyAlignment="1">
      <alignment horizontal="center" vertical="center"/>
    </xf>
    <xf numFmtId="183" fontId="14" fillId="4" borderId="6" xfId="311" applyNumberFormat="1" applyFont="1" applyFill="1" applyBorder="1" applyAlignment="1" applyProtection="1">
      <alignment horizontal="center" vertical="center" shrinkToFit="1"/>
    </xf>
    <xf numFmtId="183" fontId="17" fillId="4" borderId="7" xfId="311" applyNumberFormat="1" applyFont="1" applyFill="1" applyBorder="1" applyAlignment="1" applyProtection="1">
      <alignment horizontal="center" vertical="center" shrinkToFit="1"/>
    </xf>
    <xf numFmtId="183" fontId="17" fillId="4" borderId="7" xfId="311" applyNumberFormat="1" applyFont="1" applyFill="1" applyBorder="1" applyAlignment="1" applyProtection="1">
      <alignment horizontal="center" vertical="top" shrinkToFit="1"/>
    </xf>
    <xf numFmtId="0" fontId="16" fillId="4" borderId="7" xfId="311" applyNumberFormat="1" applyFont="1" applyFill="1" applyBorder="1" applyAlignment="1">
      <alignment horizontal="center" vertical="center" shrinkToFit="1"/>
    </xf>
    <xf numFmtId="0" fontId="6" fillId="4" borderId="7" xfId="311" applyNumberFormat="1" applyFont="1" applyFill="1" applyBorder="1" applyAlignment="1" applyProtection="1">
      <alignment horizontal="center" vertical="center" shrinkToFit="1"/>
    </xf>
    <xf numFmtId="0" fontId="6" fillId="4" borderId="7" xfId="311" applyNumberFormat="1" applyFill="1" applyBorder="1" applyAlignment="1">
      <alignment horizontal="center" vertical="center" shrinkToFit="1"/>
    </xf>
    <xf numFmtId="0" fontId="6" fillId="3" borderId="7" xfId="311" applyFont="1" applyFill="1" applyBorder="1" applyAlignment="1">
      <alignment horizontal="center" vertical="center"/>
    </xf>
    <xf numFmtId="182" fontId="6" fillId="4" borderId="7" xfId="311" applyNumberFormat="1" applyFont="1" applyFill="1" applyBorder="1" applyAlignment="1">
      <alignment horizontal="center" vertical="center"/>
    </xf>
    <xf numFmtId="184" fontId="6" fillId="0" borderId="0" xfId="311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1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1" applyNumberFormat="1" applyBorder="1">
      <alignment vertical="center"/>
    </xf>
    <xf numFmtId="183" fontId="10" fillId="0" borderId="0" xfId="110" applyNumberFormat="1" applyFont="1" applyFill="1" applyBorder="1" applyAlignment="1" applyProtection="1">
      <alignment horizontal="center" vertical="center"/>
    </xf>
    <xf numFmtId="176" fontId="24" fillId="5" borderId="0" xfId="311" applyNumberFormat="1" applyFont="1" applyFill="1" applyBorder="1" applyAlignment="1">
      <alignment horizontal="center" vertical="center"/>
    </xf>
    <xf numFmtId="14" fontId="12" fillId="3" borderId="5" xfId="401" applyNumberFormat="1" applyFont="1" applyFill="1" applyBorder="1" applyAlignment="1" applyProtection="1">
      <alignment horizontal="center" vertical="center" wrapText="1"/>
    </xf>
    <xf numFmtId="0" fontId="12" fillId="3" borderId="8" xfId="401" applyNumberFormat="1" applyFont="1" applyFill="1" applyBorder="1" applyAlignment="1" applyProtection="1">
      <alignment horizontal="center" vertical="center" wrapText="1"/>
    </xf>
    <xf numFmtId="0" fontId="12" fillId="3" borderId="9" xfId="401" applyNumberFormat="1" applyFont="1" applyFill="1" applyBorder="1" applyAlignment="1" applyProtection="1">
      <alignment horizontal="center" vertical="center" wrapText="1"/>
    </xf>
    <xf numFmtId="0" fontId="12" fillId="3" borderId="10" xfId="401" applyNumberFormat="1" applyFont="1" applyFill="1" applyBorder="1" applyAlignment="1" applyProtection="1">
      <alignment horizontal="center" vertical="center" wrapText="1"/>
    </xf>
    <xf numFmtId="14" fontId="12" fillId="3" borderId="6" xfId="401" applyNumberFormat="1" applyFont="1" applyFill="1" applyBorder="1" applyAlignment="1" applyProtection="1">
      <alignment horizontal="center" vertical="center" wrapText="1"/>
    </xf>
    <xf numFmtId="0" fontId="12" fillId="3" borderId="7" xfId="401" applyNumberFormat="1" applyFont="1" applyFill="1" applyBorder="1" applyAlignment="1" applyProtection="1">
      <alignment horizontal="center" vertical="center" wrapText="1"/>
    </xf>
    <xf numFmtId="14" fontId="6" fillId="0" borderId="8" xfId="311" applyNumberFormat="1" applyFill="1" applyBorder="1">
      <alignment vertical="center"/>
    </xf>
    <xf numFmtId="176" fontId="14" fillId="0" borderId="7" xfId="311" applyNumberFormat="1" applyFont="1" applyFill="1" applyBorder="1" applyAlignment="1">
      <alignment vertical="center"/>
    </xf>
    <xf numFmtId="176" fontId="14" fillId="0" borderId="7" xfId="311" applyNumberFormat="1" applyFont="1" applyFill="1" applyBorder="1" applyAlignment="1">
      <alignment horizontal="center" vertical="center"/>
    </xf>
    <xf numFmtId="14" fontId="6" fillId="3" borderId="8" xfId="311" applyNumberFormat="1" applyFill="1" applyBorder="1">
      <alignment vertical="center"/>
    </xf>
    <xf numFmtId="176" fontId="14" fillId="0" borderId="7" xfId="311" applyNumberFormat="1" applyFont="1" applyFill="1" applyBorder="1">
      <alignment vertical="center"/>
    </xf>
    <xf numFmtId="0" fontId="6" fillId="4" borderId="8" xfId="311" applyNumberFormat="1" applyFont="1" applyFill="1" applyBorder="1" applyAlignment="1" applyProtection="1">
      <alignment horizontal="center" vertical="center" shrinkToFit="1"/>
    </xf>
    <xf numFmtId="14" fontId="6" fillId="4" borderId="8" xfId="311" applyNumberFormat="1" applyFont="1" applyFill="1" applyBorder="1" applyAlignment="1" applyProtection="1">
      <alignment horizontal="center" vertical="center" shrinkToFit="1"/>
    </xf>
    <xf numFmtId="184" fontId="17" fillId="4" borderId="7" xfId="311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0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311" applyNumberFormat="1" applyFont="1" applyFill="1" applyBorder="1" applyAlignment="1">
      <alignment horizontal="left" vertical="center"/>
    </xf>
    <xf numFmtId="182" fontId="13" fillId="3" borderId="5" xfId="401" applyNumberFormat="1" applyFont="1" applyFill="1" applyBorder="1" applyAlignment="1" applyProtection="1">
      <alignment horizontal="center" vertical="center" wrapText="1"/>
    </xf>
    <xf numFmtId="0" fontId="13" fillId="3" borderId="8" xfId="401" applyNumberFormat="1" applyFont="1" applyFill="1" applyBorder="1" applyAlignment="1" applyProtection="1">
      <alignment horizontal="center" vertical="center" wrapText="1"/>
    </xf>
    <xf numFmtId="0" fontId="13" fillId="3" borderId="9" xfId="401" applyNumberFormat="1" applyFont="1" applyFill="1" applyBorder="1" applyAlignment="1" applyProtection="1">
      <alignment horizontal="center" vertical="center" wrapText="1"/>
    </xf>
    <xf numFmtId="182" fontId="13" fillId="3" borderId="6" xfId="401" applyNumberFormat="1" applyFont="1" applyFill="1" applyBorder="1" applyAlignment="1" applyProtection="1">
      <alignment horizontal="center" vertical="center" wrapText="1"/>
    </xf>
    <xf numFmtId="0" fontId="13" fillId="3" borderId="7" xfId="401" applyNumberFormat="1" applyFont="1" applyFill="1" applyBorder="1" applyAlignment="1" applyProtection="1">
      <alignment horizontal="center" vertical="center" wrapText="1"/>
    </xf>
    <xf numFmtId="176" fontId="14" fillId="4" borderId="7" xfId="311" applyNumberFormat="1" applyFont="1" applyFill="1" applyBorder="1">
      <alignment vertical="center"/>
    </xf>
    <xf numFmtId="176" fontId="14" fillId="4" borderId="10" xfId="311" applyNumberFormat="1" applyFont="1" applyFill="1" applyBorder="1" applyAlignment="1">
      <alignment horizontal="center" vertical="center"/>
    </xf>
    <xf numFmtId="176" fontId="14" fillId="4" borderId="10" xfId="311" applyNumberFormat="1" applyFont="1" applyFill="1" applyBorder="1">
      <alignment vertical="center"/>
    </xf>
    <xf numFmtId="0" fontId="13" fillId="3" borderId="10" xfId="401" applyNumberFormat="1" applyFont="1" applyFill="1" applyBorder="1" applyAlignment="1" applyProtection="1">
      <alignment horizontal="center" vertical="center" wrapText="1"/>
    </xf>
    <xf numFmtId="184" fontId="14" fillId="4" borderId="10" xfId="311" applyNumberFormat="1" applyFont="1" applyFill="1" applyBorder="1" applyAlignment="1" applyProtection="1">
      <alignment horizontal="center" vertical="center"/>
    </xf>
    <xf numFmtId="182" fontId="20" fillId="4" borderId="7" xfId="292" applyNumberFormat="1" applyFont="1" applyFill="1" applyBorder="1" applyAlignment="1" applyProtection="1">
      <alignment horizontal="center" vertical="center"/>
    </xf>
    <xf numFmtId="182" fontId="25" fillId="4" borderId="7" xfId="401" applyNumberFormat="1" applyFont="1" applyFill="1" applyBorder="1" applyAlignment="1" applyProtection="1">
      <alignment horizontal="center" vertical="center"/>
    </xf>
    <xf numFmtId="184" fontId="14" fillId="0" borderId="0" xfId="311" applyNumberFormat="1" applyFont="1" applyFill="1" applyBorder="1" applyAlignment="1" applyProtection="1">
      <alignment horizontal="center" vertical="center"/>
    </xf>
    <xf numFmtId="182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2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2" fontId="8" fillId="3" borderId="6" xfId="110" applyNumberFormat="1" applyFont="1" applyFill="1" applyBorder="1" applyAlignment="1" applyProtection="1">
      <alignment horizontal="center" vertical="center" wrapText="1"/>
    </xf>
    <xf numFmtId="184" fontId="14" fillId="4" borderId="7" xfId="311" applyNumberFormat="1" applyFont="1" applyFill="1" applyBorder="1" applyAlignment="1" applyProtection="1">
      <alignment horizontal="center" vertical="center"/>
    </xf>
    <xf numFmtId="182" fontId="16" fillId="0" borderId="7" xfId="311" applyNumberFormat="1" applyFont="1" applyFill="1" applyBorder="1" applyAlignment="1">
      <alignment horizontal="center" vertical="center" wrapText="1"/>
    </xf>
    <xf numFmtId="184" fontId="14" fillId="0" borderId="7" xfId="311" applyNumberFormat="1" applyFont="1" applyFill="1" applyBorder="1" applyAlignment="1" applyProtection="1">
      <alignment horizontal="center" vertical="center"/>
    </xf>
    <xf numFmtId="184" fontId="14" fillId="4" borderId="7" xfId="311" applyNumberFormat="1" applyFont="1" applyFill="1" applyBorder="1" applyAlignment="1" applyProtection="1">
      <alignment horizontal="center" vertical="center" shrinkToFit="1"/>
    </xf>
    <xf numFmtId="182" fontId="6" fillId="0" borderId="0" xfId="0" applyNumberFormat="1" applyFont="1" applyFill="1" applyBorder="1" applyAlignment="1" applyProtection="1">
      <alignment vertical="center"/>
    </xf>
    <xf numFmtId="49" fontId="6" fillId="0" borderId="0" xfId="311" applyNumberFormat="1" applyFont="1" applyFill="1" applyBorder="1" applyAlignment="1" applyProtection="1">
      <alignment horizontal="center" vertical="center"/>
    </xf>
    <xf numFmtId="49" fontId="12" fillId="3" borderId="5" xfId="401" applyNumberFormat="1" applyFont="1" applyFill="1" applyBorder="1" applyAlignment="1" applyProtection="1">
      <alignment horizontal="center" vertical="center" wrapText="1"/>
    </xf>
    <xf numFmtId="49" fontId="12" fillId="3" borderId="6" xfId="401" applyNumberFormat="1" applyFont="1" applyFill="1" applyBorder="1" applyAlignment="1" applyProtection="1">
      <alignment horizontal="center" vertical="center" wrapText="1"/>
    </xf>
    <xf numFmtId="0" fontId="25" fillId="4" borderId="7" xfId="311" applyFont="1" applyFill="1" applyBorder="1" applyAlignment="1">
      <alignment horizontal="center" vertical="center"/>
    </xf>
    <xf numFmtId="0" fontId="25" fillId="4" borderId="7" xfId="311" applyFont="1" applyFill="1" applyBorder="1" applyAlignment="1">
      <alignment horizontal="center" vertical="center" shrinkToFit="1"/>
    </xf>
    <xf numFmtId="0" fontId="6" fillId="3" borderId="0" xfId="311" applyFill="1">
      <alignment vertical="center"/>
    </xf>
    <xf numFmtId="183" fontId="14" fillId="3" borderId="6" xfId="311" applyNumberFormat="1" applyFont="1" applyFill="1" applyBorder="1" applyAlignment="1" applyProtection="1">
      <alignment horizontal="center" vertical="center"/>
    </xf>
    <xf numFmtId="176" fontId="14" fillId="3" borderId="7" xfId="311" applyNumberFormat="1" applyFont="1" applyFill="1" applyBorder="1" applyAlignment="1">
      <alignment vertical="center"/>
    </xf>
    <xf numFmtId="176" fontId="14" fillId="3" borderId="7" xfId="311" applyNumberFormat="1" applyFont="1" applyFill="1" applyBorder="1" applyAlignment="1">
      <alignment horizontal="center" vertical="center"/>
    </xf>
    <xf numFmtId="176" fontId="14" fillId="3" borderId="7" xfId="311" applyNumberFormat="1" applyFont="1" applyFill="1" applyBorder="1">
      <alignment vertical="center"/>
    </xf>
    <xf numFmtId="176" fontId="14" fillId="3" borderId="10" xfId="311" applyNumberFormat="1" applyFont="1" applyFill="1" applyBorder="1" applyAlignment="1">
      <alignment horizontal="center" vertical="center"/>
    </xf>
    <xf numFmtId="176" fontId="14" fillId="3" borderId="10" xfId="311" applyNumberFormat="1" applyFont="1" applyFill="1" applyBorder="1">
      <alignment vertical="center"/>
    </xf>
    <xf numFmtId="184" fontId="14" fillId="3" borderId="10" xfId="311" applyNumberFormat="1" applyFont="1" applyFill="1" applyBorder="1" applyAlignment="1" applyProtection="1">
      <alignment horizontal="center" vertical="center"/>
    </xf>
    <xf numFmtId="182" fontId="20" fillId="3" borderId="7" xfId="292" applyNumberFormat="1" applyFont="1" applyFill="1" applyBorder="1" applyAlignment="1" applyProtection="1">
      <alignment horizontal="center" vertical="center"/>
    </xf>
    <xf numFmtId="182" fontId="25" fillId="3" borderId="7" xfId="401" applyNumberFormat="1" applyFont="1" applyFill="1" applyBorder="1" applyAlignment="1" applyProtection="1">
      <alignment horizontal="center" vertical="center"/>
    </xf>
    <xf numFmtId="184" fontId="14" fillId="3" borderId="7" xfId="311" applyNumberFormat="1" applyFont="1" applyFill="1" applyBorder="1" applyAlignment="1" applyProtection="1">
      <alignment horizontal="center" vertical="center"/>
    </xf>
    <xf numFmtId="182" fontId="16" fillId="3" borderId="7" xfId="311" applyNumberFormat="1" applyFont="1" applyFill="1" applyBorder="1" applyAlignment="1">
      <alignment horizontal="center" vertical="center" wrapText="1"/>
    </xf>
    <xf numFmtId="184" fontId="6" fillId="0" borderId="0" xfId="311" applyNumberFormat="1">
      <alignment vertical="center"/>
    </xf>
    <xf numFmtId="0" fontId="25" fillId="3" borderId="7" xfId="311" applyFont="1" applyFill="1" applyBorder="1" applyAlignment="1">
      <alignment horizontal="center" vertical="center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8" xfId="311" applyFont="1" applyFill="1" applyBorder="1" applyAlignment="1">
      <alignment vertical="center"/>
    </xf>
    <xf numFmtId="14" fontId="6" fillId="0" borderId="8" xfId="311" applyNumberFormat="1" applyFont="1" applyFill="1" applyBorder="1" applyAlignment="1">
      <alignment vertical="center"/>
    </xf>
    <xf numFmtId="0" fontId="14" fillId="0" borderId="7" xfId="311" applyNumberFormat="1" applyFont="1" applyFill="1" applyBorder="1">
      <alignment vertical="center"/>
    </xf>
    <xf numFmtId="182" fontId="17" fillId="4" borderId="7" xfId="311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8" fillId="7" borderId="5" xfId="414" applyNumberFormat="1" applyFont="1" applyFill="1" applyBorder="1" applyAlignment="1" applyProtection="1">
      <alignment horizontal="center" vertical="center" wrapText="1"/>
    </xf>
    <xf numFmtId="0" fontId="28" fillId="7" borderId="7" xfId="414" applyNumberFormat="1" applyFont="1" applyFill="1" applyBorder="1" applyAlignment="1" applyProtection="1">
      <alignment horizontal="center" vertical="center" wrapText="1"/>
    </xf>
    <xf numFmtId="0" fontId="28" fillId="8" borderId="5" xfId="414" applyNumberFormat="1" applyFont="1" applyFill="1" applyBorder="1" applyAlignment="1" applyProtection="1">
      <alignment horizontal="center" vertical="center" wrapText="1"/>
    </xf>
    <xf numFmtId="0" fontId="28" fillId="7" borderId="11" xfId="414" applyNumberFormat="1" applyFont="1" applyFill="1" applyBorder="1" applyAlignment="1" applyProtection="1">
      <alignment horizontal="center" vertical="center" wrapText="1"/>
    </xf>
    <xf numFmtId="0" fontId="28" fillId="8" borderId="11" xfId="414" applyNumberFormat="1" applyFont="1" applyFill="1" applyBorder="1" applyAlignment="1" applyProtection="1">
      <alignment horizontal="center" vertical="center" wrapText="1"/>
    </xf>
    <xf numFmtId="0" fontId="28" fillId="7" borderId="6" xfId="414" applyNumberFormat="1" applyFont="1" applyFill="1" applyBorder="1" applyAlignment="1" applyProtection="1">
      <alignment horizontal="center" vertical="center" wrapText="1"/>
    </xf>
    <xf numFmtId="0" fontId="28" fillId="7" borderId="12" xfId="414" applyNumberFormat="1" applyFont="1" applyFill="1" applyBorder="1" applyAlignment="1" applyProtection="1">
      <alignment horizontal="center" vertical="center" wrapText="1"/>
    </xf>
    <xf numFmtId="0" fontId="28" fillId="8" borderId="12" xfId="414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>
      <alignment vertical="center"/>
    </xf>
    <xf numFmtId="49" fontId="25" fillId="0" borderId="13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left" vertical="center"/>
    </xf>
    <xf numFmtId="0" fontId="31" fillId="8" borderId="5" xfId="414" applyNumberFormat="1" applyFont="1" applyFill="1" applyBorder="1" applyAlignment="1" applyProtection="1">
      <alignment horizontal="center" vertical="center" wrapText="1"/>
    </xf>
    <xf numFmtId="0" fontId="32" fillId="8" borderId="7" xfId="367" applyNumberFormat="1" applyFont="1" applyFill="1" applyBorder="1" applyAlignment="1" applyProtection="1">
      <alignment horizontal="center" vertical="center" wrapText="1"/>
    </xf>
    <xf numFmtId="0" fontId="31" fillId="8" borderId="11" xfId="414" applyNumberFormat="1" applyFont="1" applyFill="1" applyBorder="1" applyAlignment="1" applyProtection="1">
      <alignment horizontal="center" vertical="center" wrapText="1"/>
    </xf>
    <xf numFmtId="14" fontId="33" fillId="9" borderId="7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NumberFormat="1" applyFont="1" applyFill="1" applyBorder="1" applyAlignment="1">
      <alignment horizontal="center" vertical="center"/>
    </xf>
    <xf numFmtId="0" fontId="32" fillId="8" borderId="7" xfId="414" applyNumberFormat="1" applyFont="1" applyFill="1" applyBorder="1" applyAlignment="1" applyProtection="1">
      <alignment horizontal="center" vertical="center" wrapText="1"/>
    </xf>
    <xf numFmtId="9" fontId="14" fillId="0" borderId="0" xfId="23" applyFont="1" applyBorder="1" applyAlignment="1" applyProtection="1">
      <alignment horizontal="left" vertical="center"/>
      <protection locked="0"/>
    </xf>
    <xf numFmtId="0" fontId="28" fillId="10" borderId="7" xfId="367" applyNumberFormat="1" applyFont="1" applyFill="1" applyBorder="1" applyAlignment="1" applyProtection="1">
      <alignment horizontal="center" vertical="center" wrapText="1"/>
    </xf>
    <xf numFmtId="0" fontId="34" fillId="3" borderId="7" xfId="367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9" fillId="11" borderId="7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/>
    <xf numFmtId="0" fontId="21" fillId="11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/>
    </xf>
    <xf numFmtId="49" fontId="41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41" fillId="0" borderId="7" xfId="0" applyNumberFormat="1" applyFont="1" applyFill="1" applyBorder="1" applyAlignment="1">
      <alignment horizontal="center"/>
    </xf>
    <xf numFmtId="0" fontId="42" fillId="0" borderId="7" xfId="0" applyFont="1" applyFill="1" applyBorder="1" applyAlignment="1">
      <alignment horizontal="center" vertical="center"/>
    </xf>
    <xf numFmtId="49" fontId="43" fillId="0" borderId="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/>
    </xf>
    <xf numFmtId="49" fontId="44" fillId="0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 applyProtection="1">
      <alignment horizontal="center" vertical="center"/>
      <protection locked="0"/>
    </xf>
    <xf numFmtId="49" fontId="44" fillId="0" borderId="7" xfId="0" applyNumberFormat="1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center"/>
    </xf>
    <xf numFmtId="49" fontId="47" fillId="0" borderId="7" xfId="0" applyNumberFormat="1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/>
    </xf>
    <xf numFmtId="49" fontId="48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8" fillId="0" borderId="6" xfId="0" applyNumberFormat="1" applyFont="1" applyFill="1" applyBorder="1" applyAlignment="1">
      <alignment horizontal="center"/>
    </xf>
    <xf numFmtId="49" fontId="49" fillId="0" borderId="15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49" fontId="51" fillId="0" borderId="6" xfId="0" applyNumberFormat="1" applyFont="1" applyFill="1" applyBorder="1" applyAlignment="1">
      <alignment horizontal="center" vertical="center"/>
    </xf>
    <xf numFmtId="49" fontId="49" fillId="0" borderId="6" xfId="0" applyNumberFormat="1" applyFont="1" applyFill="1" applyBorder="1" applyAlignment="1">
      <alignment horizontal="center"/>
    </xf>
    <xf numFmtId="0" fontId="19" fillId="11" borderId="16" xfId="0" applyFont="1" applyFill="1" applyBorder="1" applyAlignment="1">
      <alignment horizontal="left" vertical="center"/>
    </xf>
    <xf numFmtId="4" fontId="19" fillId="11" borderId="17" xfId="0" applyNumberFormat="1" applyFont="1" applyFill="1" applyBorder="1" applyAlignment="1">
      <alignment horizontal="right" vertical="center"/>
    </xf>
    <xf numFmtId="4" fontId="19" fillId="11" borderId="6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0" fontId="19" fillId="11" borderId="18" xfId="0" applyFont="1" applyFill="1" applyBorder="1" applyAlignment="1">
      <alignment horizontal="left" vertical="center"/>
    </xf>
    <xf numFmtId="4" fontId="19" fillId="11" borderId="19" xfId="0" applyNumberFormat="1" applyFont="1" applyFill="1" applyBorder="1" applyAlignment="1">
      <alignment horizontal="right" vertical="center"/>
    </xf>
    <xf numFmtId="4" fontId="19" fillId="11" borderId="20" xfId="0" applyNumberFormat="1" applyFont="1" applyFill="1" applyBorder="1" applyAlignment="1">
      <alignment horizontal="right" vertical="center"/>
    </xf>
    <xf numFmtId="4" fontId="19" fillId="11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0" fillId="0" borderId="0" xfId="0" applyFont="1" applyFill="1" applyAlignment="1">
      <alignment vertical="center"/>
    </xf>
    <xf numFmtId="0" fontId="22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/>
    </xf>
    <xf numFmtId="0" fontId="49" fillId="0" borderId="15" xfId="0" applyFont="1" applyFill="1" applyBorder="1" applyAlignment="1">
      <alignment horizontal="center"/>
    </xf>
    <xf numFmtId="4" fontId="19" fillId="11" borderId="22" xfId="0" applyNumberFormat="1" applyFont="1" applyFill="1" applyBorder="1" applyAlignment="1">
      <alignment horizontal="right" vertical="center"/>
    </xf>
    <xf numFmtId="0" fontId="48" fillId="3" borderId="15" xfId="0" applyFont="1" applyFill="1" applyBorder="1" applyAlignment="1">
      <alignment horizontal="center"/>
    </xf>
    <xf numFmtId="0" fontId="49" fillId="3" borderId="15" xfId="0" applyFont="1" applyFill="1" applyBorder="1" applyAlignment="1">
      <alignment horizontal="center"/>
    </xf>
    <xf numFmtId="0" fontId="44" fillId="3" borderId="7" xfId="0" applyFont="1" applyFill="1" applyBorder="1" applyAlignment="1">
      <alignment horizontal="center"/>
    </xf>
    <xf numFmtId="0" fontId="35" fillId="0" borderId="7" xfId="0" applyFont="1" applyFill="1" applyBorder="1" applyAlignment="1">
      <alignment vertical="center"/>
    </xf>
    <xf numFmtId="0" fontId="36" fillId="0" borderId="7" xfId="0" applyFont="1" applyFill="1" applyBorder="1" applyAlignment="1">
      <alignment vertical="center"/>
    </xf>
    <xf numFmtId="0" fontId="37" fillId="0" borderId="15" xfId="0" applyFont="1" applyFill="1" applyBorder="1" applyAlignment="1">
      <alignment vertical="center"/>
    </xf>
    <xf numFmtId="0" fontId="19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center" vertical="center" wrapText="1"/>
    </xf>
    <xf numFmtId="179" fontId="52" fillId="0" borderId="7" xfId="0" applyNumberFormat="1" applyFont="1" applyFill="1" applyBorder="1" applyAlignment="1">
      <alignment horizontal="left" vertical="center"/>
    </xf>
    <xf numFmtId="0" fontId="41" fillId="0" borderId="7" xfId="0" applyNumberFormat="1" applyFont="1" applyFill="1" applyBorder="1" applyAlignment="1">
      <alignment horizontal="center"/>
    </xf>
    <xf numFmtId="179" fontId="53" fillId="0" borderId="7" xfId="0" applyNumberFormat="1" applyFont="1" applyFill="1" applyBorder="1" applyAlignment="1">
      <alignment horizontal="left" vertical="center"/>
    </xf>
    <xf numFmtId="0" fontId="44" fillId="0" borderId="7" xfId="0" applyNumberFormat="1" applyFont="1" applyFill="1" applyBorder="1" applyAlignment="1">
      <alignment horizontal="center"/>
    </xf>
    <xf numFmtId="49" fontId="48" fillId="0" borderId="15" xfId="0" applyNumberFormat="1" applyFont="1" applyFill="1" applyBorder="1" applyAlignment="1">
      <alignment horizontal="center" vertical="center"/>
    </xf>
    <xf numFmtId="179" fontId="54" fillId="0" borderId="15" xfId="0" applyNumberFormat="1" applyFont="1" applyFill="1" applyBorder="1" applyAlignment="1">
      <alignment horizontal="left" vertical="center"/>
    </xf>
    <xf numFmtId="0" fontId="48" fillId="0" borderId="15" xfId="0" applyNumberFormat="1" applyFont="1" applyFill="1" applyBorder="1" applyAlignment="1">
      <alignment horizontal="center"/>
    </xf>
    <xf numFmtId="0" fontId="19" fillId="11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5" fillId="11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56" fillId="0" borderId="10" xfId="0" applyNumberFormat="1" applyFont="1" applyFill="1" applyBorder="1" applyAlignment="1">
      <alignment horizontal="center"/>
    </xf>
    <xf numFmtId="4" fontId="57" fillId="0" borderId="7" xfId="0" applyNumberFormat="1" applyFont="1" applyFill="1" applyBorder="1" applyAlignment="1">
      <alignment horizontal="center" vertical="center" wrapText="1"/>
    </xf>
    <xf numFmtId="0" fontId="57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/>
    </xf>
    <xf numFmtId="4" fontId="55" fillId="11" borderId="7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center" vertical="center"/>
    </xf>
    <xf numFmtId="4" fontId="55" fillId="11" borderId="4" xfId="0" applyNumberFormat="1" applyFont="1" applyFill="1" applyBorder="1" applyAlignment="1">
      <alignment horizontal="right" vertical="center"/>
    </xf>
    <xf numFmtId="0" fontId="40" fillId="0" borderId="0" xfId="0" applyFont="1" applyFill="1" applyAlignment="1"/>
    <xf numFmtId="176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41" fillId="0" borderId="23" xfId="0" applyFont="1" applyFill="1" applyBorder="1" applyAlignment="1">
      <alignment horizontal="center"/>
    </xf>
    <xf numFmtId="0" fontId="41" fillId="0" borderId="24" xfId="0" applyFont="1" applyFill="1" applyBorder="1" applyAlignment="1">
      <alignment horizontal="center"/>
    </xf>
    <xf numFmtId="49" fontId="41" fillId="0" borderId="24" xfId="0" applyNumberFormat="1" applyFont="1" applyFill="1" applyBorder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2" fillId="12" borderId="0" xfId="491" applyFont="1" applyFill="1" applyBorder="1" applyAlignment="1">
      <alignment horizontal="center" vertical="center"/>
    </xf>
    <xf numFmtId="0" fontId="63" fillId="12" borderId="0" xfId="491" applyNumberFormat="1" applyFont="1" applyFill="1" applyBorder="1" applyAlignment="1" applyProtection="1">
      <alignment horizontal="center" vertical="center"/>
      <protection locked="0"/>
    </xf>
    <xf numFmtId="0" fontId="63" fillId="12" borderId="0" xfId="491" applyNumberFormat="1" applyFont="1" applyFill="1" applyBorder="1" applyAlignment="1" applyProtection="1">
      <alignment horizontal="left" vertical="center"/>
      <protection locked="0"/>
    </xf>
    <xf numFmtId="0" fontId="64" fillId="12" borderId="0" xfId="491" applyNumberFormat="1" applyFont="1" applyFill="1" applyBorder="1" applyAlignment="1" applyProtection="1">
      <alignment horizontal="center" vertical="center"/>
      <protection locked="0"/>
    </xf>
    <xf numFmtId="0" fontId="65" fillId="12" borderId="0" xfId="491" applyNumberFormat="1" applyFont="1" applyFill="1" applyBorder="1" applyAlignment="1" applyProtection="1">
      <alignment horizontal="left" vertical="center"/>
      <protection locked="0"/>
    </xf>
    <xf numFmtId="0" fontId="26" fillId="12" borderId="0" xfId="0" applyFont="1" applyFill="1" applyBorder="1" applyAlignment="1" applyProtection="1">
      <alignment horizontal="right" vertical="center"/>
      <protection locked="0"/>
    </xf>
    <xf numFmtId="49" fontId="66" fillId="12" borderId="0" xfId="490" applyNumberFormat="1" applyFont="1" applyFill="1" applyBorder="1" applyAlignment="1" applyProtection="1">
      <alignment horizontal="left" vertical="center"/>
      <protection locked="0"/>
    </xf>
    <xf numFmtId="0" fontId="60" fillId="12" borderId="0" xfId="0" applyFont="1" applyFill="1" applyBorder="1" applyAlignment="1" applyProtection="1">
      <alignment horizontal="left" vertical="center"/>
      <protection locked="0"/>
    </xf>
    <xf numFmtId="0" fontId="67" fillId="12" borderId="0" xfId="491" applyFont="1" applyFill="1" applyBorder="1" applyAlignment="1">
      <alignment horizontal="right" vertical="center"/>
    </xf>
    <xf numFmtId="14" fontId="68" fillId="12" borderId="0" xfId="0" applyNumberFormat="1" applyFont="1" applyFill="1" applyBorder="1" applyAlignment="1" applyProtection="1">
      <alignment horizontal="left" vertical="center"/>
      <protection locked="0"/>
    </xf>
    <xf numFmtId="0" fontId="68" fillId="12" borderId="0" xfId="0" applyFont="1" applyFill="1" applyBorder="1" applyAlignment="1" applyProtection="1">
      <alignment horizontal="right" vertical="center"/>
      <protection locked="0"/>
    </xf>
    <xf numFmtId="0" fontId="69" fillId="12" borderId="0" xfId="0" applyFont="1" applyFill="1" applyBorder="1" applyAlignment="1">
      <alignment horizontal="left" vertical="center"/>
    </xf>
    <xf numFmtId="0" fontId="69" fillId="12" borderId="0" xfId="0" applyFont="1" applyFill="1" applyAlignment="1">
      <alignment horizontal="left" vertical="center"/>
    </xf>
    <xf numFmtId="0" fontId="65" fillId="12" borderId="0" xfId="491" applyNumberFormat="1" applyFont="1" applyFill="1" applyBorder="1" applyAlignment="1" applyProtection="1">
      <alignment horizontal="center" vertical="center"/>
      <protection locked="0"/>
    </xf>
    <xf numFmtId="0" fontId="69" fillId="12" borderId="0" xfId="0" applyFont="1" applyFill="1" applyBorder="1" applyAlignment="1" applyProtection="1">
      <alignment horizontal="left" vertical="center"/>
      <protection locked="0"/>
    </xf>
    <xf numFmtId="0" fontId="70" fillId="12" borderId="0" xfId="491" applyNumberFormat="1" applyFont="1" applyFill="1" applyBorder="1" applyAlignment="1" applyProtection="1">
      <alignment horizontal="center" vertical="center"/>
      <protection locked="0"/>
    </xf>
    <xf numFmtId="185" fontId="68" fillId="12" borderId="0" xfId="490" applyNumberFormat="1" applyFont="1" applyFill="1" applyBorder="1" applyAlignment="1" applyProtection="1">
      <alignment horizontal="left" vertical="center"/>
      <protection locked="0"/>
    </xf>
    <xf numFmtId="0" fontId="71" fillId="12" borderId="25" xfId="0" applyFont="1" applyFill="1" applyBorder="1" applyAlignment="1" applyProtection="1">
      <alignment horizontal="center" vertical="center"/>
      <protection locked="0"/>
    </xf>
    <xf numFmtId="0" fontId="71" fillId="12" borderId="26" xfId="0" applyFont="1" applyFill="1" applyBorder="1" applyAlignment="1" applyProtection="1">
      <alignment horizontal="center" vertical="center"/>
      <protection locked="0"/>
    </xf>
    <xf numFmtId="0" fontId="13" fillId="12" borderId="27" xfId="489" applyNumberFormat="1" applyFont="1" applyFill="1" applyBorder="1" applyAlignment="1" applyProtection="1">
      <alignment horizontal="left" vertical="center"/>
      <protection locked="0"/>
    </xf>
    <xf numFmtId="0" fontId="13" fillId="12" borderId="6" xfId="489" applyNumberFormat="1" applyFont="1" applyFill="1" applyBorder="1" applyAlignment="1" applyProtection="1">
      <alignment horizontal="left" vertical="center"/>
      <protection locked="0"/>
    </xf>
    <xf numFmtId="43" fontId="72" fillId="12" borderId="8" xfId="0" applyNumberFormat="1" applyFont="1" applyFill="1" applyBorder="1" applyAlignment="1" applyProtection="1">
      <alignment horizontal="left" vertical="center" shrinkToFit="1"/>
    </xf>
    <xf numFmtId="43" fontId="72" fillId="12" borderId="9" xfId="0" applyNumberFormat="1" applyFont="1" applyFill="1" applyBorder="1" applyAlignment="1" applyProtection="1">
      <alignment horizontal="left" vertical="center" shrinkToFit="1"/>
    </xf>
    <xf numFmtId="43" fontId="72" fillId="12" borderId="28" xfId="0" applyNumberFormat="1" applyFont="1" applyFill="1" applyBorder="1" applyAlignment="1" applyProtection="1">
      <alignment horizontal="left" vertical="center" shrinkToFit="1"/>
    </xf>
    <xf numFmtId="0" fontId="13" fillId="12" borderId="29" xfId="489" applyNumberFormat="1" applyFont="1" applyFill="1" applyBorder="1" applyAlignment="1" applyProtection="1">
      <alignment horizontal="left" vertical="center"/>
      <protection locked="0"/>
    </xf>
    <xf numFmtId="0" fontId="13" fillId="12" borderId="30" xfId="489" applyNumberFormat="1" applyFont="1" applyFill="1" applyBorder="1" applyAlignment="1" applyProtection="1">
      <alignment horizontal="left" vertical="center"/>
      <protection locked="0"/>
    </xf>
    <xf numFmtId="177" fontId="72" fillId="12" borderId="31" xfId="0" applyNumberFormat="1" applyFont="1" applyFill="1" applyBorder="1" applyAlignment="1" applyProtection="1">
      <alignment horizontal="right" vertical="center" shrinkToFit="1"/>
    </xf>
    <xf numFmtId="177" fontId="72" fillId="12" borderId="32" xfId="0" applyNumberFormat="1" applyFont="1" applyFill="1" applyBorder="1" applyAlignment="1" applyProtection="1">
      <alignment horizontal="right" vertical="center" shrinkToFit="1"/>
    </xf>
    <xf numFmtId="177" fontId="72" fillId="12" borderId="33" xfId="0" applyNumberFormat="1" applyFont="1" applyFill="1" applyBorder="1" applyAlignment="1" applyProtection="1">
      <alignment horizontal="right" vertical="center" shrinkToFit="1"/>
    </xf>
    <xf numFmtId="0" fontId="25" fillId="12" borderId="27" xfId="490" applyNumberFormat="1" applyFont="1" applyFill="1" applyBorder="1" applyAlignment="1" applyProtection="1">
      <alignment horizontal="left" vertical="center"/>
      <protection locked="0"/>
    </xf>
    <xf numFmtId="0" fontId="25" fillId="12" borderId="6" xfId="490" applyNumberFormat="1" applyFont="1" applyFill="1" applyBorder="1" applyAlignment="1" applyProtection="1">
      <alignment horizontal="left" vertical="center"/>
      <protection locked="0"/>
    </xf>
    <xf numFmtId="43" fontId="73" fillId="12" borderId="6" xfId="0" applyNumberFormat="1" applyFont="1" applyFill="1" applyBorder="1" applyAlignment="1" applyProtection="1">
      <alignment horizontal="left" vertical="center" shrinkToFit="1"/>
    </xf>
    <xf numFmtId="0" fontId="25" fillId="12" borderId="34" xfId="490" applyNumberFormat="1" applyFont="1" applyFill="1" applyBorder="1" applyAlignment="1" applyProtection="1">
      <alignment horizontal="left" vertical="center"/>
      <protection locked="0"/>
    </xf>
    <xf numFmtId="0" fontId="25" fillId="12" borderId="35" xfId="490" applyNumberFormat="1" applyFont="1" applyFill="1" applyBorder="1" applyAlignment="1" applyProtection="1">
      <alignment horizontal="left" vertical="center"/>
      <protection locked="0"/>
    </xf>
    <xf numFmtId="0" fontId="25" fillId="12" borderId="36" xfId="490" applyNumberFormat="1" applyFont="1" applyFill="1" applyBorder="1" applyAlignment="1" applyProtection="1">
      <alignment horizontal="left" vertical="center"/>
      <protection locked="0"/>
    </xf>
    <xf numFmtId="43" fontId="73" fillId="12" borderId="3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38" xfId="163" applyFont="1" applyFill="1" applyBorder="1" applyAlignment="1">
      <alignment vertical="center"/>
    </xf>
    <xf numFmtId="0" fontId="14" fillId="12" borderId="7" xfId="163" applyFont="1" applyFill="1" applyBorder="1" applyAlignment="1">
      <alignment vertical="center"/>
    </xf>
    <xf numFmtId="43" fontId="73" fillId="12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8" xfId="163" applyFont="1" applyFill="1" applyBorder="1" applyAlignment="1">
      <alignment horizontal="left" vertical="center"/>
    </xf>
    <xf numFmtId="0" fontId="14" fillId="12" borderId="9" xfId="163" applyFont="1" applyFill="1" applyBorder="1" applyAlignment="1">
      <alignment horizontal="left" vertical="center"/>
    </xf>
    <xf numFmtId="0" fontId="14" fillId="12" borderId="10" xfId="163" applyFont="1" applyFill="1" applyBorder="1" applyAlignment="1">
      <alignment horizontal="left" vertical="center"/>
    </xf>
    <xf numFmtId="43" fontId="73" fillId="12" borderId="39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40" xfId="163" applyFont="1" applyFill="1" applyBorder="1" applyAlignment="1">
      <alignment vertical="center"/>
    </xf>
    <xf numFmtId="0" fontId="14" fillId="12" borderId="41" xfId="163" applyFont="1" applyFill="1" applyBorder="1" applyAlignment="1">
      <alignment vertical="center"/>
    </xf>
    <xf numFmtId="43" fontId="73" fillId="12" borderId="41" xfId="490" applyNumberFormat="1" applyFont="1" applyFill="1" applyBorder="1" applyAlignment="1" applyProtection="1">
      <alignment horizontal="left" vertical="center" shrinkToFit="1"/>
      <protection locked="0"/>
    </xf>
    <xf numFmtId="186" fontId="25" fillId="12" borderId="42" xfId="490" applyNumberFormat="1" applyFont="1" applyFill="1" applyBorder="1" applyAlignment="1" applyProtection="1">
      <alignment horizontal="left" vertical="center"/>
      <protection locked="0"/>
    </xf>
    <xf numFmtId="186" fontId="25" fillId="12" borderId="43" xfId="490" applyNumberFormat="1" applyFont="1" applyFill="1" applyBorder="1" applyAlignment="1" applyProtection="1">
      <alignment horizontal="left" vertical="center"/>
      <protection locked="0"/>
    </xf>
    <xf numFmtId="186" fontId="25" fillId="12" borderId="44" xfId="490" applyNumberFormat="1" applyFont="1" applyFill="1" applyBorder="1" applyAlignment="1" applyProtection="1">
      <alignment horizontal="left" vertical="center"/>
      <protection locked="0"/>
    </xf>
    <xf numFmtId="43" fontId="73" fillId="12" borderId="45" xfId="490" applyNumberFormat="1" applyFont="1" applyFill="1" applyBorder="1" applyAlignment="1" applyProtection="1">
      <alignment horizontal="left" vertical="center" shrinkToFit="1"/>
      <protection locked="0"/>
    </xf>
    <xf numFmtId="187" fontId="74" fillId="12" borderId="0" xfId="490" applyNumberFormat="1" applyFont="1" applyFill="1" applyBorder="1" applyAlignment="1" applyProtection="1">
      <alignment horizontal="left" vertical="center"/>
      <protection locked="0"/>
    </xf>
    <xf numFmtId="0" fontId="75" fillId="0" borderId="25" xfId="488" applyFont="1" applyFill="1" applyBorder="1" applyAlignment="1">
      <alignment horizontal="center" vertical="center" wrapText="1"/>
    </xf>
    <xf numFmtId="0" fontId="75" fillId="0" borderId="46" xfId="488" applyFont="1" applyFill="1" applyBorder="1" applyAlignment="1">
      <alignment horizontal="center" vertical="center" wrapText="1"/>
    </xf>
    <xf numFmtId="180" fontId="75" fillId="0" borderId="46" xfId="488" applyNumberFormat="1" applyFont="1" applyFill="1" applyBorder="1" applyAlignment="1">
      <alignment horizontal="center" vertical="center" wrapText="1"/>
    </xf>
    <xf numFmtId="181" fontId="75" fillId="0" borderId="46" xfId="488" applyNumberFormat="1" applyFont="1" applyFill="1" applyBorder="1" applyAlignment="1">
      <alignment horizontal="center" vertical="center" wrapText="1"/>
    </xf>
    <xf numFmtId="0" fontId="75" fillId="0" borderId="47" xfId="488" applyFont="1" applyFill="1" applyBorder="1" applyAlignment="1">
      <alignment horizontal="center" vertical="center" wrapText="1"/>
    </xf>
    <xf numFmtId="0" fontId="56" fillId="0" borderId="38" xfId="488" applyFont="1" applyFill="1" applyBorder="1" applyAlignment="1">
      <alignment horizontal="center" vertical="center"/>
    </xf>
    <xf numFmtId="0" fontId="56" fillId="0" borderId="7" xfId="488" applyFont="1" applyFill="1" applyBorder="1" applyAlignment="1">
      <alignment horizontal="center" vertical="center"/>
    </xf>
    <xf numFmtId="43" fontId="56" fillId="0" borderId="7" xfId="488" applyNumberFormat="1" applyFont="1" applyFill="1" applyBorder="1" applyAlignment="1">
      <alignment horizontal="left" vertical="center"/>
    </xf>
    <xf numFmtId="180" fontId="56" fillId="0" borderId="7" xfId="488" applyNumberFormat="1" applyFont="1" applyFill="1" applyBorder="1" applyAlignment="1">
      <alignment horizontal="center" vertical="center"/>
    </xf>
    <xf numFmtId="181" fontId="56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horizontal="left" vertical="center"/>
    </xf>
    <xf numFmtId="43" fontId="56" fillId="0" borderId="7" xfId="488" applyNumberFormat="1" applyFont="1" applyFill="1" applyBorder="1" applyAlignment="1">
      <alignment vertical="center"/>
    </xf>
    <xf numFmtId="43" fontId="56" fillId="0" borderId="7" xfId="488" applyNumberFormat="1" applyFont="1" applyFill="1" applyBorder="1" applyAlignment="1">
      <alignment horizontal="center" vertical="center"/>
    </xf>
    <xf numFmtId="0" fontId="56" fillId="0" borderId="39" xfId="488" applyFont="1" applyFill="1" applyBorder="1" applyAlignment="1">
      <alignment vertical="center" wrapText="1"/>
    </xf>
    <xf numFmtId="43" fontId="32" fillId="0" borderId="7" xfId="488" applyNumberFormat="1" applyFont="1" applyFill="1" applyBorder="1" applyAlignment="1">
      <alignment horizontal="center" vertical="center"/>
    </xf>
    <xf numFmtId="181" fontId="32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vertical="center"/>
    </xf>
    <xf numFmtId="0" fontId="56" fillId="0" borderId="7" xfId="488" applyFont="1" applyFill="1" applyBorder="1" applyAlignment="1">
      <alignment horizontal="center" vertical="center" wrapText="1"/>
    </xf>
    <xf numFmtId="10" fontId="32" fillId="0" borderId="7" xfId="488" applyNumberFormat="1" applyFont="1" applyFill="1" applyBorder="1" applyAlignment="1">
      <alignment horizontal="center" vertical="center"/>
    </xf>
    <xf numFmtId="0" fontId="28" fillId="13" borderId="38" xfId="488" applyFont="1" applyFill="1" applyBorder="1" applyAlignment="1">
      <alignment horizontal="center" vertical="center"/>
    </xf>
    <xf numFmtId="0" fontId="28" fillId="13" borderId="7" xfId="488" applyFont="1" applyFill="1" applyBorder="1" applyAlignment="1">
      <alignment horizontal="center" vertical="center"/>
    </xf>
    <xf numFmtId="181" fontId="28" fillId="13" borderId="7" xfId="488" applyNumberFormat="1" applyFont="1" applyFill="1" applyBorder="1" applyAlignment="1">
      <alignment vertical="center"/>
    </xf>
    <xf numFmtId="0" fontId="56" fillId="13" borderId="39" xfId="488" applyFont="1" applyFill="1" applyBorder="1" applyAlignment="1">
      <alignment horizontal="left" vertical="center"/>
    </xf>
    <xf numFmtId="0" fontId="28" fillId="13" borderId="40" xfId="488" applyFont="1" applyFill="1" applyBorder="1" applyAlignment="1">
      <alignment horizontal="center" vertical="center"/>
    </xf>
    <xf numFmtId="0" fontId="28" fillId="13" borderId="41" xfId="488" applyFont="1" applyFill="1" applyBorder="1" applyAlignment="1">
      <alignment horizontal="center" vertical="center"/>
    </xf>
    <xf numFmtId="181" fontId="28" fillId="13" borderId="41" xfId="488" applyNumberFormat="1" applyFont="1" applyFill="1" applyBorder="1" applyAlignment="1">
      <alignment vertical="center"/>
    </xf>
    <xf numFmtId="0" fontId="56" fillId="13" borderId="45" xfId="488" applyFont="1" applyFill="1" applyBorder="1" applyAlignment="1">
      <alignment horizontal="left" vertical="center"/>
    </xf>
    <xf numFmtId="185" fontId="68" fillId="12" borderId="0" xfId="490" applyNumberFormat="1" applyFont="1" applyFill="1" applyBorder="1" applyAlignment="1" applyProtection="1">
      <alignment horizontal="right" vertical="center"/>
      <protection locked="0"/>
    </xf>
    <xf numFmtId="0" fontId="20" fillId="12" borderId="0" xfId="491" applyFont="1" applyFill="1" applyBorder="1" applyAlignment="1">
      <alignment horizontal="right" vertical="center"/>
    </xf>
    <xf numFmtId="14" fontId="66" fillId="12" borderId="0" xfId="0" applyNumberFormat="1" applyFont="1" applyFill="1" applyBorder="1" applyAlignment="1" applyProtection="1">
      <alignment horizontal="left" vertical="center"/>
      <protection locked="0"/>
    </xf>
    <xf numFmtId="0" fontId="76" fillId="12" borderId="0" xfId="491" applyNumberFormat="1" applyFont="1" applyFill="1" applyBorder="1" applyAlignment="1" applyProtection="1">
      <alignment horizontal="right" vertical="center"/>
      <protection locked="0"/>
    </xf>
    <xf numFmtId="0" fontId="77" fillId="12" borderId="0" xfId="491" applyNumberFormat="1" applyFont="1" applyFill="1" applyBorder="1" applyAlignment="1" applyProtection="1">
      <alignment horizontal="left" vertical="center"/>
      <protection locked="0"/>
    </xf>
    <xf numFmtId="178" fontId="78" fillId="6" borderId="48" xfId="491" applyNumberFormat="1" applyFont="1" applyFill="1" applyBorder="1" applyAlignment="1" applyProtection="1">
      <alignment horizontal="right" vertical="center"/>
      <protection locked="0"/>
    </xf>
    <xf numFmtId="178" fontId="78" fillId="6" borderId="0" xfId="491" applyNumberFormat="1" applyFont="1" applyFill="1" applyBorder="1" applyAlignment="1" applyProtection="1">
      <alignment horizontal="right" vertical="center"/>
      <protection locked="0"/>
    </xf>
    <xf numFmtId="178" fontId="79" fillId="6" borderId="0" xfId="491" applyNumberFormat="1" applyFont="1" applyFill="1" applyBorder="1" applyAlignment="1" applyProtection="1">
      <alignment horizontal="left" vertical="center"/>
      <protection locked="0"/>
    </xf>
    <xf numFmtId="178" fontId="78" fillId="6" borderId="0" xfId="491" applyNumberFormat="1" applyFont="1" applyFill="1" applyBorder="1" applyAlignment="1" applyProtection="1">
      <alignment horizontal="left" vertical="center"/>
      <protection locked="0"/>
    </xf>
    <xf numFmtId="178" fontId="78" fillId="6" borderId="0" xfId="144" applyNumberFormat="1" applyFont="1" applyFill="1" applyBorder="1" applyAlignment="1">
      <alignment horizontal="left" vertical="center"/>
    </xf>
    <xf numFmtId="178" fontId="79" fillId="6" borderId="0" xfId="491" applyNumberFormat="1" applyFont="1" applyFill="1" applyBorder="1" applyAlignment="1" applyProtection="1">
      <alignment horizontal="right" vertical="center"/>
      <protection locked="0"/>
    </xf>
    <xf numFmtId="178" fontId="78" fillId="6" borderId="0" xfId="144" applyNumberFormat="1" applyFont="1" applyFill="1" applyBorder="1" applyAlignment="1">
      <alignment horizontal="left" vertical="center" wrapText="1"/>
    </xf>
    <xf numFmtId="49" fontId="80" fillId="12" borderId="0" xfId="491" applyNumberFormat="1" applyFont="1" applyFill="1" applyBorder="1" applyAlignment="1" applyProtection="1">
      <alignment horizontal="left" vertical="center"/>
      <protection locked="0"/>
    </xf>
    <xf numFmtId="0" fontId="81" fillId="12" borderId="0" xfId="0" applyFont="1" applyFill="1" applyBorder="1" applyAlignment="1">
      <alignment horizontal="left" vertical="center"/>
    </xf>
    <xf numFmtId="0" fontId="82" fillId="12" borderId="0" xfId="0" applyFont="1" applyFill="1" applyAlignment="1">
      <alignment vertical="center"/>
    </xf>
    <xf numFmtId="49" fontId="74" fillId="12" borderId="0" xfId="490" applyNumberFormat="1" applyFont="1" applyFill="1" applyBorder="1" applyAlignment="1" applyProtection="1">
      <alignment horizontal="left" vertical="center"/>
      <protection locked="0"/>
    </xf>
    <xf numFmtId="49" fontId="67" fillId="12" borderId="0" xfId="491" applyNumberFormat="1" applyFont="1" applyFill="1" applyBorder="1" applyAlignment="1" applyProtection="1">
      <alignment horizontal="left" vertical="center"/>
      <protection locked="0"/>
    </xf>
    <xf numFmtId="49" fontId="20" fillId="12" borderId="0" xfId="491" applyNumberFormat="1" applyFont="1" applyFill="1" applyBorder="1" applyAlignment="1" applyProtection="1">
      <alignment horizontal="left" vertical="center"/>
      <protection locked="0"/>
    </xf>
    <xf numFmtId="49" fontId="68" fillId="12" borderId="0" xfId="490" applyNumberFormat="1" applyFont="1" applyFill="1" applyBorder="1" applyAlignment="1" applyProtection="1">
      <alignment horizontal="left" vertical="center"/>
      <protection locked="0"/>
    </xf>
    <xf numFmtId="49" fontId="26" fillId="12" borderId="0" xfId="490" applyNumberFormat="1" applyFont="1" applyFill="1" applyBorder="1" applyAlignment="1" applyProtection="1">
      <alignment horizontal="left" vertical="center"/>
      <protection locked="0"/>
    </xf>
    <xf numFmtId="0" fontId="14" fillId="12" borderId="0" xfId="0" applyFont="1" applyFill="1" applyAlignment="1">
      <alignment horizontal="left" vertical="center" wrapText="1"/>
    </xf>
    <xf numFmtId="49" fontId="43" fillId="0" borderId="7" xfId="0" applyNumberFormat="1" applyFont="1" applyFill="1" applyBorder="1" applyAlignment="1" quotePrefix="1">
      <alignment horizontal="center" vertical="center"/>
    </xf>
    <xf numFmtId="49" fontId="47" fillId="0" borderId="7" xfId="0" applyNumberFormat="1" applyFont="1" applyFill="1" applyBorder="1" applyAlignment="1" quotePrefix="1">
      <alignment horizontal="center" vertical="center"/>
    </xf>
    <xf numFmtId="0" fontId="15" fillId="0" borderId="7" xfId="311" applyFont="1" applyFill="1" applyBorder="1" applyAlignment="1" quotePrefix="1">
      <alignment horizontal="center" vertical="center" wrapText="1"/>
    </xf>
    <xf numFmtId="49" fontId="29" fillId="0" borderId="7" xfId="0" applyNumberFormat="1" applyFont="1" applyFill="1" applyBorder="1" applyAlignment="1" quotePrefix="1">
      <alignment vertical="center"/>
    </xf>
  </cellXfs>
  <cellStyles count="494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常规 9 2" xfId="192"/>
    <cellStyle name="40% - 强调文字颜色 1 3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常规 25" xfId="210"/>
    <cellStyle name="40% - 强调文字颜色 3 3 2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标题 1 2" xfId="297"/>
    <cellStyle name="标题 1 2 2" xfId="298"/>
    <cellStyle name="标题 1 2 3" xfId="299"/>
    <cellStyle name="标题 1 3" xfId="300"/>
    <cellStyle name="标题 1 3 2" xfId="301"/>
    <cellStyle name="汇总 3" xfId="302"/>
    <cellStyle name="标题 1 4" xfId="303"/>
    <cellStyle name="标题 1 5" xfId="304"/>
    <cellStyle name="标题 2 2" xfId="305"/>
    <cellStyle name="标题 2 2 2" xfId="306"/>
    <cellStyle name="标题 2 2 3" xfId="307"/>
    <cellStyle name="好 3 2" xfId="308"/>
    <cellStyle name="标题 2 3" xfId="309"/>
    <cellStyle name="标题 2 3 2" xfId="310"/>
    <cellStyle name="常规 11" xfId="311"/>
    <cellStyle name="标题 2 4" xfId="312"/>
    <cellStyle name="标题 2 5" xfId="313"/>
    <cellStyle name="标题 3 2" xfId="314"/>
    <cellStyle name="标题 3 2 2" xfId="315"/>
    <cellStyle name="好 5" xfId="316"/>
    <cellStyle name="标题 3 2 3" xfId="317"/>
    <cellStyle name="标题 3 3" xfId="318"/>
    <cellStyle name="标题 3 3 2" xfId="319"/>
    <cellStyle name="样式 1" xfId="320"/>
    <cellStyle name="标题 3 4" xfId="321"/>
    <cellStyle name="标题 3 5" xfId="322"/>
    <cellStyle name="标题 4 2" xfId="323"/>
    <cellStyle name="千位分隔 3" xfId="324"/>
    <cellStyle name="标题 4 2 3" xfId="325"/>
    <cellStyle name="标题 4 3" xfId="326"/>
    <cellStyle name="汇总 2 2" xfId="327"/>
    <cellStyle name="标题 4 3 2" xfId="328"/>
    <cellStyle name="汇总 2 2 2" xfId="329"/>
    <cellStyle name="标题 5" xfId="330"/>
    <cellStyle name="解释性文本 2 3" xfId="331"/>
    <cellStyle name="标题 5 2" xfId="332"/>
    <cellStyle name="强调文字颜色 1 4" xfId="333"/>
    <cellStyle name="标题 5 3" xfId="334"/>
    <cellStyle name="汇总 3 2" xfId="335"/>
    <cellStyle name="强调文字颜色 1 5" xfId="336"/>
    <cellStyle name="标题 6" xfId="337"/>
    <cellStyle name="标题 6 2" xfId="338"/>
    <cellStyle name="强调文字颜色 2 4" xfId="339"/>
    <cellStyle name="标题 7" xfId="340"/>
    <cellStyle name="注释 2 4 2" xfId="341"/>
    <cellStyle name="标题 8" xfId="342"/>
    <cellStyle name="差 2" xfId="343"/>
    <cellStyle name="解释性文本 5" xfId="344"/>
    <cellStyle name="差 2 2" xfId="345"/>
    <cellStyle name="差 3" xfId="346"/>
    <cellStyle name="差 3 2" xfId="347"/>
    <cellStyle name="常规 11 2" xfId="348"/>
    <cellStyle name="常规 11 3" xfId="349"/>
    <cellStyle name="常规 2 3 2 2" xfId="350"/>
    <cellStyle name="常规 12" xfId="351"/>
    <cellStyle name="常规 12 2" xfId="352"/>
    <cellStyle name="常规 12 3" xfId="353"/>
    <cellStyle name="常规 14" xfId="354"/>
    <cellStyle name="强调文字颜色 3 3 2" xfId="355"/>
    <cellStyle name="常规 14 2" xfId="356"/>
    <cellStyle name="常规 14 3" xfId="357"/>
    <cellStyle name="常规 2" xfId="358"/>
    <cellStyle name="常规 2 2" xfId="359"/>
    <cellStyle name="常规 2 2 2" xfId="360"/>
    <cellStyle name="常规 2 2 2 2" xfId="361"/>
    <cellStyle name="常规 2 2 3" xfId="362"/>
    <cellStyle name="常规 2 3" xfId="363"/>
    <cellStyle name="输入 3 2" xfId="364"/>
    <cellStyle name="常规 2 3 2" xfId="365"/>
    <cellStyle name="输入 3 2 2" xfId="366"/>
    <cellStyle name="常规_全国客服表格" xfId="367"/>
    <cellStyle name="常规 2 3 3" xfId="368"/>
    <cellStyle name="常规 2 3 4" xfId="369"/>
    <cellStyle name="常规 2 4" xfId="370"/>
    <cellStyle name="输入 3 3" xfId="371"/>
    <cellStyle name="常规 2 4 2" xfId="372"/>
    <cellStyle name="常规 2 5" xfId="373"/>
    <cellStyle name="强调文字颜色 4 2" xfId="374"/>
    <cellStyle name="常规 2 5 2" xfId="375"/>
    <cellStyle name="强调文字颜色 4 2 2" xfId="376"/>
    <cellStyle name="常规 2 6" xfId="377"/>
    <cellStyle name="强调文字颜色 4 3" xfId="378"/>
    <cellStyle name="常规 2 6 2" xfId="379"/>
    <cellStyle name="强调文字颜色 4 3 2" xfId="380"/>
    <cellStyle name="常规 2 6 2 2" xfId="381"/>
    <cellStyle name="常规 27" xfId="382"/>
    <cellStyle name="常规 3 2 2" xfId="383"/>
    <cellStyle name="适中 4" xfId="384"/>
    <cellStyle name="常规 3 3 2" xfId="385"/>
    <cellStyle name="常规 3 3 3" xfId="386"/>
    <cellStyle name="常规 3 4" xfId="387"/>
    <cellStyle name="常规 3 4 2" xfId="388"/>
    <cellStyle name="常规 3 5" xfId="389"/>
    <cellStyle name="强调文字颜色 5 2" xfId="390"/>
    <cellStyle name="常规 3 5 2" xfId="391"/>
    <cellStyle name="强调文字颜色 5 2 2" xfId="392"/>
    <cellStyle name="常规 4 2 2" xfId="393"/>
    <cellStyle name="常规 4 4" xfId="394"/>
    <cellStyle name="常规 4 3" xfId="395"/>
    <cellStyle name="输入 5 2" xfId="396"/>
    <cellStyle name="常规 7 2" xfId="397"/>
    <cellStyle name="常规 8 4" xfId="398"/>
    <cellStyle name="强调文字颜色 6 3 2" xfId="399"/>
    <cellStyle name="常规 9" xfId="400"/>
    <cellStyle name="常规_付款通知书智联（神数系统）" xfId="401"/>
    <cellStyle name="警告文本 2" xfId="402"/>
    <cellStyle name="注释 5 2" xfId="403"/>
    <cellStyle name="好 2 2" xfId="404"/>
    <cellStyle name="好 3" xfId="405"/>
    <cellStyle name="好 4" xfId="406"/>
    <cellStyle name="汇总 2" xfId="407"/>
    <cellStyle name="汇总 2 3 2" xfId="408"/>
    <cellStyle name="检查单元格 2 2" xfId="409"/>
    <cellStyle name="汇总 4" xfId="410"/>
    <cellStyle name="汇总 5" xfId="411"/>
    <cellStyle name="汇总 5 2" xfId="412"/>
    <cellStyle name="强调文字颜色 3 5" xfId="413"/>
    <cellStyle name="常规_Sheet1" xfId="414"/>
    <cellStyle name="检查单元格 2 3" xfId="415"/>
    <cellStyle name="检查单元格 4" xfId="416"/>
    <cellStyle name="检查单元格 5" xfId="417"/>
    <cellStyle name="解释性文本 2" xfId="418"/>
    <cellStyle name="解释性文本 3 2" xfId="419"/>
    <cellStyle name="解释性文本 4" xfId="420"/>
    <cellStyle name="警告文本 3" xfId="421"/>
    <cellStyle name="注释 5 3" xfId="422"/>
    <cellStyle name="警告文本 4" xfId="423"/>
    <cellStyle name="警告文本 5" xfId="424"/>
    <cellStyle name="链接单元格 2" xfId="425"/>
    <cellStyle name="注释 2 3 2" xfId="426"/>
    <cellStyle name="链接单元格 2 2" xfId="427"/>
    <cellStyle name="注释 2 3 2 2" xfId="428"/>
    <cellStyle name="链接单元格 2 3" xfId="429"/>
    <cellStyle name="千位分隔 2" xfId="430"/>
    <cellStyle name="千位分隔 2 2" xfId="431"/>
    <cellStyle name="强调文字颜色 1 2" xfId="432"/>
    <cellStyle name="强调文字颜色 1 2 2" xfId="433"/>
    <cellStyle name="强调文字颜色 1 3" xfId="434"/>
    <cellStyle name="强调文字颜色 1 3 2" xfId="435"/>
    <cellStyle name="强调文字颜色 2 2" xfId="436"/>
    <cellStyle name="强调文字颜色 2 2 2" xfId="437"/>
    <cellStyle name="强调文字颜色 2 3" xfId="438"/>
    <cellStyle name="强调文字颜色 3 2" xfId="439"/>
    <cellStyle name="输入 2 4" xfId="440"/>
    <cellStyle name="强调文字颜色 3 3" xfId="441"/>
    <cellStyle name="强调文字颜色 3 4" xfId="442"/>
    <cellStyle name="强调文字颜色 4 4" xfId="443"/>
    <cellStyle name="强调文字颜色 4 5" xfId="444"/>
    <cellStyle name="输入 2" xfId="445"/>
    <cellStyle name="强调文字颜色 5 3" xfId="446"/>
    <cellStyle name="强调文字颜色 5 3 2" xfId="447"/>
    <cellStyle name="强调文字颜色 5 4" xfId="448"/>
    <cellStyle name="强调文字颜色 6 2" xfId="449"/>
    <cellStyle name="强调文字颜色 6 2 2" xfId="450"/>
    <cellStyle name="强调文字颜色 6 2 3" xfId="451"/>
    <cellStyle name="强调文字颜色 6 3" xfId="452"/>
    <cellStyle name="强调文字颜色 6 4" xfId="453"/>
    <cellStyle name="强调文字颜色 6 5" xfId="454"/>
    <cellStyle name="适中 3" xfId="455"/>
    <cellStyle name="适中 3 2" xfId="456"/>
    <cellStyle name="适中 5" xfId="457"/>
    <cellStyle name="输出 2 2 2 2" xfId="458"/>
    <cellStyle name="输出 2 3 2 2" xfId="459"/>
    <cellStyle name="输出 2 3 3" xfId="460"/>
    <cellStyle name="输出 3 2 2 2" xfId="461"/>
    <cellStyle name="输入 2 2" xfId="462"/>
    <cellStyle name="样式 2 4" xfId="463"/>
    <cellStyle name="输入 2 3" xfId="464"/>
    <cellStyle name="样式 2 5" xfId="465"/>
    <cellStyle name="输入 3" xfId="466"/>
    <cellStyle name="输入 4" xfId="467"/>
    <cellStyle name="输入 5" xfId="468"/>
    <cellStyle name="样式 1 2" xfId="469"/>
    <cellStyle name="样式 2" xfId="470"/>
    <cellStyle name="样式 2 2" xfId="471"/>
    <cellStyle name="样式 2 3" xfId="472"/>
    <cellStyle name="注释 2 2" xfId="473"/>
    <cellStyle name="注释 2 2 2" xfId="474"/>
    <cellStyle name="注释 2 2 2 2" xfId="475"/>
    <cellStyle name="注释 2 2 3" xfId="476"/>
    <cellStyle name="注释 2 4" xfId="477"/>
    <cellStyle name="注释 2 5" xfId="478"/>
    <cellStyle name="注释 3" xfId="479"/>
    <cellStyle name="注释 3 2" xfId="480"/>
    <cellStyle name="注释 3 3" xfId="481"/>
    <cellStyle name="注释 3 3 2" xfId="482"/>
    <cellStyle name="注释 3 4" xfId="483"/>
    <cellStyle name="注释 4" xfId="484"/>
    <cellStyle name="注释 4 2" xfId="485"/>
    <cellStyle name="注释 4 2 2" xfId="486"/>
    <cellStyle name="注释 4 3" xfId="487"/>
    <cellStyle name="常规_0705 UL South CS meeting (chonghua)" xfId="488"/>
    <cellStyle name="㼿㼿㼿㼿㼿" xfId="489"/>
    <cellStyle name="㼿㼿㼿㼿㼿㼿㼿" xfId="490"/>
    <cellStyle name="㼿㼿㼿㼿? 2" xfId="491"/>
    <cellStyle name="常规 10" xfId="492"/>
    <cellStyle name="百分比 2 3" xfId="493"/>
  </cellStyles>
  <dxfs count="5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H23" sqref="H23"/>
    </sheetView>
  </sheetViews>
  <sheetFormatPr defaultColWidth="9" defaultRowHeight="13.5"/>
  <cols>
    <col min="1" max="2" width="9" style="252"/>
    <col min="3" max="3" width="10.75" style="252" customWidth="1"/>
    <col min="4" max="4" width="16.75" style="252" customWidth="1"/>
    <col min="5" max="5" width="11.75" style="252" customWidth="1"/>
    <col min="6" max="6" width="9" style="252"/>
    <col min="7" max="7" width="10.75" style="252" customWidth="1"/>
    <col min="8" max="12" width="9" style="252"/>
    <col min="13" max="13" width="9.5" style="252" customWidth="1"/>
    <col min="14" max="14" width="16.5" style="252" customWidth="1"/>
    <col min="15" max="16384" width="9" style="252"/>
  </cols>
  <sheetData>
    <row r="1" s="252" customFormat="1" ht="25.5" spans="1:14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="252" customFormat="1" ht="14.25" spans="1:14">
      <c r="A2" s="254"/>
      <c r="B2" s="255"/>
      <c r="C2" s="255"/>
      <c r="D2" s="256"/>
      <c r="E2" s="256"/>
      <c r="F2" s="256"/>
      <c r="G2" s="254"/>
      <c r="H2" s="254"/>
      <c r="I2" s="254"/>
      <c r="J2" s="256"/>
      <c r="K2" s="256"/>
      <c r="L2" s="256"/>
      <c r="M2" s="256"/>
      <c r="N2" s="256"/>
    </row>
    <row r="3" s="252" customFormat="1" spans="1:14">
      <c r="A3" s="257"/>
      <c r="B3" s="258"/>
      <c r="C3" s="259"/>
      <c r="D3" s="260"/>
      <c r="E3" s="261"/>
      <c r="F3" s="261"/>
      <c r="G3" s="262"/>
      <c r="H3" s="263"/>
      <c r="I3" s="258"/>
      <c r="J3" s="259"/>
      <c r="K3" s="260"/>
      <c r="L3" s="331"/>
      <c r="M3" s="256"/>
      <c r="N3" s="256"/>
    </row>
    <row r="4" s="252" customFormat="1" spans="1:14">
      <c r="A4" s="257"/>
      <c r="B4" s="264" t="s">
        <v>1</v>
      </c>
      <c r="C4" s="264"/>
      <c r="D4" s="264"/>
      <c r="E4" s="264"/>
      <c r="F4" s="265"/>
      <c r="G4" s="264"/>
      <c r="H4" s="263"/>
      <c r="K4" s="256"/>
      <c r="L4" s="332"/>
      <c r="M4" s="333"/>
      <c r="N4" s="256"/>
    </row>
    <row r="5" s="252" customFormat="1" spans="1:14">
      <c r="A5" s="266"/>
      <c r="B5" s="267" t="s">
        <v>2</v>
      </c>
      <c r="C5" s="260"/>
      <c r="D5" s="260"/>
      <c r="E5" s="260"/>
      <c r="F5" s="260"/>
      <c r="G5" s="260"/>
      <c r="H5" s="268"/>
      <c r="I5" s="263"/>
      <c r="J5" s="258"/>
      <c r="K5" s="259"/>
      <c r="L5" s="331"/>
      <c r="M5" s="256"/>
      <c r="N5" s="256"/>
    </row>
    <row r="6" s="252" customFormat="1" ht="9.75" customHeight="1" spans="1:14">
      <c r="A6" s="269"/>
      <c r="B6" s="269"/>
      <c r="C6" s="269"/>
      <c r="D6" s="269"/>
      <c r="E6" s="269"/>
      <c r="F6" s="269"/>
      <c r="G6" s="269"/>
      <c r="H6" s="269"/>
      <c r="I6" s="334"/>
      <c r="J6" s="334"/>
      <c r="K6" s="335"/>
      <c r="L6" s="335"/>
      <c r="M6" s="335"/>
      <c r="N6" s="335"/>
    </row>
    <row r="7" s="252" customFormat="1" ht="17.25" spans="1:14">
      <c r="A7" s="269"/>
      <c r="B7" s="270" t="s">
        <v>3</v>
      </c>
      <c r="C7" s="271"/>
      <c r="D7" s="271"/>
      <c r="E7" s="271"/>
      <c r="F7" s="271"/>
      <c r="G7" s="271"/>
      <c r="H7" s="271"/>
      <c r="I7" s="336" t="s">
        <v>4</v>
      </c>
      <c r="J7" s="337"/>
      <c r="K7" s="338"/>
      <c r="L7" s="339"/>
      <c r="M7" s="339"/>
      <c r="N7" s="339"/>
    </row>
    <row r="8" s="252" customFormat="1" ht="16.5" spans="1:14">
      <c r="A8" s="269"/>
      <c r="B8" s="272" t="s">
        <v>5</v>
      </c>
      <c r="C8" s="273"/>
      <c r="D8" s="273"/>
      <c r="E8" s="274">
        <f>D10</f>
        <v>12627</v>
      </c>
      <c r="F8" s="275"/>
      <c r="G8" s="275"/>
      <c r="H8" s="276"/>
      <c r="I8" s="338"/>
      <c r="J8" s="339" t="s">
        <v>6</v>
      </c>
      <c r="K8" s="339"/>
      <c r="L8" s="339"/>
      <c r="M8" s="339"/>
      <c r="N8" s="339"/>
    </row>
    <row r="9" s="252" customFormat="1" ht="15.75" spans="1:14">
      <c r="A9" s="269"/>
      <c r="B9" s="277" t="s">
        <v>7</v>
      </c>
      <c r="C9" s="278"/>
      <c r="D9" s="278"/>
      <c r="E9" s="279">
        <f>G24</f>
        <v>12627</v>
      </c>
      <c r="F9" s="280"/>
      <c r="G9" s="280"/>
      <c r="H9" s="281"/>
      <c r="I9" s="339"/>
      <c r="J9" s="340" t="s">
        <v>8</v>
      </c>
      <c r="K9" s="340"/>
      <c r="L9" s="340"/>
      <c r="M9" s="340"/>
      <c r="N9" s="340"/>
    </row>
    <row r="10" s="252" customFormat="1" ht="17.25" spans="1:14">
      <c r="A10" s="269"/>
      <c r="B10" s="282" t="s">
        <v>9</v>
      </c>
      <c r="C10" s="283"/>
      <c r="D10" s="284">
        <f>G24</f>
        <v>12627</v>
      </c>
      <c r="E10" s="285" t="s">
        <v>10</v>
      </c>
      <c r="F10" s="286"/>
      <c r="G10" s="287"/>
      <c r="H10" s="288">
        <v>0</v>
      </c>
      <c r="I10" s="341"/>
      <c r="J10" s="342" t="s">
        <v>11</v>
      </c>
      <c r="K10" s="342"/>
      <c r="L10" s="342"/>
      <c r="M10" s="342"/>
      <c r="N10" s="342"/>
    </row>
    <row r="11" s="252" customFormat="1" ht="14.25" spans="1:14">
      <c r="A11" s="269"/>
      <c r="B11" s="289" t="s">
        <v>12</v>
      </c>
      <c r="C11" s="290"/>
      <c r="D11" s="291"/>
      <c r="E11" s="292" t="s">
        <v>13</v>
      </c>
      <c r="F11" s="293"/>
      <c r="G11" s="294"/>
      <c r="H11" s="295"/>
      <c r="I11" s="343"/>
      <c r="J11" s="344"/>
      <c r="K11" s="343"/>
      <c r="L11" s="343"/>
      <c r="M11" s="343"/>
      <c r="N11" s="345"/>
    </row>
    <row r="12" s="252" customFormat="1" spans="1:14">
      <c r="A12" s="266"/>
      <c r="B12" s="289" t="s">
        <v>14</v>
      </c>
      <c r="C12" s="290"/>
      <c r="D12" s="291">
        <v>0</v>
      </c>
      <c r="E12" s="292" t="s">
        <v>15</v>
      </c>
      <c r="F12" s="293"/>
      <c r="G12" s="294"/>
      <c r="H12" s="295"/>
      <c r="I12" s="346"/>
      <c r="J12" s="347"/>
      <c r="K12" s="348"/>
      <c r="L12" s="348"/>
      <c r="M12" s="348"/>
      <c r="N12" s="348"/>
    </row>
    <row r="13" s="252" customFormat="1" ht="14.25" spans="1:14">
      <c r="A13" s="256"/>
      <c r="B13" s="296" t="s">
        <v>16</v>
      </c>
      <c r="C13" s="297"/>
      <c r="D13" s="298">
        <v>0</v>
      </c>
      <c r="E13" s="299"/>
      <c r="F13" s="300"/>
      <c r="G13" s="301"/>
      <c r="H13" s="302"/>
      <c r="I13" s="269"/>
      <c r="J13" s="349"/>
      <c r="K13" s="350"/>
      <c r="L13" s="350"/>
      <c r="M13" s="350"/>
      <c r="N13" s="350"/>
    </row>
    <row r="14" s="252" customFormat="1" ht="5.25" customHeight="1" spans="1:14">
      <c r="A14" s="303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</row>
    <row r="15" s="252" customFormat="1" spans="1:14">
      <c r="A15" s="256" t="s">
        <v>17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</row>
    <row r="16" s="252" customFormat="1" ht="3" customHeight="1" spans="1:14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</row>
    <row r="17" s="252" customFormat="1" ht="18.75" spans="2:13">
      <c r="B17" s="304" t="s">
        <v>18</v>
      </c>
      <c r="C17" s="305" t="s">
        <v>19</v>
      </c>
      <c r="D17" s="305" t="s">
        <v>20</v>
      </c>
      <c r="E17" s="305"/>
      <c r="F17" s="306" t="s">
        <v>21</v>
      </c>
      <c r="G17" s="307" t="s">
        <v>22</v>
      </c>
      <c r="H17" s="308" t="s">
        <v>23</v>
      </c>
      <c r="J17" s="351" t="s">
        <v>24</v>
      </c>
      <c r="K17" s="351"/>
      <c r="L17" s="351"/>
      <c r="M17" s="351"/>
    </row>
    <row r="18" s="252" customFormat="1" ht="16.5" spans="2:13">
      <c r="B18" s="309">
        <v>1</v>
      </c>
      <c r="C18" s="310" t="s">
        <v>25</v>
      </c>
      <c r="D18" s="311" t="s">
        <v>26</v>
      </c>
      <c r="E18" s="311"/>
      <c r="F18" s="312"/>
      <c r="G18" s="313">
        <f>'（居民）工资表-3月'!E11</f>
        <v>12627</v>
      </c>
      <c r="H18" s="314"/>
      <c r="J18" s="351"/>
      <c r="K18" s="351"/>
      <c r="L18" s="351"/>
      <c r="M18" s="351"/>
    </row>
    <row r="19" s="252" customFormat="1" ht="16.5" spans="2:13">
      <c r="B19" s="309">
        <v>2</v>
      </c>
      <c r="C19" s="310"/>
      <c r="D19" s="315" t="s">
        <v>27</v>
      </c>
      <c r="E19" s="316" t="s">
        <v>28</v>
      </c>
      <c r="F19" s="312"/>
      <c r="G19" s="313"/>
      <c r="H19" s="317"/>
      <c r="J19" s="351"/>
      <c r="K19" s="351"/>
      <c r="L19" s="351"/>
      <c r="M19" s="351"/>
    </row>
    <row r="20" s="252" customFormat="1" ht="16.5" spans="2:13">
      <c r="B20" s="309">
        <v>3</v>
      </c>
      <c r="C20" s="310"/>
      <c r="D20" s="315" t="s">
        <v>29</v>
      </c>
      <c r="E20" s="316" t="s">
        <v>28</v>
      </c>
      <c r="F20" s="312"/>
      <c r="G20" s="313"/>
      <c r="H20" s="317"/>
      <c r="J20" s="351"/>
      <c r="K20" s="351"/>
      <c r="L20" s="351"/>
      <c r="M20" s="351"/>
    </row>
    <row r="21" s="252" customFormat="1" ht="16.5" spans="2:13">
      <c r="B21" s="309">
        <v>6</v>
      </c>
      <c r="C21" s="310"/>
      <c r="D21" s="318" t="s">
        <v>30</v>
      </c>
      <c r="E21" s="318"/>
      <c r="F21" s="312"/>
      <c r="G21" s="319">
        <f>G18</f>
        <v>12627</v>
      </c>
      <c r="H21" s="320"/>
      <c r="J21" s="351"/>
      <c r="K21" s="351"/>
      <c r="L21" s="351"/>
      <c r="M21" s="351"/>
    </row>
    <row r="22" s="252" customFormat="1" ht="16.5" spans="2:13">
      <c r="B22" s="309">
        <v>7</v>
      </c>
      <c r="C22" s="310" t="s">
        <v>31</v>
      </c>
      <c r="D22" s="318" t="s">
        <v>32</v>
      </c>
      <c r="E22" s="318"/>
      <c r="F22" s="312"/>
      <c r="G22" s="319"/>
      <c r="H22" s="314"/>
      <c r="J22" s="351"/>
      <c r="K22" s="351"/>
      <c r="L22" s="351"/>
      <c r="M22" s="351"/>
    </row>
    <row r="23" s="252" customFormat="1" ht="18" customHeight="1" spans="2:13">
      <c r="B23" s="309">
        <v>8</v>
      </c>
      <c r="C23" s="321" t="s">
        <v>33</v>
      </c>
      <c r="D23" s="322">
        <v>0.056</v>
      </c>
      <c r="E23" s="322"/>
      <c r="F23" s="322"/>
      <c r="G23" s="319"/>
      <c r="H23" s="314"/>
      <c r="J23" s="351"/>
      <c r="K23" s="351"/>
      <c r="L23" s="351"/>
      <c r="M23" s="351"/>
    </row>
    <row r="24" s="252" customFormat="1" ht="16.5" spans="2:8">
      <c r="B24" s="323" t="s">
        <v>34</v>
      </c>
      <c r="C24" s="324"/>
      <c r="D24" s="324"/>
      <c r="E24" s="324"/>
      <c r="F24" s="324"/>
      <c r="G24" s="325">
        <f>G21+G22</f>
        <v>12627</v>
      </c>
      <c r="H24" s="326"/>
    </row>
    <row r="25" s="252" customFormat="1" ht="16" customHeight="1" spans="2:8">
      <c r="B25" s="327" t="s">
        <v>35</v>
      </c>
      <c r="C25" s="328"/>
      <c r="D25" s="328"/>
      <c r="E25" s="328"/>
      <c r="F25" s="328"/>
      <c r="G25" s="329">
        <f>G24</f>
        <v>12627</v>
      </c>
      <c r="H25" s="330"/>
    </row>
    <row r="26" s="252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</f>
        <v>13980</v>
      </c>
      <c r="T4" s="98">
        <v>5000</v>
      </c>
      <c r="U4" s="98">
        <f>Q4</f>
        <v>1353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</f>
        <v>0</v>
      </c>
      <c r="AD4" s="100">
        <f>ROUND(S4-T4-U4-AB4-AC4,2)</f>
        <v>7627</v>
      </c>
      <c r="AE4" s="101">
        <f>ROUND(MAX((AD4)*{0.03;0.1;0.2;0.25;0.3;0.35;0.45}-{0;2520;16920;31920;52920;85920;181920},0),2)</f>
        <v>228.81</v>
      </c>
      <c r="AF4" s="102">
        <v>0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 t="shared" ref="L5:AL5" si="0">SUM(L4:L4)</f>
        <v>13980</v>
      </c>
      <c r="M5" s="81">
        <f t="shared" si="0"/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13980</v>
      </c>
      <c r="T5" s="81">
        <f t="shared" si="0"/>
        <v>5000</v>
      </c>
      <c r="U5" s="81">
        <f t="shared" si="0"/>
        <v>1353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7627</v>
      </c>
      <c r="AE5" s="81">
        <f t="shared" si="0"/>
        <v>228.81</v>
      </c>
      <c r="AF5" s="81">
        <f t="shared" si="0"/>
        <v>0</v>
      </c>
      <c r="AG5" s="81">
        <f t="shared" si="0"/>
        <v>228.81</v>
      </c>
      <c r="AH5" s="81">
        <f t="shared" si="0"/>
        <v>12398.19</v>
      </c>
      <c r="AI5" s="138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10" stopIfTrue="1"/>
  </conditionalFormatting>
  <conditionalFormatting sqref="B12:B16">
    <cfRule type="duplicateValues" dxfId="3" priority="1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17" stopIfTrue="1"/>
    <cfRule type="expression" dxfId="4" priority="19" stopIfTrue="1">
      <formula>AND(COUNTIF($B$5:$B$65441,C9)+COUNTIF($B$1:$B$3,C9)&gt;1,NOT(ISBLANK(C9)))</formula>
    </cfRule>
    <cfRule type="expression" dxfId="4" priority="21" stopIfTrue="1">
      <formula>AND(COUNTIF($B$16:$B$65392,C9)+COUNTIF($B$1:$B$15,C9)&gt;1,NOT(ISBLANK(C9)))</formula>
    </cfRule>
    <cfRule type="expression" dxfId="4" priority="23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L4+IFERROR(VLOOKUP($E:$E,'（居民）工资表-11月'!$E:$S,15,0),0)</f>
        <v>41940</v>
      </c>
      <c r="T4" s="98">
        <f>5000+IFERROR(VLOOKUP($E:$E,'（居民）工资表-11月'!$E:$T,16,0),0)</f>
        <v>15000</v>
      </c>
      <c r="U4" s="98">
        <f>Q4+IFERROR(VLOOKUP($E:$E,'（居民）工资表-11月'!$E:$U,17,0),0)</f>
        <v>4059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R4+IFERROR(VLOOKUP($E:$E,'（居民）工资表-11月'!$E:$AC,25,0),0)</f>
        <v>0</v>
      </c>
      <c r="AD4" s="100">
        <f>ROUND(S4-T4-U4-AB4-AC4,2)</f>
        <v>22881</v>
      </c>
      <c r="AE4" s="101">
        <f>ROUND(MAX((AD4)*{0.03;0.1;0.2;0.25;0.3;0.35;0.45}-{0;2520;16920;31920;52920;85920;181920},0),2)</f>
        <v>686.43</v>
      </c>
      <c r="AF4" s="102">
        <f>IFERROR(VLOOKUP(E:E,'（居民）工资表-11月'!E:AF,28,0)+VLOOKUP(E:E,'（居民）工资表-11月'!E:AG,29,0),0)</f>
        <v>457.62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 t="shared" ref="L5:AL5" si="0">SUM(L4:L4)</f>
        <v>13980</v>
      </c>
      <c r="M5" s="81">
        <f t="shared" si="0"/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41940</v>
      </c>
      <c r="T5" s="81">
        <f t="shared" si="0"/>
        <v>15000</v>
      </c>
      <c r="U5" s="81">
        <f t="shared" si="0"/>
        <v>4059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22881</v>
      </c>
      <c r="AE5" s="81">
        <f t="shared" si="0"/>
        <v>686.43</v>
      </c>
      <c r="AF5" s="81">
        <f t="shared" si="0"/>
        <v>457.62</v>
      </c>
      <c r="AG5" s="81">
        <f t="shared" si="0"/>
        <v>228.81</v>
      </c>
      <c r="AH5" s="81">
        <f t="shared" si="0"/>
        <v>12398.19</v>
      </c>
      <c r="AI5" s="138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>
        <f>U4/2</f>
        <v>1353</v>
      </c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L4+IFERROR(VLOOKUP($E:$E,'（居民）工资表-1月'!$E:$S,15,0),0)</f>
        <v>27960</v>
      </c>
      <c r="T4" s="98">
        <f>5000+IFERROR(VLOOKUP($E:$E,'（居民）工资表-1月'!$E:$T,16,0),0)</f>
        <v>10000</v>
      </c>
      <c r="U4" s="98">
        <f>Q4+IFERROR(VLOOKUP($E:$E,'（居民）工资表-1月'!$E:$U,17,0),0)</f>
        <v>2706</v>
      </c>
      <c r="V4" s="137"/>
      <c r="W4" s="137">
        <v>4000</v>
      </c>
      <c r="X4" s="137"/>
      <c r="Y4" s="137"/>
      <c r="Z4" s="137"/>
      <c r="AA4" s="137"/>
      <c r="AB4" s="97">
        <f>ROUND(SUM(V4:AA4),2)</f>
        <v>4000</v>
      </c>
      <c r="AC4" s="97">
        <f>R4+IFERROR(VLOOKUP($E:$E,'（居民）工资表-1月'!$E:$AC,25,0),0)</f>
        <v>0</v>
      </c>
      <c r="AD4" s="100">
        <f>ROUND(S4-T4-U4-AB4-AC4,2)</f>
        <v>11254</v>
      </c>
      <c r="AE4" s="101">
        <f>ROUND(MAX((AD4)*{0.03;0.1;0.2;0.25;0.3;0.35;0.45}-{0;2520;16920;31920;52920;85920;181920},0),2)</f>
        <v>337.62</v>
      </c>
      <c r="AF4" s="102">
        <f>IFERROR(VLOOKUP(E:E,'（居民）工资表-1月'!E:AF,28,0)+VLOOKUP(E:E,'（居民）工资表-1月'!E:AG,29,0),0)</f>
        <v>228.81</v>
      </c>
      <c r="AG4" s="102">
        <f>IF((AE4-AF4)&lt;0,0,AE4-AF4)</f>
        <v>108.81</v>
      </c>
      <c r="AH4" s="109">
        <f>ROUND(IF((L4-Q4-AG4)&lt;0,0,(L4-Q4-AG4)),2)</f>
        <v>12518.19</v>
      </c>
      <c r="AI4" s="110"/>
      <c r="AJ4" s="109">
        <f>AH4+AI4</f>
        <v>12518.19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27960</v>
      </c>
      <c r="T5" s="81">
        <f t="shared" si="0"/>
        <v>10000</v>
      </c>
      <c r="U5" s="81">
        <f t="shared" si="0"/>
        <v>2706</v>
      </c>
      <c r="V5" s="81">
        <f t="shared" si="0"/>
        <v>0</v>
      </c>
      <c r="W5" s="81">
        <f t="shared" si="0"/>
        <v>4000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4000</v>
      </c>
      <c r="AC5" s="81">
        <f t="shared" si="0"/>
        <v>0</v>
      </c>
      <c r="AD5" s="81">
        <f t="shared" si="0"/>
        <v>11254</v>
      </c>
      <c r="AE5" s="81">
        <f t="shared" si="0"/>
        <v>337.62</v>
      </c>
      <c r="AF5" s="81">
        <f t="shared" si="0"/>
        <v>228.81</v>
      </c>
      <c r="AG5" s="81">
        <f t="shared" si="0"/>
        <v>108.81</v>
      </c>
      <c r="AH5" s="81">
        <f t="shared" si="0"/>
        <v>12518.19</v>
      </c>
      <c r="AI5" s="81">
        <f t="shared" si="0"/>
        <v>0</v>
      </c>
      <c r="AJ5" s="81">
        <f t="shared" si="0"/>
        <v>12518.19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12518.19</v>
      </c>
      <c r="C10" s="53">
        <f>AG5</f>
        <v>108.81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14" sqref="F1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L4+IFERROR(VLOOKUP($E:$E,'（居民）工资表-2月'!$E:$S,15,0),0)</f>
        <v>41940</v>
      </c>
      <c r="T4" s="98">
        <f>5000+IFERROR(VLOOKUP($E:$E,'（居民）工资表-2月'!$E:$T,16,0),0)</f>
        <v>15000</v>
      </c>
      <c r="U4" s="98">
        <f>Q4+IFERROR(VLOOKUP($E:$E,'（居民）工资表-2月'!$E:$U,17,0),0)</f>
        <v>4059</v>
      </c>
      <c r="V4" s="78"/>
      <c r="W4" s="78">
        <v>6000</v>
      </c>
      <c r="X4" s="78"/>
      <c r="Y4" s="78"/>
      <c r="Z4" s="78"/>
      <c r="AA4" s="78"/>
      <c r="AB4" s="97">
        <f>ROUND(SUM(V4:AA4),2)</f>
        <v>6000</v>
      </c>
      <c r="AC4" s="97">
        <f>R4+IFERROR(VLOOKUP($E:$E,'（居民）工资表-2月'!$E:$AC,25,0),0)</f>
        <v>0</v>
      </c>
      <c r="AD4" s="100">
        <f>ROUND(S4-T4-U4-AB4-AC4,2)</f>
        <v>16881</v>
      </c>
      <c r="AE4" s="101">
        <f>ROUND(MAX((AD4)*{0.03;0.1;0.2;0.25;0.3;0.35;0.45}-{0;2520;16920;31920;52920;85920;181920},0),2)</f>
        <v>506.43</v>
      </c>
      <c r="AF4" s="102">
        <f>IFERROR(VLOOKUP(E:E,'（居民）工资表-2月'!E:AF,28,0)+VLOOKUP(E:E,'（居民）工资表-2月'!E:AG,29,0),0)</f>
        <v>337.62</v>
      </c>
      <c r="AG4" s="102">
        <f>IF((AE4-AF4)&lt;0,0,AE4-AF4)</f>
        <v>168.81</v>
      </c>
      <c r="AH4" s="109">
        <f>ROUND(IF((L4-Q4-AG4)&lt;0,0,(L4-Q4-AG4)),2)</f>
        <v>12458.19</v>
      </c>
      <c r="AI4" s="110"/>
      <c r="AJ4" s="109">
        <f>AH4+AI4</f>
        <v>12458.19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2" customFormat="1" ht="18" customHeight="1" spans="1:46">
      <c r="A5" s="36"/>
      <c r="B5" s="37"/>
      <c r="C5" s="133"/>
      <c r="D5" s="37"/>
      <c r="E5" s="134"/>
      <c r="F5" s="38"/>
      <c r="G5" s="39"/>
      <c r="H5" s="135"/>
      <c r="I5" s="135"/>
      <c r="J5" s="136"/>
      <c r="K5" s="135"/>
      <c r="L5" s="75"/>
      <c r="M5" s="75"/>
      <c r="N5" s="75"/>
      <c r="O5" s="75"/>
      <c r="P5" s="75"/>
      <c r="Q5" s="96"/>
      <c r="R5" s="78"/>
      <c r="S5" s="97"/>
      <c r="T5" s="98"/>
      <c r="U5" s="98"/>
      <c r="V5" s="78"/>
      <c r="W5" s="78"/>
      <c r="X5" s="78"/>
      <c r="Y5" s="78"/>
      <c r="Z5" s="78"/>
      <c r="AA5" s="78"/>
      <c r="AB5" s="97"/>
      <c r="AC5" s="97"/>
      <c r="AD5" s="100"/>
      <c r="AE5" s="101"/>
      <c r="AF5" s="102"/>
      <c r="AG5" s="102"/>
      <c r="AH5" s="109"/>
      <c r="AI5" s="110"/>
      <c r="AJ5" s="109"/>
      <c r="AK5" s="111"/>
      <c r="AL5" s="109"/>
      <c r="AM5" s="111"/>
      <c r="AN5" s="111"/>
      <c r="AO5" s="111"/>
      <c r="AP5" s="111"/>
      <c r="AQ5" s="111"/>
      <c r="AR5" s="117"/>
      <c r="AS5" s="117"/>
      <c r="AT5" s="117"/>
    </row>
    <row r="6" s="13" customFormat="1" ht="18" customHeight="1" spans="1:46">
      <c r="A6" s="46"/>
      <c r="B6" s="47" t="s">
        <v>177</v>
      </c>
      <c r="C6" s="47"/>
      <c r="D6" s="48"/>
      <c r="E6" s="49"/>
      <c r="F6" s="50"/>
      <c r="G6" s="51"/>
      <c r="H6" s="50"/>
      <c r="I6" s="79"/>
      <c r="J6" s="80"/>
      <c r="K6" s="79"/>
      <c r="L6" s="81">
        <f>SUM(L4:L5)</f>
        <v>13980</v>
      </c>
      <c r="M6" s="81">
        <f t="shared" ref="M6:AL6" si="0">SUM(M4:M5)</f>
        <v>480</v>
      </c>
      <c r="N6" s="81">
        <f t="shared" si="0"/>
        <v>123</v>
      </c>
      <c r="O6" s="81">
        <f t="shared" si="0"/>
        <v>30</v>
      </c>
      <c r="P6" s="81">
        <f t="shared" si="0"/>
        <v>720</v>
      </c>
      <c r="Q6" s="81">
        <f t="shared" si="0"/>
        <v>1353</v>
      </c>
      <c r="R6" s="81">
        <f t="shared" si="0"/>
        <v>0</v>
      </c>
      <c r="S6" s="81">
        <f t="shared" si="0"/>
        <v>41940</v>
      </c>
      <c r="T6" s="81">
        <f t="shared" si="0"/>
        <v>15000</v>
      </c>
      <c r="U6" s="81">
        <f t="shared" si="0"/>
        <v>4059</v>
      </c>
      <c r="V6" s="81">
        <f t="shared" si="0"/>
        <v>0</v>
      </c>
      <c r="W6" s="81">
        <f t="shared" si="0"/>
        <v>6000</v>
      </c>
      <c r="X6" s="81">
        <f t="shared" si="0"/>
        <v>0</v>
      </c>
      <c r="Y6" s="81">
        <f t="shared" si="0"/>
        <v>0</v>
      </c>
      <c r="Z6" s="81">
        <f t="shared" si="0"/>
        <v>0</v>
      </c>
      <c r="AA6" s="81">
        <f t="shared" si="0"/>
        <v>0</v>
      </c>
      <c r="AB6" s="81">
        <f t="shared" si="0"/>
        <v>6000</v>
      </c>
      <c r="AC6" s="81">
        <f t="shared" si="0"/>
        <v>0</v>
      </c>
      <c r="AD6" s="81">
        <f t="shared" si="0"/>
        <v>16881</v>
      </c>
      <c r="AE6" s="81">
        <f t="shared" si="0"/>
        <v>506.43</v>
      </c>
      <c r="AF6" s="81">
        <f t="shared" si="0"/>
        <v>337.62</v>
      </c>
      <c r="AG6" s="81">
        <f t="shared" si="0"/>
        <v>168.81</v>
      </c>
      <c r="AH6" s="81">
        <f t="shared" si="0"/>
        <v>12458.19</v>
      </c>
      <c r="AI6" s="81">
        <f t="shared" si="0"/>
        <v>0</v>
      </c>
      <c r="AJ6" s="81">
        <f t="shared" si="0"/>
        <v>12458.19</v>
      </c>
      <c r="AK6" s="81">
        <f t="shared" si="0"/>
        <v>0</v>
      </c>
      <c r="AL6" s="81">
        <f t="shared" si="0"/>
        <v>12627</v>
      </c>
      <c r="AM6" s="112"/>
      <c r="AN6" s="112"/>
      <c r="AO6" s="112"/>
      <c r="AP6" s="112"/>
      <c r="AQ6" s="112"/>
      <c r="AR6" s="50"/>
      <c r="AS6" s="50"/>
      <c r="AT6" s="118"/>
    </row>
    <row r="9" spans="30:30">
      <c r="AD9" s="103"/>
    </row>
    <row r="10" ht="18.75" customHeight="1" spans="2:30">
      <c r="B10" s="52" t="s">
        <v>127</v>
      </c>
      <c r="C10" s="52" t="s">
        <v>178</v>
      </c>
      <c r="D10" s="52" t="s">
        <v>57</v>
      </c>
      <c r="E10" s="52" t="s">
        <v>58</v>
      </c>
      <c r="AD10" s="10"/>
    </row>
    <row r="11" ht="18.75" customHeight="1" spans="2:5">
      <c r="B11" s="53">
        <f>AJ6</f>
        <v>12458.19</v>
      </c>
      <c r="C11" s="53">
        <f>AG6</f>
        <v>168.81</v>
      </c>
      <c r="D11" s="53">
        <f>AK6</f>
        <v>0</v>
      </c>
      <c r="E11" s="53">
        <f>B11+C11+D11</f>
        <v>12627</v>
      </c>
    </row>
    <row r="12" spans="2:5">
      <c r="B12" s="54"/>
      <c r="C12" s="54"/>
      <c r="D12" s="54"/>
      <c r="E12" s="54"/>
    </row>
    <row r="13" s="14" customFormat="1" spans="1:35">
      <c r="A13" s="55" t="s">
        <v>179</v>
      </c>
      <c r="B13" s="56" t="s">
        <v>180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9"/>
      <c r="B14" s="60" t="s">
        <v>181</v>
      </c>
      <c r="C14" s="57"/>
      <c r="D14" s="57"/>
      <c r="E14" s="57"/>
      <c r="G14" s="58"/>
      <c r="J14" s="82"/>
      <c r="M14" s="83"/>
      <c r="AI14" s="113"/>
    </row>
    <row r="15" s="14" customFormat="1" spans="1:35">
      <c r="A15" s="56"/>
      <c r="B15" s="60" t="s">
        <v>182</v>
      </c>
      <c r="C15" s="61"/>
      <c r="D15" s="61"/>
      <c r="E15" s="61"/>
      <c r="F15" s="61"/>
      <c r="G15" s="61"/>
      <c r="H15" s="61"/>
      <c r="I15" s="61"/>
      <c r="J15" s="84"/>
      <c r="K15" s="61"/>
      <c r="L15" s="61"/>
      <c r="M15" s="85"/>
      <c r="N15" s="61"/>
      <c r="O15" s="61"/>
      <c r="P15" s="61"/>
      <c r="AI15" s="113"/>
    </row>
    <row r="16" s="14" customFormat="1" customHeight="1" spans="1:35">
      <c r="A16" s="60"/>
      <c r="B16" s="60" t="s">
        <v>183</v>
      </c>
      <c r="C16" s="62"/>
      <c r="D16" s="62"/>
      <c r="E16" s="62"/>
      <c r="F16" s="62"/>
      <c r="G16" s="62"/>
      <c r="H16" s="62"/>
      <c r="I16" s="86"/>
      <c r="J16" s="87"/>
      <c r="K16" s="86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184</v>
      </c>
      <c r="C17" s="62"/>
      <c r="D17" s="62"/>
      <c r="E17" s="62"/>
      <c r="F17" s="62"/>
      <c r="G17" s="62"/>
      <c r="H17" s="62"/>
      <c r="I17" s="62"/>
      <c r="J17" s="89"/>
      <c r="K17" s="62"/>
      <c r="L17" s="86"/>
      <c r="M17" s="88"/>
      <c r="N17" s="86"/>
      <c r="O17" s="86"/>
      <c r="P17" s="86"/>
      <c r="AI17" s="113"/>
    </row>
    <row r="18" s="14" customFormat="1" customHeight="1" spans="1:35">
      <c r="A18" s="60"/>
      <c r="B18" s="60" t="s">
        <v>185</v>
      </c>
      <c r="C18" s="62"/>
      <c r="D18" s="62"/>
      <c r="E18" s="62"/>
      <c r="F18" s="62"/>
      <c r="G18" s="62"/>
      <c r="H18" s="62"/>
      <c r="I18" s="86"/>
      <c r="J18" s="87"/>
      <c r="K18" s="86"/>
      <c r="L18" s="86"/>
      <c r="M18" s="88"/>
      <c r="N18" s="86"/>
      <c r="O18" s="86"/>
      <c r="P18" s="86"/>
      <c r="AI18" s="113"/>
    </row>
    <row r="20" ht="11.25" customHeight="1" spans="2:2">
      <c r="B20" s="63" t="s">
        <v>186</v>
      </c>
    </row>
    <row r="21" spans="2:2">
      <c r="B21" s="64" t="s">
        <v>187</v>
      </c>
    </row>
    <row r="22" spans="2:2">
      <c r="B22" s="64" t="s">
        <v>188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3" priority="2" stopIfTrue="1"/>
  </conditionalFormatting>
  <conditionalFormatting sqref="B13:B17">
    <cfRule type="duplicateValues" dxfId="3" priority="3" stopIfTrue="1"/>
  </conditionalFormatting>
  <conditionalFormatting sqref="B21:B22">
    <cfRule type="duplicateValues" dxfId="3" priority="1" stopIfTrue="1"/>
  </conditionalFormatting>
  <conditionalFormatting sqref="C10:C12">
    <cfRule type="duplicateValues" dxfId="3" priority="4" stopIfTrue="1"/>
    <cfRule type="expression" dxfId="4" priority="5" stopIfTrue="1">
      <formula>AND(COUNTIF($B$6:$B$65442,C10)+COUNTIF($B$1:$B$3,C10)&gt;1,NOT(ISBLANK(C10)))</formula>
    </cfRule>
    <cfRule type="expression" dxfId="4" priority="6" stopIfTrue="1">
      <formula>AND(COUNTIF($B$17:$B$65393,C10)+COUNTIF($B$1:$B$16,C10)&gt;1,NOT(ISBLANK(C10)))</formula>
    </cfRule>
    <cfRule type="expression" dxfId="4" priority="7" stopIfTrue="1">
      <formula>AND(COUNTIF($B$6:$B$65431,C10)+COUNTIF($B$1:$B$3,C10)&gt;1,NOT(ISBLANK(C10)))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39">
        <v>18035163638</v>
      </c>
      <c r="H4" s="40"/>
      <c r="I4" s="40"/>
      <c r="J4" s="74"/>
      <c r="K4" s="40"/>
      <c r="L4" s="75">
        <v>11010</v>
      </c>
      <c r="M4" s="76">
        <v>264</v>
      </c>
      <c r="N4" s="76">
        <v>9.9</v>
      </c>
      <c r="O4" s="76">
        <v>66</v>
      </c>
      <c r="P4" s="76">
        <v>180</v>
      </c>
      <c r="Q4" s="96">
        <f t="shared" ref="Q4:Q16" si="0">ROUND(SUM(M4:P4),2)</f>
        <v>519.9</v>
      </c>
      <c r="R4" s="78">
        <v>0</v>
      </c>
      <c r="S4" s="97">
        <f>L4+IFERROR(VLOOKUP($E:$E,'（居民）工资表-3月'!$E:$S,15,0),0)</f>
        <v>11010</v>
      </c>
      <c r="T4" s="98">
        <f>5000+IFERROR(VLOOKUP($E:$E,'（居民）工资表-3月'!$E:$T,16,0),0)</f>
        <v>5000</v>
      </c>
      <c r="U4" s="98">
        <f>Q4+IFERROR(VLOOKUP($E:$E,'（居民）工资表-3月'!$E:$U,17,0),0)</f>
        <v>519.9</v>
      </c>
      <c r="V4" s="78">
        <v>4000</v>
      </c>
      <c r="W4" s="78"/>
      <c r="X4" s="78">
        <v>4000</v>
      </c>
      <c r="Y4" s="78"/>
      <c r="Z4" s="78"/>
      <c r="AA4" s="78"/>
      <c r="AB4" s="97">
        <f t="shared" ref="AB4:AB16" si="1">ROUND(SUM(V4:AA4),2)</f>
        <v>8000</v>
      </c>
      <c r="AC4" s="97">
        <f>R4+IFERROR(VLOOKUP($E:$E,'（居民）工资表-3月'!$E:$AC,25,0),0)</f>
        <v>0</v>
      </c>
      <c r="AD4" s="100">
        <f t="shared" ref="AD4:AD16" si="2">ROUND(S4-T4-U4-AB4-AC4,2)</f>
        <v>-2509.9</v>
      </c>
      <c r="AE4" s="101">
        <f>ROUND(MAX((AD4)*{0.03;0.1;0.2;0.25;0.3;0.35;0.45}-{0;2520;16920;31920;52920;85920;181920},0),2)</f>
        <v>0</v>
      </c>
      <c r="AF4" s="102">
        <f>IFERROR(VLOOKUP(E:E,'（居民）工资表-3月'!E:AF,28,0)+VLOOKUP(E:E,'（居民）工资表-3月'!E:AG,29,0),0)</f>
        <v>0</v>
      </c>
      <c r="AG4" s="102">
        <f t="shared" ref="AG4:AG16" si="3">IF((AE4-AF4)&lt;0,0,AE4-AF4)</f>
        <v>0</v>
      </c>
      <c r="AH4" s="109">
        <f t="shared" ref="AH4:AH16" si="4">ROUND(IF((L4-Q4-AG4)&lt;0,0,(L4-Q4-AG4)),2)</f>
        <v>10490.1</v>
      </c>
      <c r="AI4" s="110"/>
      <c r="AJ4" s="109">
        <f t="shared" ref="AJ4:AJ16" si="5">AH4+AI4</f>
        <v>10490.1</v>
      </c>
      <c r="AK4" s="111"/>
      <c r="AL4" s="109">
        <f t="shared" ref="AL4:AL16" si="6">AJ4+AG4+AK4</f>
        <v>10490.1</v>
      </c>
      <c r="AM4" s="111"/>
      <c r="AN4" s="111"/>
      <c r="AO4" s="111"/>
      <c r="AP4" s="111"/>
      <c r="AQ4" s="111"/>
      <c r="AR4" s="117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IF(SUMPRODUCT(N(E$1:E$6=E4))&gt;1,"重复","不")</f>
        <v>不</v>
      </c>
      <c r="AT4" s="117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39">
        <v>13944441728</v>
      </c>
      <c r="H5" s="40"/>
      <c r="I5" s="40"/>
      <c r="J5" s="74"/>
      <c r="K5" s="40"/>
      <c r="L5" s="75">
        <v>7000</v>
      </c>
      <c r="M5" s="76">
        <v>268.81</v>
      </c>
      <c r="N5" s="76">
        <v>10.08</v>
      </c>
      <c r="O5" s="76">
        <v>105.06</v>
      </c>
      <c r="P5" s="76">
        <v>91</v>
      </c>
      <c r="Q5" s="96">
        <f t="shared" si="0"/>
        <v>474.95</v>
      </c>
      <c r="R5" s="78">
        <v>0</v>
      </c>
      <c r="S5" s="97">
        <f>L5+IFERROR(VLOOKUP($E:$E,'（居民）工资表-3月'!$E:$S,15,0),0)</f>
        <v>7000</v>
      </c>
      <c r="T5" s="98">
        <f>5000+IFERROR(VLOOKUP($E:$E,'（居民）工资表-3月'!$E:$T,16,0),0)</f>
        <v>5000</v>
      </c>
      <c r="U5" s="98">
        <f>Q5+IFERROR(VLOOKUP($E:$E,'（居民）工资表-3月'!$E:$U,17,0),0)</f>
        <v>474.95</v>
      </c>
      <c r="V5" s="78"/>
      <c r="W5" s="78"/>
      <c r="X5" s="78">
        <v>4000</v>
      </c>
      <c r="Y5" s="78"/>
      <c r="Z5" s="78"/>
      <c r="AA5" s="78"/>
      <c r="AB5" s="97">
        <f t="shared" si="1"/>
        <v>4000</v>
      </c>
      <c r="AC5" s="97">
        <f>R5+IFERROR(VLOOKUP($E:$E,'（居民）工资表-3月'!$E:$AC,25,0),0)</f>
        <v>0</v>
      </c>
      <c r="AD5" s="100">
        <f t="shared" si="2"/>
        <v>-2474.95</v>
      </c>
      <c r="AE5" s="101">
        <f>ROUND(MAX((AD5)*{0.03;0.1;0.2;0.25;0.3;0.35;0.45}-{0;2520;16920;31920;52920;85920;181920},0),2)</f>
        <v>0</v>
      </c>
      <c r="AF5" s="102">
        <f>IFERROR(VLOOKUP(E:E,'（居民）工资表-3月'!E:AF,28,0)+VLOOKUP(E:E,'（居民）工资表-3月'!E:AG,29,0),0)</f>
        <v>0</v>
      </c>
      <c r="AG5" s="102">
        <f t="shared" si="3"/>
        <v>0</v>
      </c>
      <c r="AH5" s="109">
        <f t="shared" si="4"/>
        <v>6525.05</v>
      </c>
      <c r="AI5" s="110"/>
      <c r="AJ5" s="109">
        <f t="shared" si="5"/>
        <v>6525.05</v>
      </c>
      <c r="AK5" s="111"/>
      <c r="AL5" s="109">
        <f t="shared" si="6"/>
        <v>6525.05</v>
      </c>
      <c r="AM5" s="111"/>
      <c r="AN5" s="111"/>
      <c r="AO5" s="111"/>
      <c r="AP5" s="111"/>
      <c r="AQ5" s="111"/>
      <c r="AR5" s="117" t="str">
        <f t="shared" si="7"/>
        <v>正确</v>
      </c>
      <c r="AS5" s="117" t="str">
        <f>IF(SUMPRODUCT(N(E$1:E$6=E5))&gt;1,"重复","不")</f>
        <v>不</v>
      </c>
      <c r="AT5" s="117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39">
        <v>15360550807</v>
      </c>
      <c r="H6" s="40"/>
      <c r="I6" s="40"/>
      <c r="J6" s="74"/>
      <c r="K6" s="40"/>
      <c r="L6" s="75">
        <v>5700</v>
      </c>
      <c r="M6" s="76">
        <v>367.04</v>
      </c>
      <c r="N6" s="76">
        <v>4.6</v>
      </c>
      <c r="O6" s="76">
        <v>135.14</v>
      </c>
      <c r="P6" s="76">
        <v>115</v>
      </c>
      <c r="Q6" s="96">
        <f t="shared" si="0"/>
        <v>621.78</v>
      </c>
      <c r="R6" s="78">
        <v>0</v>
      </c>
      <c r="S6" s="97">
        <f>L6+IFERROR(VLOOKUP($E:$E,'（居民）工资表-3月'!$E:$S,15,0),0)</f>
        <v>5700</v>
      </c>
      <c r="T6" s="98">
        <f>5000+IFERROR(VLOOKUP($E:$E,'（居民）工资表-3月'!$E:$T,16,0),0)</f>
        <v>5000</v>
      </c>
      <c r="U6" s="98">
        <f>Q6+IFERROR(VLOOKUP($E:$E,'（居民）工资表-3月'!$E:$U,17,0),0)</f>
        <v>621.78</v>
      </c>
      <c r="V6" s="78"/>
      <c r="W6" s="78"/>
      <c r="X6" s="78"/>
      <c r="Y6" s="78">
        <v>6000</v>
      </c>
      <c r="Z6" s="78"/>
      <c r="AA6" s="78"/>
      <c r="AB6" s="97">
        <f t="shared" si="1"/>
        <v>6000</v>
      </c>
      <c r="AC6" s="97">
        <f>R6+IFERROR(VLOOKUP($E:$E,'（居民）工资表-3月'!$E:$AC,25,0),0)</f>
        <v>0</v>
      </c>
      <c r="AD6" s="100">
        <f t="shared" si="2"/>
        <v>-5921.78</v>
      </c>
      <c r="AE6" s="101">
        <f>ROUND(MAX((AD6)*{0.03;0.1;0.2;0.25;0.3;0.35;0.45}-{0;2520;16920;31920;52920;85920;181920},0),2)</f>
        <v>0</v>
      </c>
      <c r="AF6" s="102">
        <f>IFERROR(VLOOKUP(E:E,'（居民）工资表-3月'!E:AF,28,0)+VLOOKUP(E:E,'（居民）工资表-3月'!E:AG,29,0),0)</f>
        <v>0</v>
      </c>
      <c r="AG6" s="102">
        <f t="shared" si="3"/>
        <v>0</v>
      </c>
      <c r="AH6" s="109">
        <f t="shared" si="4"/>
        <v>5078.22</v>
      </c>
      <c r="AI6" s="110"/>
      <c r="AJ6" s="109">
        <f t="shared" si="5"/>
        <v>5078.22</v>
      </c>
      <c r="AK6" s="111"/>
      <c r="AL6" s="109">
        <f t="shared" si="6"/>
        <v>5078.22</v>
      </c>
      <c r="AM6" s="111"/>
      <c r="AN6" s="111"/>
      <c r="AO6" s="111"/>
      <c r="AP6" s="111"/>
      <c r="AQ6" s="111"/>
      <c r="AR6" s="117" t="str">
        <f t="shared" si="7"/>
        <v>正确</v>
      </c>
      <c r="AS6" s="117" t="str">
        <f>IF(SUMPRODUCT(N(E$1:E$6=E6))&gt;1,"重复","不")</f>
        <v>不</v>
      </c>
      <c r="AT6" s="117" t="str">
        <f>IF(SUMPRODUCT(N(AO$1:AO$6=AO6))&gt;1,"重复","不")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39">
        <v>18607383005</v>
      </c>
      <c r="H7" s="40"/>
      <c r="I7" s="40"/>
      <c r="J7" s="74"/>
      <c r="K7" s="40"/>
      <c r="L7" s="75">
        <v>25000</v>
      </c>
      <c r="M7" s="76">
        <v>320</v>
      </c>
      <c r="N7" s="76">
        <v>12</v>
      </c>
      <c r="O7" s="76">
        <v>80</v>
      </c>
      <c r="P7" s="76">
        <v>200</v>
      </c>
      <c r="Q7" s="96">
        <f t="shared" si="0"/>
        <v>612</v>
      </c>
      <c r="R7" s="78">
        <v>0</v>
      </c>
      <c r="S7" s="97">
        <f>L7+IFERROR(VLOOKUP($E:$E,'（居民）工资表-3月'!$E:$S,15,0),0)</f>
        <v>25000</v>
      </c>
      <c r="T7" s="98">
        <f>5000+IFERROR(VLOOKUP($E:$E,'（居民）工资表-3月'!$E:$T,16,0),0)</f>
        <v>5000</v>
      </c>
      <c r="U7" s="98">
        <f>Q7+IFERROR(VLOOKUP($E:$E,'（居民）工资表-3月'!$E:$U,17,0),0)</f>
        <v>612</v>
      </c>
      <c r="V7" s="78">
        <v>8000</v>
      </c>
      <c r="W7" s="78">
        <v>4000</v>
      </c>
      <c r="X7" s="78"/>
      <c r="Y7" s="78"/>
      <c r="Z7" s="78"/>
      <c r="AA7" s="78"/>
      <c r="AB7" s="97">
        <f t="shared" si="1"/>
        <v>12000</v>
      </c>
      <c r="AC7" s="97">
        <f>R7+IFERROR(VLOOKUP($E:$E,'（居民）工资表-3月'!$E:$AC,25,0),0)</f>
        <v>0</v>
      </c>
      <c r="AD7" s="100">
        <f t="shared" si="2"/>
        <v>7388</v>
      </c>
      <c r="AE7" s="101">
        <f>ROUND(MAX((AD7)*{0.03;0.1;0.2;0.25;0.3;0.35;0.45}-{0;2520;16920;31920;52920;85920;181920},0),2)</f>
        <v>221.64</v>
      </c>
      <c r="AF7" s="102">
        <f>IFERROR(VLOOKUP(E:E,'（居民）工资表-3月'!E:AF,28,0)+VLOOKUP(E:E,'（居民）工资表-3月'!E:AG,29,0),0)</f>
        <v>0</v>
      </c>
      <c r="AG7" s="102">
        <f t="shared" si="3"/>
        <v>221.64</v>
      </c>
      <c r="AH7" s="109">
        <f t="shared" si="4"/>
        <v>24166.36</v>
      </c>
      <c r="AI7" s="110"/>
      <c r="AJ7" s="109">
        <f t="shared" si="5"/>
        <v>24166.36</v>
      </c>
      <c r="AK7" s="111"/>
      <c r="AL7" s="109">
        <f t="shared" si="6"/>
        <v>24388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>IF(SUMPRODUCT(N(E$1:E$6=E7))&gt;1,"重复","不")</f>
        <v>不</v>
      </c>
      <c r="AT7" s="117" t="str">
        <f>IF(SUMPRODUCT(N(AO$1:AO$6=AO7))&gt;1,"重复","不")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39">
        <v>13373825180</v>
      </c>
      <c r="H8" s="40"/>
      <c r="I8" s="40"/>
      <c r="J8" s="74"/>
      <c r="K8" s="40"/>
      <c r="L8" s="75">
        <v>28739</v>
      </c>
      <c r="M8" s="76">
        <v>296</v>
      </c>
      <c r="N8" s="76">
        <v>11.1</v>
      </c>
      <c r="O8" s="76">
        <v>74</v>
      </c>
      <c r="P8" s="76">
        <v>85</v>
      </c>
      <c r="Q8" s="96">
        <f t="shared" si="0"/>
        <v>466.1</v>
      </c>
      <c r="R8" s="78">
        <v>0</v>
      </c>
      <c r="S8" s="97">
        <f>L8+IFERROR(VLOOKUP($E:$E,'（居民）工资表-3月'!$E:$S,15,0),0)</f>
        <v>28739</v>
      </c>
      <c r="T8" s="98">
        <f>5000+IFERROR(VLOOKUP($E:$E,'（居民）工资表-3月'!$E:$T,16,0),0)</f>
        <v>5000</v>
      </c>
      <c r="U8" s="98">
        <f>Q8+IFERROR(VLOOKUP($E:$E,'（居民）工资表-3月'!$E:$U,17,0),0)</f>
        <v>466.1</v>
      </c>
      <c r="V8" s="78">
        <v>4000</v>
      </c>
      <c r="W8" s="78">
        <v>4000</v>
      </c>
      <c r="X8" s="78">
        <v>4000</v>
      </c>
      <c r="Y8" s="78"/>
      <c r="Z8" s="78"/>
      <c r="AA8" s="78"/>
      <c r="AB8" s="97">
        <f t="shared" si="1"/>
        <v>12000</v>
      </c>
      <c r="AC8" s="97">
        <f>R8+IFERROR(VLOOKUP($E:$E,'（居民）工资表-3月'!$E:$AC,25,0),0)</f>
        <v>0</v>
      </c>
      <c r="AD8" s="100">
        <f t="shared" si="2"/>
        <v>11272.9</v>
      </c>
      <c r="AE8" s="101">
        <f>ROUND(MAX((AD8)*{0.03;0.1;0.2;0.25;0.3;0.35;0.45}-{0;2520;16920;31920;52920;85920;181920},0),2)</f>
        <v>338.19</v>
      </c>
      <c r="AF8" s="102">
        <f>IFERROR(VLOOKUP(E:E,'（居民）工资表-3月'!E:AF,28,0)+VLOOKUP(E:E,'（居民）工资表-3月'!E:AG,29,0),0)</f>
        <v>0</v>
      </c>
      <c r="AG8" s="102">
        <f t="shared" si="3"/>
        <v>338.19</v>
      </c>
      <c r="AH8" s="109">
        <f t="shared" si="4"/>
        <v>27934.71</v>
      </c>
      <c r="AI8" s="110"/>
      <c r="AJ8" s="109">
        <f t="shared" si="5"/>
        <v>27934.71</v>
      </c>
      <c r="AK8" s="111"/>
      <c r="AL8" s="109">
        <f t="shared" si="6"/>
        <v>28272.9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>IF(SUMPRODUCT(N(E$1:E$6=E8))&gt;1,"重复","不")</f>
        <v>不</v>
      </c>
      <c r="AT8" s="117" t="str">
        <f>IF(SUMPRODUCT(N(AO$1:AO$6=AO8))&gt;1,"重复","不")</f>
        <v>重复</v>
      </c>
    </row>
    <row r="9" s="119" customFormat="1" ht="18" customHeight="1" spans="1:46">
      <c r="A9" s="120">
        <v>6</v>
      </c>
      <c r="B9" s="41" t="s">
        <v>146</v>
      </c>
      <c r="C9" s="41" t="s">
        <v>152</v>
      </c>
      <c r="D9" s="41" t="s">
        <v>147</v>
      </c>
      <c r="E9" s="41" t="s">
        <v>153</v>
      </c>
      <c r="F9" s="42" t="s">
        <v>148</v>
      </c>
      <c r="G9" s="43">
        <v>18037463616</v>
      </c>
      <c r="H9" s="44"/>
      <c r="I9" s="44"/>
      <c r="J9" s="77"/>
      <c r="K9" s="44"/>
      <c r="L9" s="121">
        <v>14320</v>
      </c>
      <c r="M9" s="122">
        <v>254.32</v>
      </c>
      <c r="N9" s="122">
        <v>9.54</v>
      </c>
      <c r="O9" s="122">
        <v>63.94</v>
      </c>
      <c r="P9" s="122">
        <v>254.32</v>
      </c>
      <c r="Q9" s="123">
        <f t="shared" si="0"/>
        <v>582.12</v>
      </c>
      <c r="R9" s="123">
        <v>0</v>
      </c>
      <c r="S9" s="124">
        <f>L9+IFERROR(VLOOKUP($E:$E,'（居民）工资表-3月'!$E:$S,15,0),0)</f>
        <v>14320</v>
      </c>
      <c r="T9" s="125">
        <f>5000+IFERROR(VLOOKUP($E:$E,'（居民）工资表-3月'!$E:$T,16,0),0)</f>
        <v>5000</v>
      </c>
      <c r="U9" s="125">
        <f>Q9+IFERROR(VLOOKUP($E:$E,'（居民）工资表-3月'!$E:$U,17,0),0)</f>
        <v>582.12</v>
      </c>
      <c r="V9" s="123"/>
      <c r="W9" s="123"/>
      <c r="X9" s="123">
        <v>3000</v>
      </c>
      <c r="Y9" s="123"/>
      <c r="Z9" s="123"/>
      <c r="AA9" s="123"/>
      <c r="AB9" s="124">
        <f t="shared" si="1"/>
        <v>3000</v>
      </c>
      <c r="AC9" s="124">
        <f>R9+IFERROR(VLOOKUP($E:$E,'（居民）工资表-3月'!$E:$AC,25,0),0)</f>
        <v>0</v>
      </c>
      <c r="AD9" s="126">
        <f t="shared" si="2"/>
        <v>5737.88</v>
      </c>
      <c r="AE9" s="127">
        <f>ROUND(MAX((AD9)*{0.03;0.1;0.2;0.25;0.3;0.35;0.45}-{0;2520;16920;31920;52920;85920;181920},0),2)</f>
        <v>172.14</v>
      </c>
      <c r="AF9" s="128">
        <f>IFERROR(VLOOKUP(E:E,'（居民）工资表-3月'!E:AF,28,0)+VLOOKUP(E:E,'（居民）工资表-3月'!E:AG,29,0),0)</f>
        <v>0</v>
      </c>
      <c r="AG9" s="128">
        <f t="shared" si="3"/>
        <v>172.14</v>
      </c>
      <c r="AH9" s="129">
        <f t="shared" si="4"/>
        <v>13565.74</v>
      </c>
      <c r="AI9" s="130"/>
      <c r="AJ9" s="129">
        <f t="shared" si="5"/>
        <v>13565.74</v>
      </c>
      <c r="AK9" s="129"/>
      <c r="AL9" s="129">
        <f t="shared" si="6"/>
        <v>13737.88</v>
      </c>
      <c r="AM9" s="129"/>
      <c r="AN9" s="129"/>
      <c r="AO9" s="129"/>
      <c r="AP9" s="129"/>
      <c r="AQ9" s="129"/>
      <c r="AR9" s="132" t="str">
        <f t="shared" si="7"/>
        <v>正确</v>
      </c>
      <c r="AS9" s="132" t="str">
        <f>IF(SUMPRODUCT(N(E$1:E$6=E9))&gt;1,"重复","不")</f>
        <v>不</v>
      </c>
      <c r="AT9" s="132" t="str">
        <f>IF(SUMPRODUCT(N(AO$1:AO$6=AO9))&gt;1,"重复","不")</f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39">
        <v>18500634358</v>
      </c>
      <c r="H10" s="40"/>
      <c r="I10" s="40"/>
      <c r="J10" s="74"/>
      <c r="K10" s="40"/>
      <c r="L10" s="75">
        <v>14920</v>
      </c>
      <c r="M10" s="76">
        <v>254.32</v>
      </c>
      <c r="N10" s="76">
        <v>9.54</v>
      </c>
      <c r="O10" s="76">
        <v>63.94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L10+IFERROR(VLOOKUP($E:$E,'（居民）工资表-3月'!$E:$S,15,0),0)</f>
        <v>14920</v>
      </c>
      <c r="T10" s="98">
        <f>5000+IFERROR(VLOOKUP($E:$E,'（居民）工资表-3月'!$E:$T,16,0),0)</f>
        <v>5000</v>
      </c>
      <c r="U10" s="98">
        <f>Q10+IFERROR(VLOOKUP($E:$E,'（居民）工资表-3月'!$E:$U,17,0),0)</f>
        <v>582.12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R10+IFERROR(VLOOKUP($E:$E,'（居民）工资表-3月'!$E:$AC,25,0),0)</f>
        <v>0</v>
      </c>
      <c r="AD10" s="100">
        <f t="shared" si="2"/>
        <v>9337.88</v>
      </c>
      <c r="AE10" s="101">
        <f>ROUND(MAX((AD10)*{0.03;0.1;0.2;0.25;0.3;0.35;0.45}-{0;2520;16920;31920;52920;85920;181920},0),2)</f>
        <v>280.14</v>
      </c>
      <c r="AF10" s="102">
        <f>IFERROR(VLOOKUP(E:E,'（居民）工资表-3月'!E:AF,28,0)+VLOOKUP(E:E,'（居民）工资表-3月'!E:AG,29,0),0)</f>
        <v>0</v>
      </c>
      <c r="AG10" s="102">
        <f t="shared" si="3"/>
        <v>280.14</v>
      </c>
      <c r="AH10" s="109">
        <f t="shared" si="4"/>
        <v>14057.74</v>
      </c>
      <c r="AI10" s="110"/>
      <c r="AJ10" s="109">
        <f t="shared" si="5"/>
        <v>14057.74</v>
      </c>
      <c r="AK10" s="111"/>
      <c r="AL10" s="109">
        <f t="shared" si="6"/>
        <v>14337.88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>IF(SUMPRODUCT(N(E$1:E$6=E10))&gt;1,"重复","不")</f>
        <v>不</v>
      </c>
      <c r="AT10" s="117" t="str">
        <f>IF(SUMPRODUCT(N(AO$1:AO$6=AO10))&gt;1,"重复","不")</f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39">
        <v>18738169923</v>
      </c>
      <c r="H11" s="40"/>
      <c r="I11" s="40"/>
      <c r="J11" s="74"/>
      <c r="K11" s="40"/>
      <c r="L11" s="75">
        <v>12420</v>
      </c>
      <c r="M11" s="76">
        <v>254.32</v>
      </c>
      <c r="N11" s="76">
        <v>9.54</v>
      </c>
      <c r="O11" s="76">
        <v>63.94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L11+IFERROR(VLOOKUP($E:$E,'（居民）工资表-3月'!$E:$S,15,0),0)</f>
        <v>12420</v>
      </c>
      <c r="T11" s="98">
        <f>5000+IFERROR(VLOOKUP($E:$E,'（居民）工资表-3月'!$E:$T,16,0),0)</f>
        <v>5000</v>
      </c>
      <c r="U11" s="98">
        <f>Q11+IFERROR(VLOOKUP($E:$E,'（居民）工资表-3月'!$E:$U,17,0),0)</f>
        <v>582.12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R11+IFERROR(VLOOKUP($E:$E,'（居民）工资表-3月'!$E:$AC,25,0),0)</f>
        <v>0</v>
      </c>
      <c r="AD11" s="100">
        <f t="shared" si="2"/>
        <v>6837.88</v>
      </c>
      <c r="AE11" s="101">
        <f>ROUND(MAX((AD11)*{0.03;0.1;0.2;0.25;0.3;0.35;0.45}-{0;2520;16920;31920;52920;85920;181920},0),2)</f>
        <v>205.14</v>
      </c>
      <c r="AF11" s="102">
        <f>IFERROR(VLOOKUP(E:E,'（居民）工资表-3月'!E:AF,28,0)+VLOOKUP(E:E,'（居民）工资表-3月'!E:AG,29,0),0)</f>
        <v>0</v>
      </c>
      <c r="AG11" s="102">
        <f t="shared" si="3"/>
        <v>205.14</v>
      </c>
      <c r="AH11" s="109">
        <f t="shared" si="4"/>
        <v>11632.74</v>
      </c>
      <c r="AI11" s="110"/>
      <c r="AJ11" s="109">
        <f t="shared" si="5"/>
        <v>11632.74</v>
      </c>
      <c r="AK11" s="111"/>
      <c r="AL11" s="109">
        <f t="shared" si="6"/>
        <v>11837.88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>IF(SUMPRODUCT(N(E$1:E$6=E11))&gt;1,"重复","不")</f>
        <v>不</v>
      </c>
      <c r="AT11" s="117" t="str">
        <f>IF(SUMPRODUCT(N(AO$1:AO$6=AO11))&gt;1,"重复","不")</f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158</v>
      </c>
      <c r="D12" s="37" t="s">
        <v>147</v>
      </c>
      <c r="E12" s="37" t="s">
        <v>159</v>
      </c>
      <c r="F12" s="38" t="s">
        <v>148</v>
      </c>
      <c r="G12" s="39" t="s">
        <v>160</v>
      </c>
      <c r="H12" s="40"/>
      <c r="I12" s="40"/>
      <c r="J12" s="74"/>
      <c r="K12" s="40"/>
      <c r="L12" s="75">
        <v>18014.74</v>
      </c>
      <c r="M12" s="76">
        <v>508.64</v>
      </c>
      <c r="N12" s="76">
        <v>19.08</v>
      </c>
      <c r="O12" s="76">
        <v>127.88</v>
      </c>
      <c r="P12" s="76">
        <v>508.64</v>
      </c>
      <c r="Q12" s="96">
        <f t="shared" si="0"/>
        <v>1164.24</v>
      </c>
      <c r="R12" s="78">
        <v>0</v>
      </c>
      <c r="S12" s="97">
        <f>L12+IFERROR(VLOOKUP($E:$E,'（居民）工资表-3月'!$E:$S,15,0),0)</f>
        <v>18014.74</v>
      </c>
      <c r="T12" s="98">
        <f>5000+IFERROR(VLOOKUP($E:$E,'（居民）工资表-3月'!$E:$T,16,0),0)</f>
        <v>5000</v>
      </c>
      <c r="U12" s="98">
        <f>Q12+IFERROR(VLOOKUP($E:$E,'（居民）工资表-3月'!$E:$U,17,0),0)</f>
        <v>1164.24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R12+IFERROR(VLOOKUP($E:$E,'（居民）工资表-3月'!$E:$AC,25,0),0)</f>
        <v>0</v>
      </c>
      <c r="AD12" s="100">
        <f t="shared" si="2"/>
        <v>11850.5</v>
      </c>
      <c r="AE12" s="101">
        <f>ROUND(MAX((AD12)*{0.03;0.1;0.2;0.25;0.3;0.35;0.45}-{0;2520;16920;31920;52920;85920;181920},0),2)</f>
        <v>355.52</v>
      </c>
      <c r="AF12" s="102">
        <f>IFERROR(VLOOKUP(E:E,'（居民）工资表-3月'!E:AF,28,0)+VLOOKUP(E:E,'（居民）工资表-3月'!E:AG,29,0),0)</f>
        <v>0</v>
      </c>
      <c r="AG12" s="102">
        <f t="shared" si="3"/>
        <v>355.52</v>
      </c>
      <c r="AH12" s="109">
        <f t="shared" si="4"/>
        <v>16494.98</v>
      </c>
      <c r="AI12" s="110"/>
      <c r="AJ12" s="109">
        <f t="shared" si="5"/>
        <v>16494.98</v>
      </c>
      <c r="AK12" s="111"/>
      <c r="AL12" s="109">
        <f t="shared" si="6"/>
        <v>16850.5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>IF(SUMPRODUCT(N(E$1:E$6=E12))&gt;1,"重复","不")</f>
        <v>不</v>
      </c>
      <c r="AT12" s="117" t="str">
        <f>IF(SUMPRODUCT(N(AO$1:AO$6=AO12))&gt;1,"重复","不")</f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161</v>
      </c>
      <c r="D13" s="37" t="s">
        <v>147</v>
      </c>
      <c r="E13" s="37" t="s">
        <v>162</v>
      </c>
      <c r="F13" s="38" t="s">
        <v>148</v>
      </c>
      <c r="G13" s="39" t="s">
        <v>163</v>
      </c>
      <c r="H13" s="40"/>
      <c r="I13" s="40"/>
      <c r="J13" s="74"/>
      <c r="K13" s="40"/>
      <c r="L13" s="75">
        <v>15117.39</v>
      </c>
      <c r="M13" s="76">
        <v>508.64</v>
      </c>
      <c r="N13" s="76">
        <v>19.08</v>
      </c>
      <c r="O13" s="76">
        <v>127.88</v>
      </c>
      <c r="P13" s="76">
        <v>508.64</v>
      </c>
      <c r="Q13" s="96">
        <f t="shared" si="0"/>
        <v>1164.24</v>
      </c>
      <c r="R13" s="78">
        <v>0</v>
      </c>
      <c r="S13" s="97">
        <f>L13+IFERROR(VLOOKUP($E:$E,'（居民）工资表-3月'!$E:$S,15,0),0)</f>
        <v>15117.39</v>
      </c>
      <c r="T13" s="98">
        <f>5000+IFERROR(VLOOKUP($E:$E,'（居民）工资表-3月'!$E:$T,16,0),0)</f>
        <v>5000</v>
      </c>
      <c r="U13" s="98">
        <f>Q13+IFERROR(VLOOKUP($E:$E,'（居民）工资表-3月'!$E:$U,17,0),0)</f>
        <v>1164.24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R13+IFERROR(VLOOKUP($E:$E,'（居民）工资表-3月'!$E:$AC,25,0),0)</f>
        <v>0</v>
      </c>
      <c r="AD13" s="100">
        <f t="shared" si="2"/>
        <v>8953.15</v>
      </c>
      <c r="AE13" s="101">
        <f>ROUND(MAX((AD13)*{0.03;0.1;0.2;0.25;0.3;0.35;0.45}-{0;2520;16920;31920;52920;85920;181920},0),2)</f>
        <v>268.59</v>
      </c>
      <c r="AF13" s="102">
        <f>IFERROR(VLOOKUP(E:E,'（居民）工资表-3月'!E:AF,28,0)+VLOOKUP(E:E,'（居民）工资表-3月'!E:AG,29,0),0)</f>
        <v>0</v>
      </c>
      <c r="AG13" s="102">
        <f t="shared" si="3"/>
        <v>268.59</v>
      </c>
      <c r="AH13" s="109">
        <f t="shared" si="4"/>
        <v>13684.56</v>
      </c>
      <c r="AI13" s="110"/>
      <c r="AJ13" s="109">
        <f t="shared" si="5"/>
        <v>13684.56</v>
      </c>
      <c r="AK13" s="111"/>
      <c r="AL13" s="109">
        <f t="shared" si="6"/>
        <v>13953.15</v>
      </c>
      <c r="AM13" s="111"/>
      <c r="AN13" s="111"/>
      <c r="AO13" s="111"/>
      <c r="AP13" s="111"/>
      <c r="AQ13" s="111"/>
      <c r="AR13" s="117"/>
      <c r="AS13" s="117"/>
      <c r="AT13" s="117"/>
    </row>
    <row r="14" s="12" customFormat="1" ht="18" customHeight="1" spans="1:46">
      <c r="A14" s="36">
        <v>11</v>
      </c>
      <c r="B14" s="37" t="s">
        <v>146</v>
      </c>
      <c r="C14" s="37" t="s">
        <v>164</v>
      </c>
      <c r="D14" s="37" t="s">
        <v>147</v>
      </c>
      <c r="E14" s="37" t="s">
        <v>165</v>
      </c>
      <c r="F14" s="38" t="s">
        <v>148</v>
      </c>
      <c r="G14" s="39" t="s">
        <v>166</v>
      </c>
      <c r="H14" s="40"/>
      <c r="I14" s="40"/>
      <c r="J14" s="74"/>
      <c r="K14" s="40"/>
      <c r="L14" s="75">
        <v>11152.17</v>
      </c>
      <c r="M14" s="76">
        <v>508.64</v>
      </c>
      <c r="N14" s="76">
        <v>19.08</v>
      </c>
      <c r="O14" s="76">
        <v>127.88</v>
      </c>
      <c r="P14" s="76">
        <v>508.64</v>
      </c>
      <c r="Q14" s="96">
        <f t="shared" si="0"/>
        <v>1164.24</v>
      </c>
      <c r="R14" s="78">
        <v>0</v>
      </c>
      <c r="S14" s="97">
        <f>L14+IFERROR(VLOOKUP($E:$E,'（居民）工资表-3月'!$E:$S,15,0),0)</f>
        <v>11152.17</v>
      </c>
      <c r="T14" s="98">
        <f>5000+IFERROR(VLOOKUP($E:$E,'（居民）工资表-3月'!$E:$T,16,0),0)</f>
        <v>5000</v>
      </c>
      <c r="U14" s="98">
        <f>Q14+IFERROR(VLOOKUP($E:$E,'（居民）工资表-3月'!$E:$U,17,0),0)</f>
        <v>1164.24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R14+IFERROR(VLOOKUP($E:$E,'（居民）工资表-3月'!$E:$AC,25,0),0)</f>
        <v>0</v>
      </c>
      <c r="AD14" s="100">
        <f t="shared" si="2"/>
        <v>4987.93</v>
      </c>
      <c r="AE14" s="101">
        <f>ROUND(MAX((AD14)*{0.03;0.1;0.2;0.25;0.3;0.35;0.45}-{0;2520;16920;31920;52920;85920;181920},0),2)</f>
        <v>149.64</v>
      </c>
      <c r="AF14" s="102">
        <f>IFERROR(VLOOKUP(E:E,'（居民）工资表-3月'!E:AF,28,0)+VLOOKUP(E:E,'（居民）工资表-3月'!E:AG,29,0),0)</f>
        <v>0</v>
      </c>
      <c r="AG14" s="102">
        <f t="shared" si="3"/>
        <v>149.64</v>
      </c>
      <c r="AH14" s="109">
        <f t="shared" si="4"/>
        <v>9838.29</v>
      </c>
      <c r="AI14" s="110"/>
      <c r="AJ14" s="109">
        <f t="shared" si="5"/>
        <v>9838.29</v>
      </c>
      <c r="AK14" s="111"/>
      <c r="AL14" s="109">
        <f t="shared" si="6"/>
        <v>9987.93</v>
      </c>
      <c r="AM14" s="111"/>
      <c r="AN14" s="111"/>
      <c r="AO14" s="111"/>
      <c r="AP14" s="111"/>
      <c r="AQ14" s="111"/>
      <c r="AR14" s="117"/>
      <c r="AS14" s="117"/>
      <c r="AT14" s="117"/>
    </row>
    <row r="15" s="12" customFormat="1" ht="17" customHeight="1" spans="1:46">
      <c r="A15" s="36">
        <v>12</v>
      </c>
      <c r="B15" s="37" t="s">
        <v>146</v>
      </c>
      <c r="C15" s="37" t="s">
        <v>167</v>
      </c>
      <c r="D15" s="37" t="s">
        <v>147</v>
      </c>
      <c r="E15" s="37" t="s">
        <v>168</v>
      </c>
      <c r="F15" s="38" t="s">
        <v>148</v>
      </c>
      <c r="G15" s="39">
        <v>15001138812</v>
      </c>
      <c r="H15" s="40"/>
      <c r="I15" s="40"/>
      <c r="J15" s="74"/>
      <c r="K15" s="40"/>
      <c r="L15" s="75">
        <v>10420</v>
      </c>
      <c r="M15" s="76">
        <v>254.32</v>
      </c>
      <c r="N15" s="76">
        <v>9.54</v>
      </c>
      <c r="O15" s="76">
        <v>63.94</v>
      </c>
      <c r="P15" s="76">
        <v>254.32</v>
      </c>
      <c r="Q15" s="96">
        <f t="shared" si="0"/>
        <v>582.12</v>
      </c>
      <c r="R15" s="78">
        <v>0</v>
      </c>
      <c r="S15" s="97">
        <f>L15+IFERROR(VLOOKUP($E:$E,'（居民）工资表-3月'!$E:$S,15,0),0)</f>
        <v>10420</v>
      </c>
      <c r="T15" s="98">
        <f>5000+IFERROR(VLOOKUP($E:$E,'（居民）工资表-3月'!$E:$T,16,0),0)</f>
        <v>5000</v>
      </c>
      <c r="U15" s="98">
        <f>Q15+IFERROR(VLOOKUP($E:$E,'（居民）工资表-3月'!$E:$U,17,0),0)</f>
        <v>582.12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R15+IFERROR(VLOOKUP($E:$E,'（居民）工资表-3月'!$E:$AC,25,0),0)</f>
        <v>0</v>
      </c>
      <c r="AD15" s="100">
        <f t="shared" si="2"/>
        <v>4837.88</v>
      </c>
      <c r="AE15" s="101">
        <f>ROUND(MAX((AD15)*{0.03;0.1;0.2;0.25;0.3;0.35;0.45}-{0;2520;16920;31920;52920;85920;181920},0),2)</f>
        <v>145.14</v>
      </c>
      <c r="AF15" s="102">
        <f>IFERROR(VLOOKUP(E:E,'（居民）工资表-3月'!E:AF,28,0)+VLOOKUP(E:E,'（居民）工资表-3月'!E:AG,29,0),0)</f>
        <v>0</v>
      </c>
      <c r="AG15" s="102">
        <f t="shared" si="3"/>
        <v>145.14</v>
      </c>
      <c r="AH15" s="109">
        <f t="shared" si="4"/>
        <v>9692.74</v>
      </c>
      <c r="AI15" s="110"/>
      <c r="AJ15" s="109">
        <f t="shared" si="5"/>
        <v>9692.74</v>
      </c>
      <c r="AK15" s="111"/>
      <c r="AL15" s="109">
        <f t="shared" si="6"/>
        <v>9837.88</v>
      </c>
      <c r="AM15" s="111"/>
      <c r="AN15" s="111"/>
      <c r="AO15" s="111"/>
      <c r="AP15" s="111"/>
      <c r="AQ15" s="111"/>
      <c r="AR15" s="117"/>
      <c r="AS15" s="117"/>
      <c r="AT15" s="117"/>
    </row>
    <row r="16" s="12" customFormat="1" ht="17" customHeight="1" spans="1:46">
      <c r="A16" s="36">
        <v>13</v>
      </c>
      <c r="B16" s="37" t="s">
        <v>146</v>
      </c>
      <c r="C16" s="37" t="s">
        <v>169</v>
      </c>
      <c r="D16" s="37" t="s">
        <v>147</v>
      </c>
      <c r="E16" s="37" t="s">
        <v>170</v>
      </c>
      <c r="F16" s="38" t="s">
        <v>148</v>
      </c>
      <c r="G16" s="39">
        <v>15333903368</v>
      </c>
      <c r="H16" s="40"/>
      <c r="I16" s="40"/>
      <c r="J16" s="74"/>
      <c r="K16" s="40"/>
      <c r="L16" s="75">
        <v>5869.57</v>
      </c>
      <c r="M16" s="76"/>
      <c r="N16" s="76"/>
      <c r="O16" s="76"/>
      <c r="P16" s="76"/>
      <c r="Q16" s="96">
        <f t="shared" si="0"/>
        <v>0</v>
      </c>
      <c r="R16" s="78">
        <v>0</v>
      </c>
      <c r="S16" s="97">
        <f>L16+IFERROR(VLOOKUP($E:$E,'（居民）工资表-3月'!$E:$S,15,0),0)</f>
        <v>5869.57</v>
      </c>
      <c r="T16" s="98">
        <f>5000+IFERROR(VLOOKUP($E:$E,'（居民）工资表-3月'!$E:$T,16,0),0)</f>
        <v>5000</v>
      </c>
      <c r="U16" s="98">
        <f>Q16+IFERROR(VLOOKUP($E:$E,'（居民）工资表-3月'!$E:$U,17,0),0)</f>
        <v>0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R16+IFERROR(VLOOKUP($E:$E,'（居民）工资表-3月'!$E:$AC,25,0),0)</f>
        <v>0</v>
      </c>
      <c r="AD16" s="100">
        <f t="shared" si="2"/>
        <v>869.57</v>
      </c>
      <c r="AE16" s="101">
        <f>ROUND(MAX((AD16)*{0.03;0.1;0.2;0.25;0.3;0.35;0.45}-{0;2520;16920;31920;52920;85920;181920},0),2)</f>
        <v>26.09</v>
      </c>
      <c r="AF16" s="102">
        <f>IFERROR(VLOOKUP(E:E,'（居民）工资表-3月'!E:AF,28,0)+VLOOKUP(E:E,'（居民）工资表-3月'!E:AG,29,0),0)</f>
        <v>0</v>
      </c>
      <c r="AG16" s="102">
        <f t="shared" si="3"/>
        <v>26.09</v>
      </c>
      <c r="AH16" s="109">
        <f t="shared" si="4"/>
        <v>5843.48</v>
      </c>
      <c r="AI16" s="110"/>
      <c r="AJ16" s="109">
        <f t="shared" si="5"/>
        <v>5843.48</v>
      </c>
      <c r="AK16" s="111"/>
      <c r="AL16" s="109">
        <f t="shared" si="6"/>
        <v>5869.57</v>
      </c>
      <c r="AM16" s="111"/>
      <c r="AN16" s="111"/>
      <c r="AO16" s="111"/>
      <c r="AP16" s="111"/>
      <c r="AQ16" s="111"/>
      <c r="AR16" s="117"/>
      <c r="AS16" s="117"/>
      <c r="AT16" s="117"/>
    </row>
    <row r="17" s="12" customFormat="1" ht="18" customHeight="1" spans="1:46">
      <c r="A17" s="36"/>
      <c r="B17" s="37"/>
      <c r="C17" s="37"/>
      <c r="D17" s="37"/>
      <c r="E17" s="37"/>
      <c r="F17" s="38"/>
      <c r="G17" s="45"/>
      <c r="H17" s="40"/>
      <c r="I17" s="40"/>
      <c r="J17" s="74"/>
      <c r="K17" s="40"/>
      <c r="L17" s="78"/>
      <c r="M17" s="76"/>
      <c r="N17" s="76"/>
      <c r="O17" s="76"/>
      <c r="P17" s="76"/>
      <c r="Q17" s="96"/>
      <c r="R17" s="78"/>
      <c r="S17" s="97"/>
      <c r="T17" s="98"/>
      <c r="U17" s="98"/>
      <c r="V17" s="78"/>
      <c r="W17" s="78"/>
      <c r="X17" s="78"/>
      <c r="Y17" s="78"/>
      <c r="Z17" s="78"/>
      <c r="AA17" s="78"/>
      <c r="AB17" s="97"/>
      <c r="AC17" s="97"/>
      <c r="AD17" s="100"/>
      <c r="AE17" s="101"/>
      <c r="AF17" s="102"/>
      <c r="AG17" s="102"/>
      <c r="AH17" s="109"/>
      <c r="AI17" s="110"/>
      <c r="AJ17" s="109"/>
      <c r="AK17" s="111"/>
      <c r="AL17" s="109"/>
      <c r="AM17" s="111"/>
      <c r="AN17" s="111"/>
      <c r="AO17" s="111"/>
      <c r="AP17" s="111"/>
      <c r="AQ17" s="111"/>
      <c r="AR17" s="117"/>
      <c r="AS17" s="117"/>
      <c r="AT17" s="117"/>
    </row>
    <row r="18" s="13" customFormat="1" ht="18" customHeight="1" spans="1:46">
      <c r="A18" s="46"/>
      <c r="B18" s="47" t="s">
        <v>177</v>
      </c>
      <c r="C18" s="47"/>
      <c r="D18" s="48"/>
      <c r="E18" s="49"/>
      <c r="F18" s="50"/>
      <c r="G18" s="51"/>
      <c r="H18" s="50"/>
      <c r="I18" s="79"/>
      <c r="J18" s="80"/>
      <c r="K18" s="79"/>
      <c r="L18" s="81">
        <f>SUM(L4:L17)</f>
        <v>179682.87</v>
      </c>
      <c r="M18" s="81">
        <f t="shared" ref="M18:AL18" si="8">SUM(M4:M17)</f>
        <v>4059.05</v>
      </c>
      <c r="N18" s="81">
        <f t="shared" si="8"/>
        <v>143.08</v>
      </c>
      <c r="O18" s="81">
        <f t="shared" si="8"/>
        <v>1099.6</v>
      </c>
      <c r="P18" s="81">
        <f t="shared" si="8"/>
        <v>3214.2</v>
      </c>
      <c r="Q18" s="81">
        <f t="shared" si="8"/>
        <v>8515.93</v>
      </c>
      <c r="R18" s="81">
        <f t="shared" si="8"/>
        <v>0</v>
      </c>
      <c r="S18" s="81">
        <f t="shared" si="8"/>
        <v>179682.87</v>
      </c>
      <c r="T18" s="81">
        <f t="shared" si="8"/>
        <v>65000</v>
      </c>
      <c r="U18" s="81">
        <f t="shared" si="8"/>
        <v>8515.93</v>
      </c>
      <c r="V18" s="81">
        <f t="shared" si="8"/>
        <v>16000</v>
      </c>
      <c r="W18" s="81">
        <f t="shared" si="8"/>
        <v>8000</v>
      </c>
      <c r="X18" s="81">
        <f t="shared" si="8"/>
        <v>15000</v>
      </c>
      <c r="Y18" s="81">
        <f t="shared" si="8"/>
        <v>6000</v>
      </c>
      <c r="Z18" s="81">
        <f t="shared" si="8"/>
        <v>0</v>
      </c>
      <c r="AA18" s="81">
        <f t="shared" si="8"/>
        <v>0</v>
      </c>
      <c r="AB18" s="81">
        <f t="shared" si="8"/>
        <v>45000</v>
      </c>
      <c r="AC18" s="81">
        <f t="shared" si="8"/>
        <v>0</v>
      </c>
      <c r="AD18" s="81">
        <f t="shared" si="8"/>
        <v>61166.94</v>
      </c>
      <c r="AE18" s="81">
        <f t="shared" si="8"/>
        <v>2162.23</v>
      </c>
      <c r="AF18" s="81">
        <f t="shared" si="8"/>
        <v>0</v>
      </c>
      <c r="AG18" s="81">
        <f t="shared" si="8"/>
        <v>2162.23</v>
      </c>
      <c r="AH18" s="81">
        <f t="shared" si="8"/>
        <v>169004.71</v>
      </c>
      <c r="AI18" s="81">
        <f t="shared" si="8"/>
        <v>0</v>
      </c>
      <c r="AJ18" s="81">
        <f t="shared" si="8"/>
        <v>169004.71</v>
      </c>
      <c r="AK18" s="81">
        <f t="shared" si="8"/>
        <v>0</v>
      </c>
      <c r="AL18" s="81">
        <f t="shared" si="8"/>
        <v>171166.94</v>
      </c>
      <c r="AM18" s="112"/>
      <c r="AN18" s="112"/>
      <c r="AO18" s="112"/>
      <c r="AP18" s="112"/>
      <c r="AQ18" s="112"/>
      <c r="AR18" s="50"/>
      <c r="AS18" s="50"/>
      <c r="AT18" s="118"/>
    </row>
    <row r="21" spans="30:30">
      <c r="AD21" s="103"/>
    </row>
    <row r="22" ht="18.75" customHeight="1" spans="2:33">
      <c r="B22" s="52" t="s">
        <v>127</v>
      </c>
      <c r="C22" s="52" t="s">
        <v>178</v>
      </c>
      <c r="D22" s="52" t="s">
        <v>57</v>
      </c>
      <c r="E22" s="52" t="s">
        <v>58</v>
      </c>
      <c r="AD22" s="10"/>
      <c r="AG22" s="131"/>
    </row>
    <row r="23" ht="18.75" customHeight="1" spans="2:5">
      <c r="B23" s="53">
        <f>AJ18</f>
        <v>169004.71</v>
      </c>
      <c r="C23" s="53">
        <f>AG18</f>
        <v>2162.23</v>
      </c>
      <c r="D23" s="53">
        <f>AK18</f>
        <v>0</v>
      </c>
      <c r="E23" s="53">
        <f>B23+C23+D23</f>
        <v>171166.94</v>
      </c>
    </row>
    <row r="24" spans="2:5">
      <c r="B24" s="54"/>
      <c r="C24" s="54"/>
      <c r="D24" s="54"/>
      <c r="E24" s="54" t="e">
        <f>#REF!</f>
        <v>#REF!</v>
      </c>
    </row>
    <row r="25" s="14" customFormat="1" spans="1:35">
      <c r="A25" s="55" t="s">
        <v>179</v>
      </c>
      <c r="B25" s="56" t="s">
        <v>180</v>
      </c>
      <c r="C25" s="57"/>
      <c r="D25" s="57"/>
      <c r="E25" s="57"/>
      <c r="G25" s="58"/>
      <c r="J25" s="82"/>
      <c r="M25" s="83"/>
      <c r="AI25" s="113"/>
    </row>
    <row r="26" s="14" customFormat="1" spans="1:35">
      <c r="A26" s="59"/>
      <c r="B26" s="60" t="s">
        <v>181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6"/>
      <c r="B27" s="60" t="s">
        <v>182</v>
      </c>
      <c r="C27" s="61"/>
      <c r="D27" s="61"/>
      <c r="E27" s="61"/>
      <c r="F27" s="61"/>
      <c r="G27" s="61"/>
      <c r="H27" s="61"/>
      <c r="I27" s="61"/>
      <c r="J27" s="84"/>
      <c r="K27" s="61"/>
      <c r="L27" s="61"/>
      <c r="M27" s="85"/>
      <c r="N27" s="61"/>
      <c r="O27" s="61"/>
      <c r="P27" s="61"/>
      <c r="AI27" s="113"/>
    </row>
    <row r="28" s="14" customFormat="1" customHeight="1" spans="1:35">
      <c r="A28" s="60"/>
      <c r="B28" s="60" t="s">
        <v>183</v>
      </c>
      <c r="C28" s="62"/>
      <c r="D28" s="62"/>
      <c r="E28" s="62"/>
      <c r="F28" s="62"/>
      <c r="G28" s="62"/>
      <c r="H28" s="62"/>
      <c r="I28" s="86"/>
      <c r="J28" s="87"/>
      <c r="K28" s="86"/>
      <c r="L28" s="86"/>
      <c r="M28" s="88"/>
      <c r="N28" s="86"/>
      <c r="O28" s="86"/>
      <c r="P28" s="86"/>
      <c r="AI28" s="113"/>
    </row>
    <row r="29" s="14" customFormat="1" customHeight="1" spans="1:35">
      <c r="A29" s="60"/>
      <c r="B29" s="60" t="s">
        <v>184</v>
      </c>
      <c r="C29" s="62"/>
      <c r="D29" s="62"/>
      <c r="E29" s="62"/>
      <c r="F29" s="62"/>
      <c r="G29" s="62"/>
      <c r="H29" s="62"/>
      <c r="I29" s="62"/>
      <c r="J29" s="89"/>
      <c r="K29" s="62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185</v>
      </c>
      <c r="C30" s="62"/>
      <c r="D30" s="62"/>
      <c r="E30" s="62"/>
      <c r="F30" s="62"/>
      <c r="G30" s="62"/>
      <c r="H30" s="62"/>
      <c r="I30" s="86"/>
      <c r="J30" s="87"/>
      <c r="K30" s="86"/>
      <c r="L30" s="86"/>
      <c r="M30" s="88"/>
      <c r="N30" s="86"/>
      <c r="O30" s="86"/>
      <c r="P30" s="86"/>
      <c r="AI30" s="113"/>
    </row>
    <row r="32" ht="11.25" customHeight="1" spans="2:2">
      <c r="B32" s="63" t="s">
        <v>186</v>
      </c>
    </row>
    <row r="33" spans="2:2">
      <c r="B33" s="64" t="s">
        <v>187</v>
      </c>
    </row>
    <row r="34" spans="2:2">
      <c r="B34" s="64" t="s">
        <v>188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3" priority="2" stopIfTrue="1"/>
  </conditionalFormatting>
  <conditionalFormatting sqref="B25:B29">
    <cfRule type="duplicateValues" dxfId="3" priority="3" stopIfTrue="1"/>
  </conditionalFormatting>
  <conditionalFormatting sqref="B33:B34">
    <cfRule type="duplicateValues" dxfId="3" priority="1" stopIfTrue="1"/>
  </conditionalFormatting>
  <conditionalFormatting sqref="C22:C24">
    <cfRule type="duplicateValues" dxfId="3" priority="4" stopIfTrue="1"/>
    <cfRule type="expression" dxfId="4" priority="5" stopIfTrue="1">
      <formula>AND(COUNTIF($B$18:$B$65454,C22)+COUNTIF($B$1:$B$3,C22)&gt;1,NOT(ISBLANK(C22)))</formula>
    </cfRule>
    <cfRule type="expression" dxfId="4" priority="6" stopIfTrue="1">
      <formula>AND(COUNTIF($B$29:$B$65405,C22)+COUNTIF($B$1:$B$28,C22)&gt;1,NOT(ISBLANK(C22)))</formula>
    </cfRule>
    <cfRule type="expression" dxfId="4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8" sqref="V7:W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39">
        <v>18035163638</v>
      </c>
      <c r="H4" s="40"/>
      <c r="I4" s="40"/>
      <c r="J4" s="74"/>
      <c r="K4" s="40"/>
      <c r="L4" s="75">
        <v>10870</v>
      </c>
      <c r="M4" s="76">
        <v>264</v>
      </c>
      <c r="N4" s="76">
        <v>66</v>
      </c>
      <c r="O4" s="76">
        <v>9.9</v>
      </c>
      <c r="P4" s="76">
        <v>180</v>
      </c>
      <c r="Q4" s="96">
        <f t="shared" ref="Q4:Q7" si="0">ROUND(SUM(M4:P4),2)</f>
        <v>519.9</v>
      </c>
      <c r="R4" s="78">
        <v>0</v>
      </c>
      <c r="S4" s="97">
        <f>L4+IFERROR(VLOOKUP($E:$E,'（居民）工资表-4月'!$E:$S,15,0),0)</f>
        <v>21880</v>
      </c>
      <c r="T4" s="98">
        <f>5000+IFERROR(VLOOKUP($E:$E,'（居民）工资表-4月'!$E:$T,16,0),0)</f>
        <v>10000</v>
      </c>
      <c r="U4" s="98">
        <f>Q4+IFERROR(VLOOKUP($E:$E,'（居民）工资表-4月'!$E:$U,17,0),0)</f>
        <v>1039.8</v>
      </c>
      <c r="V4" s="78">
        <v>5000</v>
      </c>
      <c r="W4" s="78"/>
      <c r="X4" s="78">
        <v>5000</v>
      </c>
      <c r="Y4" s="78"/>
      <c r="Z4" s="78"/>
      <c r="AA4" s="78"/>
      <c r="AB4" s="97">
        <f t="shared" ref="AB4:AB7" si="1">ROUND(SUM(V4:AA4),2)</f>
        <v>10000</v>
      </c>
      <c r="AC4" s="97">
        <f>R4+IFERROR(VLOOKUP($E:$E,'（居民）工资表-4月'!$E:$AC,25,0),0)</f>
        <v>0</v>
      </c>
      <c r="AD4" s="100">
        <f t="shared" ref="AD4:AD7" si="2">ROUND(S4-T4-U4-AB4-AC4,2)</f>
        <v>840.2</v>
      </c>
      <c r="AE4" s="101">
        <f>ROUND(MAX((AD4)*{0.03;0.1;0.2;0.25;0.3;0.35;0.45}-{0;2520;16920;31920;52920;85920;181920},0),2)</f>
        <v>25.21</v>
      </c>
      <c r="AF4" s="102">
        <f>IFERROR(VLOOKUP(E:E,'（居民）工资表-4月'!E:AF,28,0)+VLOOKUP(E:E,'（居民）工资表-4月'!E:AG,29,0),0)</f>
        <v>0</v>
      </c>
      <c r="AG4" s="102">
        <f t="shared" ref="AG4:AG7" si="3">IF((AE4-AF4)&lt;0,0,AE4-AF4)</f>
        <v>25.21</v>
      </c>
      <c r="AH4" s="109">
        <f t="shared" ref="AH4:AH7" si="4">ROUND(IF((L4-Q4-AG4)&lt;0,0,(L4-Q4-AG4)),2)</f>
        <v>10324.89</v>
      </c>
      <c r="AI4" s="110"/>
      <c r="AJ4" s="109">
        <f t="shared" ref="AJ4:AJ7" si="5">AH4+AI4</f>
        <v>10324.89</v>
      </c>
      <c r="AK4" s="111"/>
      <c r="AL4" s="109">
        <f t="shared" ref="AL4:AL7" si="6">AJ4+AG4+AK4</f>
        <v>10350.1</v>
      </c>
      <c r="AM4" s="111"/>
      <c r="AN4" s="111"/>
      <c r="AO4" s="111"/>
      <c r="AP4" s="111"/>
      <c r="AQ4" s="111"/>
      <c r="AR4" s="117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IF(SUMPRODUCT(N(E$1:E$7=E4))&gt;1,"重复","不")</f>
        <v>不</v>
      </c>
      <c r="AT4" s="117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39">
        <v>13944441728</v>
      </c>
      <c r="H5" s="40"/>
      <c r="I5" s="40"/>
      <c r="J5" s="74"/>
      <c r="K5" s="40"/>
      <c r="L5" s="75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L5+IFERROR(VLOOKUP($E:$E,'（居民）工资表-4月'!$E:$S,15,0),0)</f>
        <v>14000</v>
      </c>
      <c r="T5" s="98">
        <f>5000+IFERROR(VLOOKUP($E:$E,'（居民）工资表-4月'!$E:$T,16,0),0)</f>
        <v>10000</v>
      </c>
      <c r="U5" s="98">
        <f>Q5+IFERROR(VLOOKUP($E:$E,'（居民）工资表-4月'!$E:$U,17,0),0)</f>
        <v>907.9</v>
      </c>
      <c r="V5" s="78"/>
      <c r="W5" s="78"/>
      <c r="X5" s="78">
        <v>5000</v>
      </c>
      <c r="Y5" s="78"/>
      <c r="Z5" s="78"/>
      <c r="AA5" s="78"/>
      <c r="AB5" s="97">
        <f t="shared" si="1"/>
        <v>5000</v>
      </c>
      <c r="AC5" s="97">
        <f>R5+IFERROR(VLOOKUP($E:$E,'（居民）工资表-4月'!$E:$AC,25,0),0)</f>
        <v>0</v>
      </c>
      <c r="AD5" s="100">
        <f t="shared" si="2"/>
        <v>-1907.9</v>
      </c>
      <c r="AE5" s="101">
        <f>ROUND(MAX((AD5)*{0.03;0.1;0.2;0.25;0.3;0.35;0.45}-{0;2520;16920;31920;52920;85920;181920},0),2)</f>
        <v>0</v>
      </c>
      <c r="AF5" s="102">
        <f>IFERROR(VLOOKUP(E:E,'（居民）工资表-4月'!E:AF,28,0)+VLOOKUP(E:E,'（居民）工资表-4月'!E:AG,29,0),0)</f>
        <v>0</v>
      </c>
      <c r="AG5" s="102">
        <f t="shared" si="3"/>
        <v>0</v>
      </c>
      <c r="AH5" s="109">
        <f t="shared" si="4"/>
        <v>6567.05</v>
      </c>
      <c r="AI5" s="110"/>
      <c r="AJ5" s="109">
        <f t="shared" si="5"/>
        <v>6567.05</v>
      </c>
      <c r="AK5" s="111"/>
      <c r="AL5" s="109">
        <f t="shared" si="6"/>
        <v>6567.05</v>
      </c>
      <c r="AM5" s="111"/>
      <c r="AN5" s="111"/>
      <c r="AO5" s="111"/>
      <c r="AP5" s="111"/>
      <c r="AQ5" s="111"/>
      <c r="AR5" s="117" t="str">
        <f t="shared" si="7"/>
        <v>正确</v>
      </c>
      <c r="AS5" s="117" t="str">
        <f>IF(SUMPRODUCT(N(E$1:E$7=E5))&gt;1,"重复","不")</f>
        <v>不</v>
      </c>
      <c r="AT5" s="117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39">
        <v>15360550807</v>
      </c>
      <c r="H6" s="40"/>
      <c r="I6" s="40"/>
      <c r="J6" s="74"/>
      <c r="K6" s="40"/>
      <c r="L6" s="75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 t="shared" si="0"/>
        <v>621.78</v>
      </c>
      <c r="R6" s="78">
        <v>0</v>
      </c>
      <c r="S6" s="97">
        <f>L6+IFERROR(VLOOKUP($E:$E,'（居民）工资表-4月'!$E:$S,15,0),0)</f>
        <v>11400</v>
      </c>
      <c r="T6" s="98">
        <f>5000+IFERROR(VLOOKUP($E:$E,'（居民）工资表-4月'!$E:$T,16,0),0)</f>
        <v>10000</v>
      </c>
      <c r="U6" s="98">
        <f>Q6+IFERROR(VLOOKUP($E:$E,'（居民）工资表-4月'!$E:$U,17,0),0)</f>
        <v>1243.56</v>
      </c>
      <c r="V6" s="78"/>
      <c r="W6" s="78"/>
      <c r="X6" s="78"/>
      <c r="Y6" s="78">
        <v>7500</v>
      </c>
      <c r="Z6" s="78"/>
      <c r="AA6" s="78"/>
      <c r="AB6" s="97">
        <f t="shared" si="1"/>
        <v>7500</v>
      </c>
      <c r="AC6" s="97">
        <f>R6+IFERROR(VLOOKUP($E:$E,'（居民）工资表-4月'!$E:$AC,25,0),0)</f>
        <v>0</v>
      </c>
      <c r="AD6" s="100">
        <f t="shared" si="2"/>
        <v>-7343.56</v>
      </c>
      <c r="AE6" s="101">
        <f>ROUND(MAX((AD6)*{0.03;0.1;0.2;0.25;0.3;0.35;0.45}-{0;2520;16920;31920;52920;85920;181920},0),2)</f>
        <v>0</v>
      </c>
      <c r="AF6" s="102">
        <f>IFERROR(VLOOKUP(E:E,'（居民）工资表-4月'!E:AF,28,0)+VLOOKUP(E:E,'（居民）工资表-4月'!E:AG,29,0),0)</f>
        <v>0</v>
      </c>
      <c r="AG6" s="102">
        <f t="shared" si="3"/>
        <v>0</v>
      </c>
      <c r="AH6" s="109">
        <f t="shared" si="4"/>
        <v>5078.22</v>
      </c>
      <c r="AI6" s="110"/>
      <c r="AJ6" s="109">
        <f t="shared" si="5"/>
        <v>5078.22</v>
      </c>
      <c r="AK6" s="111"/>
      <c r="AL6" s="109">
        <f t="shared" si="6"/>
        <v>5078.22</v>
      </c>
      <c r="AM6" s="111"/>
      <c r="AN6" s="111"/>
      <c r="AO6" s="111"/>
      <c r="AP6" s="111"/>
      <c r="AQ6" s="111"/>
      <c r="AR6" s="117" t="str">
        <f t="shared" si="7"/>
        <v>正确</v>
      </c>
      <c r="AS6" s="117" t="str">
        <f>IF(SUMPRODUCT(N(E$1:E$7=E6))&gt;1,"重复","不")</f>
        <v>不</v>
      </c>
      <c r="AT6" s="117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39">
        <v>18607383005</v>
      </c>
      <c r="H7" s="40"/>
      <c r="I7" s="40"/>
      <c r="J7" s="74"/>
      <c r="K7" s="40"/>
      <c r="L7" s="75">
        <v>27000</v>
      </c>
      <c r="M7" s="76">
        <v>320</v>
      </c>
      <c r="N7" s="76">
        <v>80</v>
      </c>
      <c r="O7" s="76">
        <v>12</v>
      </c>
      <c r="P7" s="76">
        <v>200</v>
      </c>
      <c r="Q7" s="96">
        <f t="shared" si="0"/>
        <v>612</v>
      </c>
      <c r="R7" s="78">
        <v>0</v>
      </c>
      <c r="S7" s="97">
        <f>L7+IFERROR(VLOOKUP($E:$E,'（居民）工资表-4月'!$E:$S,15,0),0)</f>
        <v>52000</v>
      </c>
      <c r="T7" s="98">
        <f>5000+IFERROR(VLOOKUP($E:$E,'（居民）工资表-4月'!$E:$T,16,0),0)</f>
        <v>10000</v>
      </c>
      <c r="U7" s="98">
        <f>Q7+IFERROR(VLOOKUP($E:$E,'（居民）工资表-4月'!$E:$U,17,0),0)</f>
        <v>1224</v>
      </c>
      <c r="V7" s="78">
        <v>10000</v>
      </c>
      <c r="W7" s="78">
        <v>5000</v>
      </c>
      <c r="X7" s="78"/>
      <c r="Y7" s="78"/>
      <c r="Z7" s="78"/>
      <c r="AA7" s="78"/>
      <c r="AB7" s="97">
        <f t="shared" si="1"/>
        <v>15000</v>
      </c>
      <c r="AC7" s="97">
        <f>R7+IFERROR(VLOOKUP($E:$E,'（居民）工资表-4月'!$E:$AC,25,0),0)</f>
        <v>0</v>
      </c>
      <c r="AD7" s="100">
        <f t="shared" si="2"/>
        <v>25776</v>
      </c>
      <c r="AE7" s="101">
        <f>ROUND(MAX((AD7)*{0.03;0.1;0.2;0.25;0.3;0.35;0.45}-{0;2520;16920;31920;52920;85920;181920},0),2)</f>
        <v>773.28</v>
      </c>
      <c r="AF7" s="102">
        <f>IFERROR(VLOOKUP(E:E,'（居民）工资表-4月'!E:AF,28,0)+VLOOKUP(E:E,'（居民）工资表-4月'!E:AG,29,0),0)</f>
        <v>221.64</v>
      </c>
      <c r="AG7" s="102">
        <f t="shared" ref="AG7:AG19" si="8">IF((AE7-AF7)&lt;0,0,AE7-AF7)</f>
        <v>551.64</v>
      </c>
      <c r="AH7" s="109">
        <f t="shared" ref="AH7:AH19" si="9">ROUND(IF((L7-Q7-AG7)&lt;0,0,(L7-Q7-AG7)),2)</f>
        <v>25836.36</v>
      </c>
      <c r="AI7" s="110"/>
      <c r="AJ7" s="109">
        <f t="shared" si="5"/>
        <v>25836.36</v>
      </c>
      <c r="AK7" s="111"/>
      <c r="AL7" s="109">
        <f t="shared" si="6"/>
        <v>26388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>IF(SUMPRODUCT(N(E$1:E$7=E7))&gt;1,"重复","不")</f>
        <v>不</v>
      </c>
      <c r="AT7" s="117" t="str">
        <f>IF(SUMPRODUCT(N(AO$1:AO$7=AO7))&gt;1,"重复","不")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39">
        <v>13373825180</v>
      </c>
      <c r="H8" s="40"/>
      <c r="I8" s="40"/>
      <c r="J8" s="74"/>
      <c r="K8" s="40"/>
      <c r="L8" s="75">
        <v>30739</v>
      </c>
      <c r="M8" s="76">
        <v>296</v>
      </c>
      <c r="N8" s="76">
        <v>74</v>
      </c>
      <c r="O8" s="76">
        <v>11.1</v>
      </c>
      <c r="P8" s="76">
        <v>85</v>
      </c>
      <c r="Q8" s="96">
        <f t="shared" ref="Q8:Q19" si="10">ROUND(SUM(M8:P8),2)</f>
        <v>466.1</v>
      </c>
      <c r="R8" s="78">
        <v>0</v>
      </c>
      <c r="S8" s="97">
        <f>L8+IFERROR(VLOOKUP($E:$E,'（居民）工资表-4月'!$E:$S,15,0),0)</f>
        <v>59478</v>
      </c>
      <c r="T8" s="98">
        <f>5000+IFERROR(VLOOKUP($E:$E,'（居民）工资表-4月'!$E:$T,16,0),0)</f>
        <v>10000</v>
      </c>
      <c r="U8" s="98">
        <f>Q8+IFERROR(VLOOKUP($E:$E,'（居民）工资表-4月'!$E:$U,17,0),0)</f>
        <v>932.2</v>
      </c>
      <c r="V8" s="78">
        <v>5000</v>
      </c>
      <c r="W8" s="78">
        <v>5000</v>
      </c>
      <c r="X8" s="78">
        <v>5000</v>
      </c>
      <c r="Y8" s="78"/>
      <c r="Z8" s="78"/>
      <c r="AA8" s="78"/>
      <c r="AB8" s="97">
        <f t="shared" ref="AB8:AB19" si="11">ROUND(SUM(V8:AA8),2)</f>
        <v>15000</v>
      </c>
      <c r="AC8" s="97">
        <f>R8+IFERROR(VLOOKUP($E:$E,'（居民）工资表-4月'!$E:$AC,25,0),0)</f>
        <v>0</v>
      </c>
      <c r="AD8" s="100">
        <f t="shared" ref="AD8:AD19" si="12">ROUND(S8-T8-U8-AB8-AC8,2)</f>
        <v>33545.8</v>
      </c>
      <c r="AE8" s="101">
        <f>ROUND(MAX((AD8)*{0.03;0.1;0.2;0.25;0.3;0.35;0.45}-{0;2520;16920;31920;52920;85920;181920},0),2)</f>
        <v>1006.37</v>
      </c>
      <c r="AF8" s="102">
        <f>IFERROR(VLOOKUP(E:E,'（居民）工资表-4月'!E:AF,28,0)+VLOOKUP(E:E,'（居民）工资表-4月'!E:AG,29,0),0)</f>
        <v>338.19</v>
      </c>
      <c r="AG8" s="102">
        <f t="shared" si="8"/>
        <v>668.18</v>
      </c>
      <c r="AH8" s="109">
        <f t="shared" si="9"/>
        <v>29604.72</v>
      </c>
      <c r="AI8" s="110"/>
      <c r="AJ8" s="109">
        <f t="shared" ref="AJ8:AJ19" si="13">AH8+AI8</f>
        <v>29604.72</v>
      </c>
      <c r="AK8" s="111"/>
      <c r="AL8" s="109">
        <f t="shared" ref="AL8:AL19" si="14">AJ8+AG8+AK8</f>
        <v>30272.9</v>
      </c>
      <c r="AM8" s="111"/>
      <c r="AN8" s="111"/>
      <c r="AO8" s="111"/>
      <c r="AP8" s="111"/>
      <c r="AQ8" s="111"/>
      <c r="AR8" s="117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 t="shared" ref="AS8:AS17" si="16">IF(SUMPRODUCT(N(E$1:E$7=E8))&gt;1,"重复","不")</f>
        <v>不</v>
      </c>
      <c r="AT8" s="117" t="str">
        <f t="shared" ref="AT8:AT17" si="17">IF(SUMPRODUCT(N(AO$1:AO$7=AO8))&gt;1,"重复","不")</f>
        <v>重复</v>
      </c>
    </row>
    <row r="9" s="12" customFormat="1" ht="18" customHeight="1" spans="1:46">
      <c r="A9" s="36">
        <v>6</v>
      </c>
      <c r="B9" s="41" t="s">
        <v>146</v>
      </c>
      <c r="C9" s="41" t="s">
        <v>152</v>
      </c>
      <c r="D9" s="41" t="s">
        <v>147</v>
      </c>
      <c r="E9" s="41" t="s">
        <v>153</v>
      </c>
      <c r="F9" s="42" t="s">
        <v>148</v>
      </c>
      <c r="G9" s="43">
        <v>18037463616</v>
      </c>
      <c r="H9" s="44"/>
      <c r="I9" s="44"/>
      <c r="J9" s="77"/>
      <c r="K9" s="44"/>
      <c r="L9" s="75">
        <v>14320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10"/>
        <v>582.12</v>
      </c>
      <c r="R9" s="78">
        <v>0</v>
      </c>
      <c r="S9" s="97">
        <f>L9+IFERROR(VLOOKUP($E:$E,'（居民）工资表-4月'!$E:$S,15,0),0)</f>
        <v>28640</v>
      </c>
      <c r="T9" s="98">
        <f>5000+IFERROR(VLOOKUP($E:$E,'（居民）工资表-4月'!$E:$T,16,0),0)</f>
        <v>10000</v>
      </c>
      <c r="U9" s="98">
        <f>Q9+IFERROR(VLOOKUP($E:$E,'（居民）工资表-4月'!$E:$U,17,0),0)</f>
        <v>1164.24</v>
      </c>
      <c r="V9" s="78"/>
      <c r="W9" s="78"/>
      <c r="X9" s="78">
        <v>4000</v>
      </c>
      <c r="Y9" s="78"/>
      <c r="Z9" s="78"/>
      <c r="AA9" s="78"/>
      <c r="AB9" s="97">
        <f t="shared" si="11"/>
        <v>4000</v>
      </c>
      <c r="AC9" s="97">
        <f>R9+IFERROR(VLOOKUP($E:$E,'（居民）工资表-4月'!$E:$AC,25,0),0)</f>
        <v>0</v>
      </c>
      <c r="AD9" s="100">
        <f t="shared" si="12"/>
        <v>13475.76</v>
      </c>
      <c r="AE9" s="101">
        <f>ROUND(MAX((AD9)*{0.03;0.1;0.2;0.25;0.3;0.35;0.45}-{0;2520;16920;31920;52920;85920;181920},0),2)</f>
        <v>404.27</v>
      </c>
      <c r="AF9" s="102">
        <f>IFERROR(VLOOKUP(E:E,'（居民）工资表-4月'!E:AF,28,0)+VLOOKUP(E:E,'（居民）工资表-4月'!E:AG,29,0),0)</f>
        <v>172.14</v>
      </c>
      <c r="AG9" s="102">
        <f t="shared" si="8"/>
        <v>232.13</v>
      </c>
      <c r="AH9" s="109">
        <f t="shared" si="9"/>
        <v>13505.75</v>
      </c>
      <c r="AI9" s="110"/>
      <c r="AJ9" s="109">
        <f t="shared" si="13"/>
        <v>13505.75</v>
      </c>
      <c r="AK9" s="111"/>
      <c r="AL9" s="109">
        <f t="shared" si="14"/>
        <v>13737.88</v>
      </c>
      <c r="AM9" s="111"/>
      <c r="AN9" s="111"/>
      <c r="AO9" s="111"/>
      <c r="AP9" s="111"/>
      <c r="AQ9" s="111"/>
      <c r="AR9" s="117" t="str">
        <f t="shared" si="15"/>
        <v>正确</v>
      </c>
      <c r="AS9" s="117" t="str">
        <f t="shared" si="16"/>
        <v>不</v>
      </c>
      <c r="AT9" s="117" t="str">
        <f t="shared" si="17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39">
        <v>18500634358</v>
      </c>
      <c r="H10" s="40"/>
      <c r="I10" s="40"/>
      <c r="J10" s="74"/>
      <c r="K10" s="40"/>
      <c r="L10" s="75">
        <v>14620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10"/>
        <v>582.12</v>
      </c>
      <c r="R10" s="78">
        <v>0</v>
      </c>
      <c r="S10" s="97">
        <f>L10+IFERROR(VLOOKUP($E:$E,'（居民）工资表-4月'!$E:$S,15,0),0)</f>
        <v>29540</v>
      </c>
      <c r="T10" s="98">
        <f>5000+IFERROR(VLOOKUP($E:$E,'（居民）工资表-4月'!$E:$T,16,0),0)</f>
        <v>10000</v>
      </c>
      <c r="U10" s="98">
        <f>Q10+IFERROR(VLOOKUP($E:$E,'（居民）工资表-4月'!$E:$U,17,0),0)</f>
        <v>1164.24</v>
      </c>
      <c r="V10" s="78"/>
      <c r="W10" s="78"/>
      <c r="X10" s="78"/>
      <c r="Y10" s="78"/>
      <c r="Z10" s="78"/>
      <c r="AA10" s="78"/>
      <c r="AB10" s="97">
        <f t="shared" si="11"/>
        <v>0</v>
      </c>
      <c r="AC10" s="97">
        <f>R10+IFERROR(VLOOKUP($E:$E,'（居民）工资表-4月'!$E:$AC,25,0),0)</f>
        <v>0</v>
      </c>
      <c r="AD10" s="100">
        <f t="shared" si="12"/>
        <v>18375.76</v>
      </c>
      <c r="AE10" s="101">
        <f>ROUND(MAX((AD10)*{0.03;0.1;0.2;0.25;0.3;0.35;0.45}-{0;2520;16920;31920;52920;85920;181920},0),2)</f>
        <v>551.27</v>
      </c>
      <c r="AF10" s="102">
        <f>IFERROR(VLOOKUP(E:E,'（居民）工资表-4月'!E:AF,28,0)+VLOOKUP(E:E,'（居民）工资表-4月'!E:AG,29,0),0)</f>
        <v>280.14</v>
      </c>
      <c r="AG10" s="102">
        <f t="shared" si="8"/>
        <v>271.13</v>
      </c>
      <c r="AH10" s="109">
        <f t="shared" si="9"/>
        <v>13766.75</v>
      </c>
      <c r="AI10" s="110"/>
      <c r="AJ10" s="109">
        <f t="shared" si="13"/>
        <v>13766.75</v>
      </c>
      <c r="AK10" s="111"/>
      <c r="AL10" s="109">
        <f t="shared" si="14"/>
        <v>14037.88</v>
      </c>
      <c r="AM10" s="111"/>
      <c r="AN10" s="111"/>
      <c r="AO10" s="111"/>
      <c r="AP10" s="111"/>
      <c r="AQ10" s="111"/>
      <c r="AR10" s="117" t="str">
        <f t="shared" si="15"/>
        <v>正确</v>
      </c>
      <c r="AS10" s="117" t="str">
        <f t="shared" si="16"/>
        <v>不</v>
      </c>
      <c r="AT10" s="117" t="str">
        <f t="shared" si="17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39">
        <v>18738169923</v>
      </c>
      <c r="H11" s="40"/>
      <c r="I11" s="40"/>
      <c r="J11" s="74"/>
      <c r="K11" s="40"/>
      <c r="L11" s="75">
        <v>12120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10"/>
        <v>582.12</v>
      </c>
      <c r="R11" s="78">
        <v>0</v>
      </c>
      <c r="S11" s="97">
        <f>L11+IFERROR(VLOOKUP($E:$E,'（居民）工资表-4月'!$E:$S,15,0),0)</f>
        <v>24540</v>
      </c>
      <c r="T11" s="98">
        <f>5000+IFERROR(VLOOKUP($E:$E,'（居民）工资表-4月'!$E:$T,16,0),0)</f>
        <v>10000</v>
      </c>
      <c r="U11" s="98">
        <f>Q11+IFERROR(VLOOKUP($E:$E,'（居民）工资表-4月'!$E:$U,17,0),0)</f>
        <v>1164.24</v>
      </c>
      <c r="V11" s="78"/>
      <c r="W11" s="78"/>
      <c r="X11" s="78"/>
      <c r="Y11" s="78"/>
      <c r="Z11" s="78"/>
      <c r="AA11" s="78"/>
      <c r="AB11" s="97">
        <f t="shared" si="11"/>
        <v>0</v>
      </c>
      <c r="AC11" s="97">
        <f>R11+IFERROR(VLOOKUP($E:$E,'（居民）工资表-4月'!$E:$AC,25,0),0)</f>
        <v>0</v>
      </c>
      <c r="AD11" s="100">
        <f t="shared" si="12"/>
        <v>13375.76</v>
      </c>
      <c r="AE11" s="101">
        <f>ROUND(MAX((AD11)*{0.03;0.1;0.2;0.25;0.3;0.35;0.45}-{0;2520;16920;31920;52920;85920;181920},0),2)</f>
        <v>401.27</v>
      </c>
      <c r="AF11" s="102">
        <f>IFERROR(VLOOKUP(E:E,'（居民）工资表-4月'!E:AF,28,0)+VLOOKUP(E:E,'（居民）工资表-4月'!E:AG,29,0),0)</f>
        <v>205.14</v>
      </c>
      <c r="AG11" s="102">
        <f t="shared" si="8"/>
        <v>196.13</v>
      </c>
      <c r="AH11" s="109">
        <f t="shared" si="9"/>
        <v>11341.75</v>
      </c>
      <c r="AI11" s="110"/>
      <c r="AJ11" s="109">
        <f t="shared" si="13"/>
        <v>11341.75</v>
      </c>
      <c r="AK11" s="111"/>
      <c r="AL11" s="109">
        <f t="shared" si="14"/>
        <v>11537.88</v>
      </c>
      <c r="AM11" s="111"/>
      <c r="AN11" s="111"/>
      <c r="AO11" s="111"/>
      <c r="AP11" s="111"/>
      <c r="AQ11" s="111"/>
      <c r="AR11" s="117" t="str">
        <f t="shared" si="15"/>
        <v>正确</v>
      </c>
      <c r="AS11" s="117" t="str">
        <f t="shared" si="16"/>
        <v>不</v>
      </c>
      <c r="AT11" s="117" t="str">
        <f t="shared" si="17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158</v>
      </c>
      <c r="D12" s="37" t="s">
        <v>147</v>
      </c>
      <c r="E12" s="37" t="s">
        <v>159</v>
      </c>
      <c r="F12" s="38" t="s">
        <v>148</v>
      </c>
      <c r="G12" s="39" t="s">
        <v>160</v>
      </c>
      <c r="H12" s="40"/>
      <c r="I12" s="40"/>
      <c r="J12" s="74"/>
      <c r="K12" s="40"/>
      <c r="L12" s="75">
        <v>17120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10"/>
        <v>582.12</v>
      </c>
      <c r="R12" s="78">
        <v>0</v>
      </c>
      <c r="S12" s="97">
        <f>L12+IFERROR(VLOOKUP($E:$E,'（居民）工资表-4月'!$E:$S,15,0),0)</f>
        <v>35134.74</v>
      </c>
      <c r="T12" s="98">
        <f>5000+IFERROR(VLOOKUP($E:$E,'（居民）工资表-4月'!$E:$T,16,0),0)</f>
        <v>10000</v>
      </c>
      <c r="U12" s="98">
        <f>Q12+IFERROR(VLOOKUP($E:$E,'（居民）工资表-4月'!$E:$U,17,0),0)</f>
        <v>1746.36</v>
      </c>
      <c r="V12" s="78"/>
      <c r="W12" s="78"/>
      <c r="X12" s="78"/>
      <c r="Y12" s="78"/>
      <c r="Z12" s="78"/>
      <c r="AA12" s="78"/>
      <c r="AB12" s="97">
        <f t="shared" si="11"/>
        <v>0</v>
      </c>
      <c r="AC12" s="97">
        <f>R12+IFERROR(VLOOKUP($E:$E,'（居民）工资表-4月'!$E:$AC,25,0),0)</f>
        <v>0</v>
      </c>
      <c r="AD12" s="100">
        <f t="shared" si="12"/>
        <v>23388.38</v>
      </c>
      <c r="AE12" s="101">
        <f>ROUND(MAX((AD12)*{0.03;0.1;0.2;0.25;0.3;0.35;0.45}-{0;2520;16920;31920;52920;85920;181920},0),2)</f>
        <v>701.65</v>
      </c>
      <c r="AF12" s="102">
        <f>IFERROR(VLOOKUP(E:E,'（居民）工资表-4月'!E:AF,28,0)+VLOOKUP(E:E,'（居民）工资表-4月'!E:AG,29,0),0)</f>
        <v>355.52</v>
      </c>
      <c r="AG12" s="102">
        <f t="shared" si="8"/>
        <v>346.13</v>
      </c>
      <c r="AH12" s="109">
        <f t="shared" si="9"/>
        <v>16191.75</v>
      </c>
      <c r="AI12" s="110"/>
      <c r="AJ12" s="109">
        <f t="shared" si="13"/>
        <v>16191.75</v>
      </c>
      <c r="AK12" s="111"/>
      <c r="AL12" s="109">
        <f t="shared" si="14"/>
        <v>16537.88</v>
      </c>
      <c r="AM12" s="111"/>
      <c r="AN12" s="111"/>
      <c r="AO12" s="111"/>
      <c r="AP12" s="111"/>
      <c r="AQ12" s="111"/>
      <c r="AR12" s="117" t="str">
        <f t="shared" si="15"/>
        <v>正确</v>
      </c>
      <c r="AS12" s="117" t="str">
        <f t="shared" si="16"/>
        <v>不</v>
      </c>
      <c r="AT12" s="117" t="str">
        <f t="shared" si="17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161</v>
      </c>
      <c r="D13" s="37" t="s">
        <v>147</v>
      </c>
      <c r="E13" s="37" t="s">
        <v>162</v>
      </c>
      <c r="F13" s="38" t="s">
        <v>148</v>
      </c>
      <c r="G13" s="39" t="s">
        <v>163</v>
      </c>
      <c r="H13" s="40"/>
      <c r="I13" s="40"/>
      <c r="J13" s="74"/>
      <c r="K13" s="40"/>
      <c r="L13" s="75">
        <v>18420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10"/>
        <v>582.12</v>
      </c>
      <c r="R13" s="78">
        <v>0</v>
      </c>
      <c r="S13" s="97">
        <f>L13+IFERROR(VLOOKUP($E:$E,'（居民）工资表-4月'!$E:$S,15,0),0)</f>
        <v>33537.39</v>
      </c>
      <c r="T13" s="98">
        <f>5000+IFERROR(VLOOKUP($E:$E,'（居民）工资表-4月'!$E:$T,16,0),0)</f>
        <v>10000</v>
      </c>
      <c r="U13" s="98">
        <f>Q13+IFERROR(VLOOKUP($E:$E,'（居民）工资表-4月'!$E:$U,17,0),0)</f>
        <v>1746.36</v>
      </c>
      <c r="V13" s="78"/>
      <c r="W13" s="78"/>
      <c r="X13" s="78"/>
      <c r="Y13" s="78"/>
      <c r="Z13" s="78"/>
      <c r="AA13" s="78"/>
      <c r="AB13" s="97">
        <f t="shared" si="11"/>
        <v>0</v>
      </c>
      <c r="AC13" s="97">
        <f>R13+IFERROR(VLOOKUP($E:$E,'（居民）工资表-4月'!$E:$AC,25,0),0)</f>
        <v>0</v>
      </c>
      <c r="AD13" s="100">
        <f t="shared" si="12"/>
        <v>21791.03</v>
      </c>
      <c r="AE13" s="101">
        <f>ROUND(MAX((AD13)*{0.03;0.1;0.2;0.25;0.3;0.35;0.45}-{0;2520;16920;31920;52920;85920;181920},0),2)</f>
        <v>653.73</v>
      </c>
      <c r="AF13" s="102">
        <f>IFERROR(VLOOKUP(E:E,'（居民）工资表-4月'!E:AF,28,0)+VLOOKUP(E:E,'（居民）工资表-4月'!E:AG,29,0),0)</f>
        <v>268.59</v>
      </c>
      <c r="AG13" s="102">
        <f t="shared" si="8"/>
        <v>385.14</v>
      </c>
      <c r="AH13" s="109">
        <f t="shared" si="9"/>
        <v>17452.74</v>
      </c>
      <c r="AI13" s="110"/>
      <c r="AJ13" s="109">
        <f t="shared" si="13"/>
        <v>17452.74</v>
      </c>
      <c r="AK13" s="111"/>
      <c r="AL13" s="109">
        <f t="shared" si="14"/>
        <v>17837.88</v>
      </c>
      <c r="AM13" s="111"/>
      <c r="AN13" s="111"/>
      <c r="AO13" s="111"/>
      <c r="AP13" s="111"/>
      <c r="AQ13" s="111"/>
      <c r="AR13" s="117" t="str">
        <f t="shared" si="15"/>
        <v>正确</v>
      </c>
      <c r="AS13" s="117" t="str">
        <f t="shared" si="16"/>
        <v>不</v>
      </c>
      <c r="AT13" s="117" t="str">
        <f t="shared" si="17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164</v>
      </c>
      <c r="D14" s="37" t="s">
        <v>147</v>
      </c>
      <c r="E14" s="37" t="s">
        <v>165</v>
      </c>
      <c r="F14" s="38" t="s">
        <v>148</v>
      </c>
      <c r="G14" s="39" t="s">
        <v>166</v>
      </c>
      <c r="H14" s="40"/>
      <c r="I14" s="40"/>
      <c r="J14" s="74"/>
      <c r="K14" s="40"/>
      <c r="L14" s="75">
        <v>13620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10"/>
        <v>582.12</v>
      </c>
      <c r="R14" s="78">
        <v>0</v>
      </c>
      <c r="S14" s="97">
        <f>L14+IFERROR(VLOOKUP($E:$E,'（居民）工资表-4月'!$E:$S,15,0),0)</f>
        <v>24772.17</v>
      </c>
      <c r="T14" s="98">
        <f>5000+IFERROR(VLOOKUP($E:$E,'（居民）工资表-4月'!$E:$T,16,0),0)</f>
        <v>10000</v>
      </c>
      <c r="U14" s="98">
        <f>Q14+IFERROR(VLOOKUP($E:$E,'（居民）工资表-4月'!$E:$U,17,0),0)</f>
        <v>1746.36</v>
      </c>
      <c r="V14" s="78"/>
      <c r="W14" s="78"/>
      <c r="X14" s="78"/>
      <c r="Y14" s="78"/>
      <c r="Z14" s="78"/>
      <c r="AA14" s="78"/>
      <c r="AB14" s="97">
        <f t="shared" si="11"/>
        <v>0</v>
      </c>
      <c r="AC14" s="97">
        <f>R14+IFERROR(VLOOKUP($E:$E,'（居民）工资表-4月'!$E:$AC,25,0),0)</f>
        <v>0</v>
      </c>
      <c r="AD14" s="100">
        <f t="shared" si="12"/>
        <v>13025.81</v>
      </c>
      <c r="AE14" s="101">
        <f>ROUND(MAX((AD14)*{0.03;0.1;0.2;0.25;0.3;0.35;0.45}-{0;2520;16920;31920;52920;85920;181920},0),2)</f>
        <v>390.77</v>
      </c>
      <c r="AF14" s="102">
        <f>IFERROR(VLOOKUP(E:E,'（居民）工资表-4月'!E:AF,28,0)+VLOOKUP(E:E,'（居民）工资表-4月'!E:AG,29,0),0)</f>
        <v>149.64</v>
      </c>
      <c r="AG14" s="102">
        <f t="shared" si="8"/>
        <v>241.13</v>
      </c>
      <c r="AH14" s="109">
        <f t="shared" si="9"/>
        <v>12796.75</v>
      </c>
      <c r="AI14" s="110"/>
      <c r="AJ14" s="109">
        <f t="shared" si="13"/>
        <v>12796.75</v>
      </c>
      <c r="AK14" s="111"/>
      <c r="AL14" s="109">
        <f t="shared" si="14"/>
        <v>13037.88</v>
      </c>
      <c r="AM14" s="111"/>
      <c r="AN14" s="111"/>
      <c r="AO14" s="111"/>
      <c r="AP14" s="111"/>
      <c r="AQ14" s="111"/>
      <c r="AR14" s="117" t="str">
        <f t="shared" si="15"/>
        <v>正确</v>
      </c>
      <c r="AS14" s="117" t="str">
        <f t="shared" si="16"/>
        <v>不</v>
      </c>
      <c r="AT14" s="117" t="str">
        <f t="shared" si="17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167</v>
      </c>
      <c r="D15" s="37" t="s">
        <v>147</v>
      </c>
      <c r="E15" s="37" t="s">
        <v>168</v>
      </c>
      <c r="F15" s="38" t="s">
        <v>148</v>
      </c>
      <c r="G15" s="39">
        <v>15001138812</v>
      </c>
      <c r="H15" s="40"/>
      <c r="I15" s="40"/>
      <c r="J15" s="74"/>
      <c r="K15" s="40"/>
      <c r="L15" s="75">
        <v>10120</v>
      </c>
      <c r="M15" s="76">
        <v>254.32</v>
      </c>
      <c r="N15" s="76">
        <v>63.94</v>
      </c>
      <c r="O15" s="76">
        <v>9.54</v>
      </c>
      <c r="P15" s="76">
        <v>254.32</v>
      </c>
      <c r="Q15" s="96">
        <f t="shared" si="10"/>
        <v>582.12</v>
      </c>
      <c r="R15" s="78">
        <v>0</v>
      </c>
      <c r="S15" s="97">
        <f>L15+IFERROR(VLOOKUP($E:$E,'（居民）工资表-4月'!$E:$S,15,0),0)</f>
        <v>20540</v>
      </c>
      <c r="T15" s="98">
        <f>5000+IFERROR(VLOOKUP($E:$E,'（居民）工资表-4月'!$E:$T,16,0),0)</f>
        <v>10000</v>
      </c>
      <c r="U15" s="98">
        <f>Q15+IFERROR(VLOOKUP($E:$E,'（居民）工资表-4月'!$E:$U,17,0),0)</f>
        <v>1164.24</v>
      </c>
      <c r="V15" s="78"/>
      <c r="W15" s="78"/>
      <c r="X15" s="78"/>
      <c r="Y15" s="78"/>
      <c r="Z15" s="78"/>
      <c r="AA15" s="78"/>
      <c r="AB15" s="97">
        <f t="shared" si="11"/>
        <v>0</v>
      </c>
      <c r="AC15" s="97">
        <f>R15+IFERROR(VLOOKUP($E:$E,'（居民）工资表-4月'!$E:$AC,25,0),0)</f>
        <v>0</v>
      </c>
      <c r="AD15" s="100">
        <f t="shared" si="12"/>
        <v>9375.76</v>
      </c>
      <c r="AE15" s="101">
        <f>ROUND(MAX((AD15)*{0.03;0.1;0.2;0.25;0.3;0.35;0.45}-{0;2520;16920;31920;52920;85920;181920},0),2)</f>
        <v>281.27</v>
      </c>
      <c r="AF15" s="102">
        <f>IFERROR(VLOOKUP(E:E,'（居民）工资表-4月'!E:AF,28,0)+VLOOKUP(E:E,'（居民）工资表-4月'!E:AG,29,0),0)</f>
        <v>145.14</v>
      </c>
      <c r="AG15" s="102">
        <f t="shared" si="8"/>
        <v>136.13</v>
      </c>
      <c r="AH15" s="109">
        <f t="shared" si="9"/>
        <v>9401.75</v>
      </c>
      <c r="AI15" s="110"/>
      <c r="AJ15" s="109">
        <f t="shared" si="13"/>
        <v>9401.75</v>
      </c>
      <c r="AK15" s="111"/>
      <c r="AL15" s="109">
        <f t="shared" si="14"/>
        <v>9537.88</v>
      </c>
      <c r="AM15" s="111"/>
      <c r="AN15" s="111"/>
      <c r="AO15" s="111"/>
      <c r="AP15" s="111"/>
      <c r="AQ15" s="111"/>
      <c r="AR15" s="117" t="str">
        <f t="shared" si="15"/>
        <v>正确</v>
      </c>
      <c r="AS15" s="117" t="str">
        <f t="shared" si="16"/>
        <v>不</v>
      </c>
      <c r="AT15" s="117" t="str">
        <f t="shared" si="17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169</v>
      </c>
      <c r="D16" s="37" t="s">
        <v>147</v>
      </c>
      <c r="E16" s="37" t="s">
        <v>170</v>
      </c>
      <c r="F16" s="38" t="s">
        <v>148</v>
      </c>
      <c r="G16" s="39">
        <v>15333903368</v>
      </c>
      <c r="H16" s="40"/>
      <c r="I16" s="40"/>
      <c r="J16" s="74"/>
      <c r="K16" s="40"/>
      <c r="L16" s="75">
        <v>15120</v>
      </c>
      <c r="M16" s="76">
        <v>508.64</v>
      </c>
      <c r="N16" s="76">
        <v>127.88</v>
      </c>
      <c r="O16" s="76">
        <v>19.08</v>
      </c>
      <c r="P16" s="76">
        <v>508.64</v>
      </c>
      <c r="Q16" s="96">
        <f t="shared" si="10"/>
        <v>1164.24</v>
      </c>
      <c r="R16" s="78">
        <v>0</v>
      </c>
      <c r="S16" s="97">
        <f>L16+IFERROR(VLOOKUP($E:$E,'（居民）工资表-4月'!$E:$S,15,0),0)</f>
        <v>20989.57</v>
      </c>
      <c r="T16" s="98">
        <f>5000+IFERROR(VLOOKUP($E:$E,'（居民）工资表-4月'!$E:$T,16,0),0)</f>
        <v>10000</v>
      </c>
      <c r="U16" s="98">
        <f>Q16+IFERROR(VLOOKUP($E:$E,'（居民）工资表-4月'!$E:$U,17,0),0)</f>
        <v>1164.24</v>
      </c>
      <c r="V16" s="78"/>
      <c r="W16" s="78"/>
      <c r="X16" s="78"/>
      <c r="Y16" s="78"/>
      <c r="Z16" s="78"/>
      <c r="AA16" s="78"/>
      <c r="AB16" s="97">
        <f t="shared" si="11"/>
        <v>0</v>
      </c>
      <c r="AC16" s="97">
        <f>R16+IFERROR(VLOOKUP($E:$E,'（居民）工资表-4月'!$E:$AC,25,0),0)</f>
        <v>0</v>
      </c>
      <c r="AD16" s="100">
        <f t="shared" si="12"/>
        <v>9825.33</v>
      </c>
      <c r="AE16" s="101">
        <f>ROUND(MAX((AD16)*{0.03;0.1;0.2;0.25;0.3;0.35;0.45}-{0;2520;16920;31920;52920;85920;181920},0),2)</f>
        <v>294.76</v>
      </c>
      <c r="AF16" s="102">
        <f>IFERROR(VLOOKUP(E:E,'（居民）工资表-4月'!E:AF,28,0)+VLOOKUP(E:E,'（居民）工资表-4月'!E:AG,29,0),0)</f>
        <v>26.09</v>
      </c>
      <c r="AG16" s="102">
        <f t="shared" si="8"/>
        <v>268.67</v>
      </c>
      <c r="AH16" s="109">
        <f t="shared" si="9"/>
        <v>13687.09</v>
      </c>
      <c r="AI16" s="110"/>
      <c r="AJ16" s="109">
        <f t="shared" si="13"/>
        <v>13687.09</v>
      </c>
      <c r="AK16" s="111"/>
      <c r="AL16" s="109">
        <f t="shared" si="14"/>
        <v>13955.76</v>
      </c>
      <c r="AM16" s="111"/>
      <c r="AN16" s="111"/>
      <c r="AO16" s="111"/>
      <c r="AP16" s="111"/>
      <c r="AQ16" s="111"/>
      <c r="AR16" s="117" t="str">
        <f t="shared" si="15"/>
        <v>正确</v>
      </c>
      <c r="AS16" s="117" t="str">
        <f t="shared" si="16"/>
        <v>不</v>
      </c>
      <c r="AT16" s="117" t="str">
        <f t="shared" si="17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171</v>
      </c>
      <c r="D17" s="37" t="s">
        <v>147</v>
      </c>
      <c r="E17" s="37" t="s">
        <v>172</v>
      </c>
      <c r="F17" s="38" t="s">
        <v>148</v>
      </c>
      <c r="G17" s="39">
        <v>18009593554</v>
      </c>
      <c r="H17" s="40"/>
      <c r="I17" s="40"/>
      <c r="J17" s="74"/>
      <c r="K17" s="40"/>
      <c r="L17" s="75">
        <v>6913.64</v>
      </c>
      <c r="M17" s="76">
        <v>561.92</v>
      </c>
      <c r="N17" s="76">
        <v>166.48</v>
      </c>
      <c r="O17" s="76">
        <v>35.12</v>
      </c>
      <c r="P17" s="76">
        <v>390</v>
      </c>
      <c r="Q17" s="96">
        <f t="shared" si="10"/>
        <v>1153.52</v>
      </c>
      <c r="R17" s="78">
        <v>0</v>
      </c>
      <c r="S17" s="97">
        <f>L17+IFERROR(VLOOKUP($E:$E,'（居民）工资表-4月'!$E:$S,15,0),0)</f>
        <v>6913.64</v>
      </c>
      <c r="T17" s="98">
        <f>5000+IFERROR(VLOOKUP($E:$E,'（居民）工资表-4月'!$E:$T,16,0),0)</f>
        <v>5000</v>
      </c>
      <c r="U17" s="98">
        <f>Q17+IFERROR(VLOOKUP($E:$E,'（居民）工资表-4月'!$E:$U,17,0),0)</f>
        <v>1153.52</v>
      </c>
      <c r="V17" s="78"/>
      <c r="W17" s="78"/>
      <c r="X17" s="78"/>
      <c r="Y17" s="78"/>
      <c r="Z17" s="78"/>
      <c r="AA17" s="78"/>
      <c r="AB17" s="97">
        <f t="shared" si="11"/>
        <v>0</v>
      </c>
      <c r="AC17" s="97">
        <f>R17+IFERROR(VLOOKUP($E:$E,'（居民）工资表-4月'!$E:$AC,25,0),0)</f>
        <v>0</v>
      </c>
      <c r="AD17" s="100">
        <f t="shared" si="12"/>
        <v>760.12</v>
      </c>
      <c r="AE17" s="101">
        <f>ROUND(MAX((AD17)*{0.03;0.1;0.2;0.25;0.3;0.35;0.45}-{0;2520;16920;31920;52920;85920;181920},0),2)</f>
        <v>22.8</v>
      </c>
      <c r="AF17" s="102">
        <f>IFERROR(VLOOKUP(E:E,'（居民）工资表-4月'!E:AF,28,0)+VLOOKUP(E:E,'（居民）工资表-4月'!E:AG,29,0),0)</f>
        <v>0</v>
      </c>
      <c r="AG17" s="102">
        <f t="shared" si="8"/>
        <v>22.8</v>
      </c>
      <c r="AH17" s="109">
        <f t="shared" si="9"/>
        <v>5737.32</v>
      </c>
      <c r="AI17" s="110"/>
      <c r="AJ17" s="109">
        <f t="shared" si="13"/>
        <v>5737.32</v>
      </c>
      <c r="AK17" s="111"/>
      <c r="AL17" s="109">
        <f t="shared" si="14"/>
        <v>5760.12</v>
      </c>
      <c r="AM17" s="111"/>
      <c r="AN17" s="111"/>
      <c r="AO17" s="111"/>
      <c r="AP17" s="111"/>
      <c r="AQ17" s="111"/>
      <c r="AR17" s="117" t="str">
        <f t="shared" si="15"/>
        <v>正确</v>
      </c>
      <c r="AS17" s="117" t="str">
        <f>IF(SUMPRODUCT(N(E$1:E$7=E17))&gt;1,"重复","不")</f>
        <v>不</v>
      </c>
      <c r="AT17" s="117" t="str">
        <f>IF(SUMPRODUCT(N(AO$1:AO$7=AO17))&gt;1,"重复","不")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173</v>
      </c>
      <c r="D18" s="37" t="s">
        <v>147</v>
      </c>
      <c r="E18" s="37" t="s">
        <v>174</v>
      </c>
      <c r="F18" s="38" t="s">
        <v>148</v>
      </c>
      <c r="G18" s="39">
        <v>17795512929</v>
      </c>
      <c r="H18" s="40"/>
      <c r="I18" s="40"/>
      <c r="J18" s="74"/>
      <c r="K18" s="40"/>
      <c r="L18" s="75">
        <v>6500</v>
      </c>
      <c r="M18" s="76">
        <v>561.92</v>
      </c>
      <c r="N18" s="76">
        <v>166.48</v>
      </c>
      <c r="O18" s="76">
        <v>35.12</v>
      </c>
      <c r="P18" s="76">
        <v>390</v>
      </c>
      <c r="Q18" s="96">
        <f t="shared" si="10"/>
        <v>1153.52</v>
      </c>
      <c r="R18" s="78">
        <v>0</v>
      </c>
      <c r="S18" s="97">
        <f>L18+IFERROR(VLOOKUP($E:$E,'（居民）工资表-4月'!$E:$S,15,0),0)</f>
        <v>6500</v>
      </c>
      <c r="T18" s="98">
        <f>5000+IFERROR(VLOOKUP($E:$E,'（居民）工资表-4月'!$E:$T,16,0),0)</f>
        <v>5000</v>
      </c>
      <c r="U18" s="98">
        <f>Q18+IFERROR(VLOOKUP($E:$E,'（居民）工资表-4月'!$E:$U,17,0),0)</f>
        <v>1153.52</v>
      </c>
      <c r="V18" s="78"/>
      <c r="W18" s="78"/>
      <c r="X18" s="78"/>
      <c r="Y18" s="78"/>
      <c r="Z18" s="78"/>
      <c r="AA18" s="78"/>
      <c r="AB18" s="97">
        <f t="shared" si="11"/>
        <v>0</v>
      </c>
      <c r="AC18" s="97">
        <f>R18+IFERROR(VLOOKUP($E:$E,'（居民）工资表-4月'!$E:$AC,25,0),0)</f>
        <v>0</v>
      </c>
      <c r="AD18" s="100">
        <f t="shared" si="12"/>
        <v>346.48</v>
      </c>
      <c r="AE18" s="101">
        <f>ROUND(MAX((AD18)*{0.03;0.1;0.2;0.25;0.3;0.35;0.45}-{0;2520;16920;31920;52920;85920;181920},0),2)</f>
        <v>10.39</v>
      </c>
      <c r="AF18" s="102">
        <f>IFERROR(VLOOKUP(E:E,'（居民）工资表-4月'!E:AF,28,0)+VLOOKUP(E:E,'（居民）工资表-4月'!E:AG,29,0),0)</f>
        <v>0</v>
      </c>
      <c r="AG18" s="102">
        <f t="shared" si="8"/>
        <v>10.39</v>
      </c>
      <c r="AH18" s="109">
        <f t="shared" si="9"/>
        <v>5336.09</v>
      </c>
      <c r="AI18" s="110"/>
      <c r="AJ18" s="109">
        <f t="shared" si="13"/>
        <v>5336.09</v>
      </c>
      <c r="AK18" s="111"/>
      <c r="AL18" s="109">
        <f t="shared" si="14"/>
        <v>5346.48</v>
      </c>
      <c r="AM18" s="111"/>
      <c r="AN18" s="111"/>
      <c r="AO18" s="111"/>
      <c r="AP18" s="111"/>
      <c r="AQ18" s="111"/>
      <c r="AR18" s="117" t="str">
        <f t="shared" si="15"/>
        <v>正确</v>
      </c>
      <c r="AS18" s="117" t="str">
        <f>IF(SUMPRODUCT(N(E$1:E$7=E18))&gt;1,"重复","不")</f>
        <v>不</v>
      </c>
      <c r="AT18" s="117" t="str">
        <f>IF(SUMPRODUCT(N(AO$1:AO$7=AO18))&gt;1,"重复","不")</f>
        <v>重复</v>
      </c>
    </row>
    <row r="19" s="12" customFormat="1" ht="18" customHeight="1" spans="1:46">
      <c r="A19" s="36">
        <v>16</v>
      </c>
      <c r="B19" s="37" t="s">
        <v>146</v>
      </c>
      <c r="C19" s="37" t="s">
        <v>175</v>
      </c>
      <c r="D19" s="37" t="s">
        <v>147</v>
      </c>
      <c r="E19" s="37" t="s">
        <v>176</v>
      </c>
      <c r="F19" s="38" t="s">
        <v>148</v>
      </c>
      <c r="G19" s="39">
        <v>18995128068</v>
      </c>
      <c r="H19" s="40"/>
      <c r="I19" s="40"/>
      <c r="J19" s="74"/>
      <c r="K19" s="40"/>
      <c r="L19" s="75">
        <v>6500</v>
      </c>
      <c r="M19" s="76">
        <v>561.92</v>
      </c>
      <c r="N19" s="76">
        <v>166.48</v>
      </c>
      <c r="O19" s="76">
        <v>35.12</v>
      </c>
      <c r="P19" s="76">
        <v>390</v>
      </c>
      <c r="Q19" s="96">
        <f t="shared" si="10"/>
        <v>1153.52</v>
      </c>
      <c r="R19" s="78">
        <v>0</v>
      </c>
      <c r="S19" s="97">
        <f>L19+IFERROR(VLOOKUP($E:$E,'（居民）工资表-4月'!$E:$S,15,0),0)</f>
        <v>6500</v>
      </c>
      <c r="T19" s="98">
        <f>5000+IFERROR(VLOOKUP($E:$E,'（居民）工资表-4月'!$E:$T,16,0),0)</f>
        <v>5000</v>
      </c>
      <c r="U19" s="98">
        <f>Q19+IFERROR(VLOOKUP($E:$E,'（居民）工资表-4月'!$E:$U,17,0),0)</f>
        <v>1153.52</v>
      </c>
      <c r="V19" s="78"/>
      <c r="W19" s="78"/>
      <c r="X19" s="78"/>
      <c r="Y19" s="78"/>
      <c r="Z19" s="78"/>
      <c r="AA19" s="78"/>
      <c r="AB19" s="97">
        <f t="shared" si="11"/>
        <v>0</v>
      </c>
      <c r="AC19" s="97">
        <f>R19+IFERROR(VLOOKUP($E:$E,'（居民）工资表-4月'!$E:$AC,25,0),0)</f>
        <v>0</v>
      </c>
      <c r="AD19" s="100">
        <f t="shared" si="12"/>
        <v>346.48</v>
      </c>
      <c r="AE19" s="101">
        <f>ROUND(MAX((AD19)*{0.03;0.1;0.2;0.25;0.3;0.35;0.45}-{0;2520;16920;31920;52920;85920;181920},0),2)</f>
        <v>10.39</v>
      </c>
      <c r="AF19" s="102">
        <f>IFERROR(VLOOKUP(E:E,'（居民）工资表-4月'!E:AF,28,0)+VLOOKUP(E:E,'（居民）工资表-4月'!E:AG,29,0),0)</f>
        <v>0</v>
      </c>
      <c r="AG19" s="102">
        <f t="shared" si="8"/>
        <v>10.39</v>
      </c>
      <c r="AH19" s="109">
        <f t="shared" si="9"/>
        <v>5336.09</v>
      </c>
      <c r="AI19" s="110"/>
      <c r="AJ19" s="109">
        <f t="shared" si="13"/>
        <v>5336.09</v>
      </c>
      <c r="AK19" s="111"/>
      <c r="AL19" s="109">
        <f t="shared" si="14"/>
        <v>5346.48</v>
      </c>
      <c r="AM19" s="111"/>
      <c r="AN19" s="111"/>
      <c r="AO19" s="111"/>
      <c r="AP19" s="111"/>
      <c r="AQ19" s="111"/>
      <c r="AR19" s="117" t="str">
        <f t="shared" si="15"/>
        <v>正确</v>
      </c>
      <c r="AS19" s="117" t="str">
        <f>IF(SUMPRODUCT(N(E$1:E$7=E19))&gt;1,"重复","不")</f>
        <v>不</v>
      </c>
      <c r="AT19" s="117" t="str">
        <f>IF(SUMPRODUCT(N(AO$1:AO$7=AO19))&gt;1,"重复","不")</f>
        <v>重复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45"/>
      <c r="H20" s="40"/>
      <c r="I20" s="40"/>
      <c r="J20" s="74"/>
      <c r="K20" s="40"/>
      <c r="L20" s="78"/>
      <c r="M20" s="76"/>
      <c r="N20" s="76"/>
      <c r="O20" s="76"/>
      <c r="P20" s="76"/>
      <c r="Q20" s="96"/>
      <c r="R20" s="78"/>
      <c r="S20" s="97"/>
      <c r="T20" s="98"/>
      <c r="U20" s="98"/>
      <c r="V20" s="78"/>
      <c r="W20" s="78"/>
      <c r="X20" s="78"/>
      <c r="Y20" s="78"/>
      <c r="Z20" s="78"/>
      <c r="AA20" s="78"/>
      <c r="AB20" s="97"/>
      <c r="AC20" s="97"/>
      <c r="AD20" s="100"/>
      <c r="AE20" s="101"/>
      <c r="AF20" s="102"/>
      <c r="AG20" s="102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7"/>
      <c r="AS20" s="117"/>
      <c r="AT20" s="117"/>
    </row>
    <row r="21" s="12" customFormat="1" ht="18" customHeight="1" spans="1:46">
      <c r="A21" s="36"/>
      <c r="B21" s="37"/>
      <c r="C21" s="37"/>
      <c r="D21" s="37"/>
      <c r="E21" s="37"/>
      <c r="F21" s="38"/>
      <c r="G21" s="45"/>
      <c r="H21" s="40"/>
      <c r="I21" s="40"/>
      <c r="J21" s="74"/>
      <c r="K21" s="40"/>
      <c r="L21" s="78"/>
      <c r="M21" s="76"/>
      <c r="N21" s="76"/>
      <c r="O21" s="76"/>
      <c r="P21" s="76"/>
      <c r="Q21" s="96"/>
      <c r="R21" s="78"/>
      <c r="S21" s="97"/>
      <c r="T21" s="98"/>
      <c r="U21" s="98"/>
      <c r="V21" s="78"/>
      <c r="W21" s="78"/>
      <c r="X21" s="78"/>
      <c r="Y21" s="78"/>
      <c r="Z21" s="78"/>
      <c r="AA21" s="78"/>
      <c r="AB21" s="97"/>
      <c r="AC21" s="97"/>
      <c r="AD21" s="100"/>
      <c r="AE21" s="101"/>
      <c r="AF21" s="102"/>
      <c r="AG21" s="102"/>
      <c r="AH21" s="109"/>
      <c r="AI21" s="110"/>
      <c r="AJ21" s="109"/>
      <c r="AK21" s="111"/>
      <c r="AL21" s="109"/>
      <c r="AM21" s="111"/>
      <c r="AN21" s="111"/>
      <c r="AO21" s="111"/>
      <c r="AP21" s="111"/>
      <c r="AQ21" s="111"/>
      <c r="AR21" s="117"/>
      <c r="AS21" s="117"/>
      <c r="AT21" s="117"/>
    </row>
    <row r="22" s="13" customFormat="1" ht="18" customHeight="1" spans="1:46">
      <c r="A22" s="46"/>
      <c r="B22" s="47" t="s">
        <v>177</v>
      </c>
      <c r="C22" s="47"/>
      <c r="D22" s="48"/>
      <c r="E22" s="49"/>
      <c r="F22" s="50"/>
      <c r="G22" s="51"/>
      <c r="H22" s="50"/>
      <c r="I22" s="79"/>
      <c r="J22" s="80"/>
      <c r="K22" s="79"/>
      <c r="L22" s="81">
        <f t="shared" ref="L22:Q22" si="18">SUM(L4:L20)</f>
        <v>216682.64</v>
      </c>
      <c r="M22" s="81">
        <f t="shared" si="18"/>
        <v>5490.49</v>
      </c>
      <c r="N22" s="81">
        <f t="shared" si="18"/>
        <v>1502.1</v>
      </c>
      <c r="O22" s="81">
        <f t="shared" si="18"/>
        <v>238.9</v>
      </c>
      <c r="P22" s="81">
        <f t="shared" si="18"/>
        <v>4120.88</v>
      </c>
      <c r="Q22" s="81">
        <f t="shared" si="18"/>
        <v>11352.37</v>
      </c>
      <c r="R22" s="81">
        <f t="shared" ref="R22:AL22" si="19">SUM(R4:R20)</f>
        <v>0</v>
      </c>
      <c r="S22" s="81">
        <f t="shared" si="19"/>
        <v>396365.51</v>
      </c>
      <c r="T22" s="81">
        <f t="shared" si="19"/>
        <v>145000</v>
      </c>
      <c r="U22" s="81">
        <f t="shared" si="19"/>
        <v>19868.3</v>
      </c>
      <c r="V22" s="81">
        <f t="shared" si="19"/>
        <v>20000</v>
      </c>
      <c r="W22" s="81">
        <f t="shared" si="19"/>
        <v>10000</v>
      </c>
      <c r="X22" s="81">
        <f t="shared" si="19"/>
        <v>19000</v>
      </c>
      <c r="Y22" s="81">
        <f t="shared" si="19"/>
        <v>7500</v>
      </c>
      <c r="Z22" s="81">
        <f t="shared" si="19"/>
        <v>0</v>
      </c>
      <c r="AA22" s="81">
        <f t="shared" si="19"/>
        <v>0</v>
      </c>
      <c r="AB22" s="81">
        <f t="shared" si="19"/>
        <v>56500</v>
      </c>
      <c r="AC22" s="81">
        <f t="shared" si="19"/>
        <v>0</v>
      </c>
      <c r="AD22" s="81">
        <f t="shared" si="19"/>
        <v>174997.21</v>
      </c>
      <c r="AE22" s="81">
        <f t="shared" si="19"/>
        <v>5527.43</v>
      </c>
      <c r="AF22" s="81">
        <f t="shared" si="19"/>
        <v>2162.23</v>
      </c>
      <c r="AG22" s="81">
        <f t="shared" si="19"/>
        <v>3365.2</v>
      </c>
      <c r="AH22" s="81">
        <f t="shared" si="19"/>
        <v>201965.07</v>
      </c>
      <c r="AI22" s="81">
        <f t="shared" si="19"/>
        <v>0</v>
      </c>
      <c r="AJ22" s="81">
        <f t="shared" si="19"/>
        <v>201965.07</v>
      </c>
      <c r="AK22" s="81">
        <f t="shared" si="19"/>
        <v>0</v>
      </c>
      <c r="AL22" s="81">
        <f t="shared" si="19"/>
        <v>205330.27</v>
      </c>
      <c r="AM22" s="112"/>
      <c r="AN22" s="112"/>
      <c r="AO22" s="112"/>
      <c r="AP22" s="112"/>
      <c r="AQ22" s="112"/>
      <c r="AR22" s="50"/>
      <c r="AS22" s="50"/>
      <c r="AT22" s="118"/>
    </row>
    <row r="25" spans="30:30">
      <c r="AD25" s="103"/>
    </row>
    <row r="26" ht="18.75" customHeight="1" spans="2:33">
      <c r="B26" s="52" t="s">
        <v>127</v>
      </c>
      <c r="C26" s="52" t="s">
        <v>178</v>
      </c>
      <c r="D26" s="52" t="s">
        <v>57</v>
      </c>
      <c r="E26" s="52" t="s">
        <v>58</v>
      </c>
      <c r="AD26" s="10"/>
      <c r="AG26" s="19"/>
    </row>
    <row r="27" ht="18.75" customHeight="1" spans="2:5">
      <c r="B27" s="53">
        <f>AJ22</f>
        <v>201965.07</v>
      </c>
      <c r="C27" s="53">
        <f>AG22</f>
        <v>3365.2</v>
      </c>
      <c r="D27" s="53">
        <f>AK22</f>
        <v>0</v>
      </c>
      <c r="E27" s="53">
        <f>B27+C27</f>
        <v>205330.27</v>
      </c>
    </row>
    <row r="28" spans="2:5">
      <c r="B28" s="54"/>
      <c r="C28" s="54"/>
      <c r="D28" s="54"/>
      <c r="E28" s="54"/>
    </row>
    <row r="29" s="14" customFormat="1" spans="1:35">
      <c r="A29" s="55" t="s">
        <v>179</v>
      </c>
      <c r="B29" s="56" t="s">
        <v>180</v>
      </c>
      <c r="C29" s="57"/>
      <c r="D29" s="57"/>
      <c r="E29" s="57"/>
      <c r="G29" s="58"/>
      <c r="J29" s="82"/>
      <c r="M29" s="83"/>
      <c r="AI29" s="113"/>
    </row>
    <row r="30" s="14" customFormat="1" spans="1:35">
      <c r="A30" s="59"/>
      <c r="B30" s="60" t="s">
        <v>181</v>
      </c>
      <c r="C30" s="57"/>
      <c r="D30" s="57"/>
      <c r="E30" s="57"/>
      <c r="G30" s="58"/>
      <c r="J30" s="82"/>
      <c r="M30" s="83"/>
      <c r="AI30" s="113"/>
    </row>
    <row r="31" s="14" customFormat="1" spans="1:35">
      <c r="A31" s="56"/>
      <c r="B31" s="60" t="s">
        <v>182</v>
      </c>
      <c r="C31" s="61"/>
      <c r="D31" s="61"/>
      <c r="E31" s="61"/>
      <c r="F31" s="61"/>
      <c r="G31" s="61"/>
      <c r="H31" s="61"/>
      <c r="I31" s="61"/>
      <c r="J31" s="84"/>
      <c r="K31" s="61"/>
      <c r="L31" s="61"/>
      <c r="M31" s="85"/>
      <c r="N31" s="61"/>
      <c r="O31" s="61"/>
      <c r="P31" s="61"/>
      <c r="AI31" s="113"/>
    </row>
    <row r="32" s="14" customFormat="1" customHeight="1" spans="1:35">
      <c r="A32" s="60"/>
      <c r="B32" s="60" t="s">
        <v>183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3" s="14" customFormat="1" customHeight="1" spans="1:35">
      <c r="A33" s="60"/>
      <c r="B33" s="60" t="s">
        <v>184</v>
      </c>
      <c r="C33" s="62"/>
      <c r="D33" s="62"/>
      <c r="E33" s="62"/>
      <c r="F33" s="62"/>
      <c r="G33" s="62"/>
      <c r="H33" s="62"/>
      <c r="I33" s="62"/>
      <c r="J33" s="89"/>
      <c r="K33" s="62"/>
      <c r="L33" s="86"/>
      <c r="M33" s="88"/>
      <c r="N33" s="86"/>
      <c r="O33" s="86"/>
      <c r="P33" s="86"/>
      <c r="AI33" s="113"/>
    </row>
    <row r="34" s="14" customFormat="1" customHeight="1" spans="1:35">
      <c r="A34" s="60"/>
      <c r="B34" s="60" t="s">
        <v>185</v>
      </c>
      <c r="C34" s="62"/>
      <c r="D34" s="62"/>
      <c r="E34" s="62"/>
      <c r="F34" s="62"/>
      <c r="G34" s="62"/>
      <c r="H34" s="62"/>
      <c r="I34" s="86"/>
      <c r="J34" s="87"/>
      <c r="K34" s="86"/>
      <c r="L34" s="86"/>
      <c r="M34" s="88"/>
      <c r="N34" s="86"/>
      <c r="O34" s="86"/>
      <c r="P34" s="86"/>
      <c r="AI34" s="113"/>
    </row>
    <row r="36" ht="11.25" customHeight="1" spans="2:2">
      <c r="B36" s="63" t="s">
        <v>186</v>
      </c>
    </row>
    <row r="37" spans="2:2">
      <c r="B37" s="64" t="s">
        <v>187</v>
      </c>
    </row>
    <row r="38" spans="2:2">
      <c r="B38" s="64" t="s">
        <v>188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3" priority="2" stopIfTrue="1"/>
  </conditionalFormatting>
  <conditionalFormatting sqref="B29:B33">
    <cfRule type="duplicateValues" dxfId="3" priority="3" stopIfTrue="1"/>
  </conditionalFormatting>
  <conditionalFormatting sqref="B37:B38">
    <cfRule type="duplicateValues" dxfId="3" priority="1" stopIfTrue="1"/>
  </conditionalFormatting>
  <conditionalFormatting sqref="C26:C28">
    <cfRule type="duplicateValues" dxfId="3" priority="4" stopIfTrue="1"/>
    <cfRule type="expression" dxfId="4" priority="5" stopIfTrue="1">
      <formula>AND(COUNTIF($B$22:$B$65458,C26)+COUNTIF($B$1:$B$3,C26)&gt;1,NOT(ISBLANK(C26)))</formula>
    </cfRule>
    <cfRule type="expression" dxfId="4" priority="6" stopIfTrue="1">
      <formula>AND(COUNTIF($B$33:$B$65409,C26)+COUNTIF($B$1:$B$32,C26)&gt;1,NOT(ISBLANK(C26)))</formula>
    </cfRule>
    <cfRule type="expression" dxfId="4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251</v>
      </c>
      <c r="C1" s="1"/>
      <c r="D1" s="1"/>
      <c r="E1" s="1"/>
    </row>
    <row r="2" ht="21" spans="2:2">
      <c r="B2" s="2"/>
    </row>
    <row r="3" ht="27.75" customHeight="1" spans="2:5">
      <c r="B3" s="3" t="s">
        <v>252</v>
      </c>
      <c r="C3" s="4" t="s">
        <v>253</v>
      </c>
      <c r="D3" s="4" t="s">
        <v>254</v>
      </c>
      <c r="E3" s="4" t="s">
        <v>255</v>
      </c>
    </row>
    <row r="4" ht="29.25" customHeight="1" spans="2:5">
      <c r="B4" s="5">
        <v>1</v>
      </c>
      <c r="C4" s="6" t="s">
        <v>256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257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258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259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260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261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262</v>
      </c>
      <c r="D10" s="7">
        <v>0.45</v>
      </c>
      <c r="E10" s="8">
        <v>181920</v>
      </c>
    </row>
    <row r="13" ht="57" customHeight="1" spans="2:5">
      <c r="B13" s="1" t="s">
        <v>263</v>
      </c>
      <c r="C13" s="1"/>
      <c r="D13" s="1"/>
      <c r="E13" s="1"/>
    </row>
    <row r="14" ht="21" spans="2:2">
      <c r="B14" s="2"/>
    </row>
    <row r="15" ht="27.75" customHeight="1" spans="2:5">
      <c r="B15" s="3" t="s">
        <v>252</v>
      </c>
      <c r="C15" s="4" t="s">
        <v>264</v>
      </c>
      <c r="D15" s="4" t="s">
        <v>254</v>
      </c>
      <c r="E15" s="4" t="s">
        <v>255</v>
      </c>
    </row>
    <row r="16" ht="29.25" customHeight="1" spans="2:5">
      <c r="B16" s="5">
        <v>1</v>
      </c>
      <c r="C16" s="6" t="s">
        <v>265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266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267</v>
      </c>
      <c r="D18" s="7">
        <v>0.4</v>
      </c>
      <c r="E18" s="8">
        <v>7000</v>
      </c>
    </row>
    <row r="21" ht="47.25" customHeight="1" spans="2:5">
      <c r="B21" s="1" t="s">
        <v>268</v>
      </c>
      <c r="C21" s="1"/>
      <c r="D21" s="1"/>
      <c r="E21" s="1"/>
    </row>
    <row r="22" ht="21" spans="2:2">
      <c r="B22" s="2"/>
    </row>
    <row r="23" ht="27.75" customHeight="1" spans="2:5">
      <c r="B23" s="3" t="s">
        <v>252</v>
      </c>
      <c r="C23" s="4" t="s">
        <v>269</v>
      </c>
      <c r="D23" s="4" t="s">
        <v>254</v>
      </c>
      <c r="E23" s="4" t="s">
        <v>255</v>
      </c>
    </row>
    <row r="24" ht="29.25" customHeight="1" spans="2:5">
      <c r="B24" s="5">
        <v>1</v>
      </c>
      <c r="C24" s="6" t="s">
        <v>270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271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272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273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274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275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276</v>
      </c>
      <c r="D30" s="7">
        <v>0.45</v>
      </c>
      <c r="E30" s="8">
        <v>15160</v>
      </c>
    </row>
    <row r="35" ht="57" customHeight="1" spans="2:5">
      <c r="B35" s="9" t="s">
        <v>277</v>
      </c>
      <c r="C35" s="9"/>
      <c r="D35" s="9"/>
      <c r="E35" s="9"/>
    </row>
    <row r="36" ht="14.25"/>
    <row r="37" ht="21.75" customHeight="1" spans="2:5">
      <c r="B37" s="3" t="s">
        <v>252</v>
      </c>
      <c r="C37" s="4" t="s">
        <v>278</v>
      </c>
      <c r="D37" s="4" t="s">
        <v>279</v>
      </c>
      <c r="E37" s="4" t="s">
        <v>255</v>
      </c>
    </row>
    <row r="38" ht="21.75" customHeight="1" spans="2:5">
      <c r="B38" s="5">
        <v>1</v>
      </c>
      <c r="C38" s="6" t="s">
        <v>270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271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272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273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274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275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276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66" customWidth="1"/>
    <col min="2" max="2" width="25" style="166" customWidth="1"/>
    <col min="3" max="3" width="7.375" style="166" customWidth="1"/>
    <col min="4" max="4" width="9.5" style="166" customWidth="1"/>
    <col min="5" max="5" width="8.25" style="166" customWidth="1"/>
    <col min="6" max="6" width="11.875" style="166" customWidth="1"/>
    <col min="7" max="7" width="16.375" style="166" customWidth="1"/>
    <col min="8" max="11" width="8.5" style="166" customWidth="1"/>
    <col min="12" max="12" width="9.125" style="166" customWidth="1"/>
    <col min="13" max="14" width="9.25" style="166" customWidth="1"/>
    <col min="15" max="15" width="7.5" style="166" customWidth="1"/>
    <col min="16" max="16" width="11.25" style="166" customWidth="1"/>
    <col min="17" max="17" width="9.125" style="166" customWidth="1"/>
    <col min="18" max="21" width="9.25" style="166" customWidth="1"/>
    <col min="22" max="22" width="9.125" style="166" customWidth="1"/>
    <col min="23" max="26" width="9.25" style="166" customWidth="1"/>
    <col min="27" max="28" width="9.125" style="166" customWidth="1"/>
    <col min="29" max="29" width="9" style="166" customWidth="1"/>
    <col min="30" max="30" width="9.125" style="166" customWidth="1"/>
    <col min="31" max="31" width="9.25" style="166" customWidth="1"/>
    <col min="32" max="32" width="8.875" style="166" customWidth="1"/>
    <col min="33" max="33" width="9.125" style="166" customWidth="1"/>
    <col min="34" max="34" width="9.25" style="166" customWidth="1"/>
    <col min="35" max="35" width="11.125" style="166" customWidth="1"/>
    <col min="36" max="36" width="9.25" style="166" customWidth="1"/>
    <col min="37" max="37" width="8.5" style="166" customWidth="1"/>
    <col min="38" max="38" width="9.125" style="166" hidden="1" customWidth="1"/>
    <col min="39" max="42" width="9.25" style="166" hidden="1" customWidth="1"/>
    <col min="43" max="43" width="9.875" style="166" customWidth="1"/>
    <col min="44" max="44" width="9.375" style="166" customWidth="1"/>
    <col min="45" max="45" width="10.25" style="172" customWidth="1"/>
    <col min="46" max="46" width="10" style="172" customWidth="1"/>
    <col min="47" max="49" width="9.25" style="172" customWidth="1"/>
    <col min="50" max="50" width="9.25" style="166" customWidth="1"/>
    <col min="51" max="51" width="5.875" style="166" customWidth="1"/>
    <col min="52" max="52" width="8.375" style="166" customWidth="1"/>
    <col min="53" max="53" width="5.875" style="166" customWidth="1"/>
    <col min="54" max="54" width="8.875" style="166" customWidth="1"/>
    <col min="55" max="55" width="10.875" style="166" customWidth="1"/>
    <col min="56" max="56" width="40.25" style="173" customWidth="1"/>
    <col min="57" max="57" width="10.625" style="166" customWidth="1"/>
    <col min="58" max="16384" width="9" style="166"/>
  </cols>
  <sheetData>
    <row r="1" s="165" customFormat="1" ht="22.5" customHeight="1" spans="1:56">
      <c r="A1" s="174" t="s">
        <v>18</v>
      </c>
      <c r="B1" s="175" t="s">
        <v>36</v>
      </c>
      <c r="C1" s="175" t="s">
        <v>37</v>
      </c>
      <c r="D1" s="174" t="s">
        <v>38</v>
      </c>
      <c r="E1" s="175" t="s">
        <v>39</v>
      </c>
      <c r="F1" s="175" t="s">
        <v>40</v>
      </c>
      <c r="G1" s="175" t="s">
        <v>41</v>
      </c>
      <c r="H1" s="175" t="s">
        <v>42</v>
      </c>
      <c r="I1" s="175" t="s">
        <v>43</v>
      </c>
      <c r="J1" s="175" t="s">
        <v>44</v>
      </c>
      <c r="K1" s="175" t="s">
        <v>45</v>
      </c>
      <c r="L1" s="208" t="s">
        <v>46</v>
      </c>
      <c r="M1" s="208"/>
      <c r="N1" s="208"/>
      <c r="O1" s="208"/>
      <c r="P1" s="208"/>
      <c r="Q1" s="208" t="s">
        <v>47</v>
      </c>
      <c r="R1" s="208"/>
      <c r="S1" s="208"/>
      <c r="T1" s="208"/>
      <c r="U1" s="208"/>
      <c r="V1" s="208" t="s">
        <v>48</v>
      </c>
      <c r="W1" s="208"/>
      <c r="X1" s="208"/>
      <c r="Y1" s="208"/>
      <c r="Z1" s="208"/>
      <c r="AA1" s="174" t="s">
        <v>49</v>
      </c>
      <c r="AB1" s="174"/>
      <c r="AC1" s="174"/>
      <c r="AD1" s="174" t="s">
        <v>50</v>
      </c>
      <c r="AE1" s="174"/>
      <c r="AF1" s="174"/>
      <c r="AG1" s="208" t="s">
        <v>51</v>
      </c>
      <c r="AH1" s="208"/>
      <c r="AI1" s="208"/>
      <c r="AJ1" s="208"/>
      <c r="AK1" s="208"/>
      <c r="AL1" s="174" t="s">
        <v>52</v>
      </c>
      <c r="AM1" s="174"/>
      <c r="AN1" s="174"/>
      <c r="AO1" s="174"/>
      <c r="AP1" s="174"/>
      <c r="AQ1" s="174" t="s">
        <v>53</v>
      </c>
      <c r="AR1" s="174"/>
      <c r="AS1" s="219" t="s">
        <v>54</v>
      </c>
      <c r="AT1" s="219"/>
      <c r="AU1" s="219"/>
      <c r="AV1" s="219"/>
      <c r="AW1" s="219"/>
      <c r="AX1" s="174" t="s">
        <v>55</v>
      </c>
      <c r="AY1" s="174"/>
      <c r="AZ1" s="174" t="s">
        <v>56</v>
      </c>
      <c r="BA1" s="174"/>
      <c r="BB1" s="174" t="s">
        <v>57</v>
      </c>
      <c r="BC1" s="174" t="s">
        <v>58</v>
      </c>
      <c r="BD1" s="230" t="s">
        <v>23</v>
      </c>
    </row>
    <row r="2" s="166" customFormat="1" ht="22.5" customHeight="1" spans="1:56">
      <c r="A2" s="174"/>
      <c r="B2" s="176"/>
      <c r="C2" s="175"/>
      <c r="D2" s="174"/>
      <c r="E2" s="175"/>
      <c r="F2" s="177"/>
      <c r="G2" s="177"/>
      <c r="H2" s="175"/>
      <c r="I2" s="175"/>
      <c r="J2" s="175"/>
      <c r="K2" s="175"/>
      <c r="L2" s="209" t="s">
        <v>59</v>
      </c>
      <c r="M2" s="209" t="s">
        <v>60</v>
      </c>
      <c r="N2" s="209" t="s">
        <v>61</v>
      </c>
      <c r="O2" s="209" t="s">
        <v>62</v>
      </c>
      <c r="P2" s="209" t="s">
        <v>63</v>
      </c>
      <c r="Q2" s="209" t="s">
        <v>59</v>
      </c>
      <c r="R2" s="209" t="s">
        <v>60</v>
      </c>
      <c r="S2" s="209" t="s">
        <v>61</v>
      </c>
      <c r="T2" s="209" t="s">
        <v>62</v>
      </c>
      <c r="U2" s="209" t="s">
        <v>63</v>
      </c>
      <c r="V2" s="209" t="s">
        <v>59</v>
      </c>
      <c r="W2" s="209" t="s">
        <v>60</v>
      </c>
      <c r="X2" s="209" t="s">
        <v>61</v>
      </c>
      <c r="Y2" s="209" t="s">
        <v>62</v>
      </c>
      <c r="Z2" s="209" t="s">
        <v>63</v>
      </c>
      <c r="AA2" s="209" t="s">
        <v>59</v>
      </c>
      <c r="AB2" s="209" t="s">
        <v>64</v>
      </c>
      <c r="AC2" s="209" t="s">
        <v>22</v>
      </c>
      <c r="AD2" s="209" t="s">
        <v>59</v>
      </c>
      <c r="AE2" s="209" t="s">
        <v>64</v>
      </c>
      <c r="AF2" s="209" t="s">
        <v>22</v>
      </c>
      <c r="AG2" s="209" t="s">
        <v>59</v>
      </c>
      <c r="AH2" s="209" t="s">
        <v>60</v>
      </c>
      <c r="AI2" s="209" t="s">
        <v>61</v>
      </c>
      <c r="AJ2" s="209" t="s">
        <v>62</v>
      </c>
      <c r="AK2" s="209" t="s">
        <v>63</v>
      </c>
      <c r="AL2" s="209" t="s">
        <v>59</v>
      </c>
      <c r="AM2" s="209" t="s">
        <v>60</v>
      </c>
      <c r="AN2" s="209" t="s">
        <v>61</v>
      </c>
      <c r="AO2" s="209" t="s">
        <v>62</v>
      </c>
      <c r="AP2" s="209" t="s">
        <v>63</v>
      </c>
      <c r="AQ2" s="209" t="s">
        <v>65</v>
      </c>
      <c r="AR2" s="209" t="s">
        <v>66</v>
      </c>
      <c r="AS2" s="220" t="s">
        <v>67</v>
      </c>
      <c r="AT2" s="220" t="s">
        <v>68</v>
      </c>
      <c r="AU2" s="220" t="s">
        <v>69</v>
      </c>
      <c r="AV2" s="220" t="s">
        <v>70</v>
      </c>
      <c r="AW2" s="220" t="s">
        <v>30</v>
      </c>
      <c r="AX2" s="174"/>
      <c r="AY2" s="174"/>
      <c r="AZ2" s="174"/>
      <c r="BA2" s="174"/>
      <c r="BB2" s="174"/>
      <c r="BC2" s="174"/>
      <c r="BD2" s="230"/>
    </row>
    <row r="3" s="167" customFormat="1" ht="18" customHeight="1" spans="1:60">
      <c r="A3" s="178">
        <v>1</v>
      </c>
      <c r="B3" s="179" t="s">
        <v>71</v>
      </c>
      <c r="C3" s="180" t="s">
        <v>72</v>
      </c>
      <c r="D3" s="181" t="s">
        <v>73</v>
      </c>
      <c r="E3" s="179" t="s">
        <v>74</v>
      </c>
      <c r="F3" s="182" t="s">
        <v>75</v>
      </c>
      <c r="G3" s="183" t="s">
        <v>76</v>
      </c>
      <c r="H3" s="181" t="s">
        <v>77</v>
      </c>
      <c r="I3" s="181" t="s">
        <v>77</v>
      </c>
      <c r="J3" s="181" t="s">
        <v>78</v>
      </c>
      <c r="K3" s="181" t="s">
        <v>78</v>
      </c>
      <c r="L3" s="178">
        <v>3300</v>
      </c>
      <c r="M3" s="178">
        <v>0.16</v>
      </c>
      <c r="N3" s="178">
        <f t="shared" ref="N3:N8" si="0">ROUND(L3*M3,2)</f>
        <v>528</v>
      </c>
      <c r="O3" s="178">
        <v>0.08</v>
      </c>
      <c r="P3" s="178">
        <f t="shared" ref="P3:P8" si="1">ROUND(L3*O3,2)</f>
        <v>264</v>
      </c>
      <c r="Q3" s="178">
        <v>3300</v>
      </c>
      <c r="R3" s="178">
        <v>0.08</v>
      </c>
      <c r="S3" s="178">
        <f t="shared" ref="S3:S8" si="2">ROUND(Q3*R3,2)</f>
        <v>264</v>
      </c>
      <c r="T3" s="178">
        <v>0.02</v>
      </c>
      <c r="U3" s="178">
        <f t="shared" ref="U3:U8" si="3">ROUND(Q3*T3,2)</f>
        <v>66</v>
      </c>
      <c r="V3" s="178">
        <v>3300</v>
      </c>
      <c r="W3" s="178">
        <v>0.007</v>
      </c>
      <c r="X3" s="178">
        <f t="shared" ref="X3:X8" si="4">ROUND(V3*W3,2)</f>
        <v>23.1</v>
      </c>
      <c r="Y3" s="178">
        <v>0.003</v>
      </c>
      <c r="Z3" s="178">
        <f t="shared" ref="Z3:Z8" si="5">ROUND(V3*Y3,2)</f>
        <v>9.9</v>
      </c>
      <c r="AA3" s="178"/>
      <c r="AB3" s="178"/>
      <c r="AC3" s="178"/>
      <c r="AD3" s="178">
        <v>3300</v>
      </c>
      <c r="AE3" s="178">
        <v>0.002</v>
      </c>
      <c r="AF3" s="178">
        <f t="shared" ref="AF3:AF15" si="6">ROUND(AD3*AE3,2)</f>
        <v>6.6</v>
      </c>
      <c r="AG3" s="178">
        <v>3000</v>
      </c>
      <c r="AH3" s="178">
        <v>0.1</v>
      </c>
      <c r="AI3" s="178">
        <f>ROUND(AG3*AH3,2)</f>
        <v>300</v>
      </c>
      <c r="AJ3" s="178">
        <v>0.06</v>
      </c>
      <c r="AK3" s="178">
        <f>ROUND(AG3*AJ3,2)</f>
        <v>180</v>
      </c>
      <c r="AL3" s="216"/>
      <c r="AM3" s="178"/>
      <c r="AN3" s="178"/>
      <c r="AO3" s="178"/>
      <c r="AP3" s="179" t="s">
        <v>79</v>
      </c>
      <c r="AQ3" s="221">
        <v>5</v>
      </c>
      <c r="AR3" s="178"/>
      <c r="AS3" s="222">
        <f t="shared" ref="AS3:AS15" si="7">N3+S3+X3+AC3+AF3+AN3+AQ3</f>
        <v>826.7</v>
      </c>
      <c r="AT3" s="222">
        <f t="shared" ref="AT3:AT15" si="8">P3+U3+Z3</f>
        <v>339.9</v>
      </c>
      <c r="AU3" s="222">
        <f t="shared" ref="AU3:AU15" si="9">AI3</f>
        <v>300</v>
      </c>
      <c r="AV3" s="222">
        <f t="shared" ref="AV3:AV15" si="10">AK3</f>
        <v>180</v>
      </c>
      <c r="AW3" s="222">
        <f t="shared" ref="AW3:AW15" si="11">AV3+AS3+AT3+AU3</f>
        <v>1646.6</v>
      </c>
      <c r="AX3" s="231">
        <f t="shared" ref="AX3:AX15" si="12">AS3+AT3</f>
        <v>1166.6</v>
      </c>
      <c r="AY3" s="231"/>
      <c r="AZ3" s="231">
        <f t="shared" ref="AZ3:AZ8" si="13">AU3+AV3</f>
        <v>480</v>
      </c>
      <c r="BA3" s="231"/>
      <c r="BB3" s="232">
        <v>80</v>
      </c>
      <c r="BC3" s="231">
        <f t="shared" ref="BC3:BC15" si="14">AX3+AZ3+BB3</f>
        <v>1726.6</v>
      </c>
      <c r="BD3" s="233"/>
      <c r="BE3" s="247"/>
      <c r="BF3" s="248"/>
      <c r="BG3" s="248"/>
      <c r="BH3" s="249" t="s">
        <v>79</v>
      </c>
    </row>
    <row r="4" s="167" customFormat="1" ht="18" customHeight="1" spans="1:60">
      <c r="A4" s="178"/>
      <c r="B4" s="179" t="s">
        <v>71</v>
      </c>
      <c r="C4" s="180" t="s">
        <v>72</v>
      </c>
      <c r="D4" s="181" t="s">
        <v>73</v>
      </c>
      <c r="E4" s="179" t="s">
        <v>74</v>
      </c>
      <c r="F4" s="182" t="s">
        <v>75</v>
      </c>
      <c r="G4" s="183" t="s">
        <v>76</v>
      </c>
      <c r="H4" s="181" t="s">
        <v>77</v>
      </c>
      <c r="I4" s="181" t="s">
        <v>77</v>
      </c>
      <c r="J4" s="181" t="s">
        <v>80</v>
      </c>
      <c r="K4" s="181" t="s">
        <v>80</v>
      </c>
      <c r="L4" s="178">
        <v>3300</v>
      </c>
      <c r="M4" s="178">
        <v>0.16</v>
      </c>
      <c r="N4" s="178">
        <f t="shared" si="0"/>
        <v>528</v>
      </c>
      <c r="O4" s="178">
        <v>0.08</v>
      </c>
      <c r="P4" s="178">
        <f t="shared" si="1"/>
        <v>264</v>
      </c>
      <c r="Q4" s="178">
        <v>3300</v>
      </c>
      <c r="R4" s="178">
        <v>0.08</v>
      </c>
      <c r="S4" s="178">
        <f t="shared" si="2"/>
        <v>264</v>
      </c>
      <c r="T4" s="178">
        <v>0.02</v>
      </c>
      <c r="U4" s="178">
        <f t="shared" si="3"/>
        <v>66</v>
      </c>
      <c r="V4" s="178">
        <v>3300</v>
      </c>
      <c r="W4" s="178">
        <v>0.007</v>
      </c>
      <c r="X4" s="178">
        <f t="shared" si="4"/>
        <v>23.1</v>
      </c>
      <c r="Y4" s="178">
        <v>0.003</v>
      </c>
      <c r="Z4" s="178">
        <f t="shared" si="5"/>
        <v>9.9</v>
      </c>
      <c r="AA4" s="178"/>
      <c r="AB4" s="178"/>
      <c r="AC4" s="178"/>
      <c r="AD4" s="178">
        <v>3300</v>
      </c>
      <c r="AE4" s="178">
        <v>0.002</v>
      </c>
      <c r="AF4" s="178">
        <f t="shared" si="6"/>
        <v>6.6</v>
      </c>
      <c r="AG4" s="178">
        <v>3000</v>
      </c>
      <c r="AH4" s="178">
        <v>0.1</v>
      </c>
      <c r="AI4" s="178">
        <f>ROUND(AG4*AH4,2)</f>
        <v>300</v>
      </c>
      <c r="AJ4" s="178">
        <v>0.06</v>
      </c>
      <c r="AK4" s="178">
        <f>ROUND(AG4*AJ4,2)</f>
        <v>180</v>
      </c>
      <c r="AL4" s="216"/>
      <c r="AM4" s="178"/>
      <c r="AN4" s="178"/>
      <c r="AO4" s="178"/>
      <c r="AP4" s="179" t="s">
        <v>79</v>
      </c>
      <c r="AQ4" s="221">
        <v>5</v>
      </c>
      <c r="AR4" s="178"/>
      <c r="AS4" s="222">
        <f t="shared" si="7"/>
        <v>826.7</v>
      </c>
      <c r="AT4" s="222">
        <f t="shared" si="8"/>
        <v>339.9</v>
      </c>
      <c r="AU4" s="222">
        <f t="shared" si="9"/>
        <v>300</v>
      </c>
      <c r="AV4" s="222">
        <f t="shared" si="10"/>
        <v>180</v>
      </c>
      <c r="AW4" s="222">
        <f t="shared" si="11"/>
        <v>1646.6</v>
      </c>
      <c r="AX4" s="231">
        <f t="shared" si="12"/>
        <v>1166.6</v>
      </c>
      <c r="AY4" s="231"/>
      <c r="AZ4" s="231">
        <f t="shared" si="13"/>
        <v>480</v>
      </c>
      <c r="BA4" s="231"/>
      <c r="BB4" s="232">
        <v>80</v>
      </c>
      <c r="BC4" s="231">
        <f t="shared" si="14"/>
        <v>1726.6</v>
      </c>
      <c r="BD4" s="233"/>
      <c r="BE4" s="247"/>
      <c r="BF4" s="248"/>
      <c r="BG4" s="248"/>
      <c r="BH4" s="249" t="s">
        <v>79</v>
      </c>
    </row>
    <row r="5" s="167" customFormat="1" ht="18" customHeight="1" spans="1:60">
      <c r="A5" s="178"/>
      <c r="B5" s="179" t="s">
        <v>71</v>
      </c>
      <c r="C5" s="180" t="s">
        <v>72</v>
      </c>
      <c r="D5" s="181" t="s">
        <v>73</v>
      </c>
      <c r="E5" s="179" t="s">
        <v>74</v>
      </c>
      <c r="F5" s="182" t="s">
        <v>75</v>
      </c>
      <c r="G5" s="183" t="s">
        <v>76</v>
      </c>
      <c r="H5" s="181" t="s">
        <v>77</v>
      </c>
      <c r="I5" s="181" t="s">
        <v>77</v>
      </c>
      <c r="J5" s="181" t="s">
        <v>81</v>
      </c>
      <c r="K5" s="181" t="s">
        <v>81</v>
      </c>
      <c r="L5" s="178">
        <v>3300</v>
      </c>
      <c r="M5" s="178">
        <v>0.16</v>
      </c>
      <c r="N5" s="178">
        <f t="shared" si="0"/>
        <v>528</v>
      </c>
      <c r="O5" s="178">
        <v>0.08</v>
      </c>
      <c r="P5" s="178">
        <f t="shared" si="1"/>
        <v>264</v>
      </c>
      <c r="Q5" s="178">
        <v>3300</v>
      </c>
      <c r="R5" s="178">
        <v>0.08</v>
      </c>
      <c r="S5" s="178">
        <f t="shared" si="2"/>
        <v>264</v>
      </c>
      <c r="T5" s="178">
        <v>0.02</v>
      </c>
      <c r="U5" s="178">
        <f t="shared" si="3"/>
        <v>66</v>
      </c>
      <c r="V5" s="178">
        <v>3300</v>
      </c>
      <c r="W5" s="178">
        <v>0.007</v>
      </c>
      <c r="X5" s="178">
        <f t="shared" si="4"/>
        <v>23.1</v>
      </c>
      <c r="Y5" s="178">
        <v>0.003</v>
      </c>
      <c r="Z5" s="178">
        <f t="shared" si="5"/>
        <v>9.9</v>
      </c>
      <c r="AA5" s="178"/>
      <c r="AB5" s="178"/>
      <c r="AC5" s="178"/>
      <c r="AD5" s="178">
        <v>3300</v>
      </c>
      <c r="AE5" s="178">
        <v>0.002</v>
      </c>
      <c r="AF5" s="178">
        <f t="shared" si="6"/>
        <v>6.6</v>
      </c>
      <c r="AG5" s="178">
        <v>3000</v>
      </c>
      <c r="AH5" s="178">
        <v>0.1</v>
      </c>
      <c r="AI5" s="178">
        <f>ROUND(AG5*AH5,2)</f>
        <v>300</v>
      </c>
      <c r="AJ5" s="178">
        <v>0.06</v>
      </c>
      <c r="AK5" s="178">
        <f>ROUND(AG5*AJ5,2)</f>
        <v>180</v>
      </c>
      <c r="AL5" s="216"/>
      <c r="AM5" s="178"/>
      <c r="AN5" s="178"/>
      <c r="AO5" s="178"/>
      <c r="AP5" s="179" t="s">
        <v>79</v>
      </c>
      <c r="AQ5" s="221">
        <v>5</v>
      </c>
      <c r="AR5" s="178"/>
      <c r="AS5" s="222">
        <f t="shared" si="7"/>
        <v>826.7</v>
      </c>
      <c r="AT5" s="222">
        <f t="shared" si="8"/>
        <v>339.9</v>
      </c>
      <c r="AU5" s="222">
        <f t="shared" si="9"/>
        <v>300</v>
      </c>
      <c r="AV5" s="222">
        <f t="shared" si="10"/>
        <v>180</v>
      </c>
      <c r="AW5" s="222">
        <f t="shared" si="11"/>
        <v>1646.6</v>
      </c>
      <c r="AX5" s="231">
        <f t="shared" si="12"/>
        <v>1166.6</v>
      </c>
      <c r="AY5" s="231"/>
      <c r="AZ5" s="231">
        <f t="shared" si="13"/>
        <v>480</v>
      </c>
      <c r="BA5" s="231"/>
      <c r="BB5" s="232">
        <v>80</v>
      </c>
      <c r="BC5" s="231">
        <f t="shared" si="14"/>
        <v>1726.6</v>
      </c>
      <c r="BD5" s="233"/>
      <c r="BE5" s="247"/>
      <c r="BF5" s="248"/>
      <c r="BG5" s="248"/>
      <c r="BH5" s="249" t="s">
        <v>79</v>
      </c>
    </row>
    <row r="6" s="167" customFormat="1" ht="18" customHeight="1" spans="1:60">
      <c r="A6" s="178">
        <v>2</v>
      </c>
      <c r="B6" s="179" t="s">
        <v>71</v>
      </c>
      <c r="C6" s="180" t="s">
        <v>82</v>
      </c>
      <c r="D6" s="181" t="s">
        <v>73</v>
      </c>
      <c r="E6" s="179" t="s">
        <v>83</v>
      </c>
      <c r="F6" s="182" t="s">
        <v>84</v>
      </c>
      <c r="G6" s="352" t="s">
        <v>85</v>
      </c>
      <c r="H6" s="181" t="s">
        <v>77</v>
      </c>
      <c r="I6" s="181" t="s">
        <v>86</v>
      </c>
      <c r="J6" s="181" t="s">
        <v>78</v>
      </c>
      <c r="K6" s="181" t="s">
        <v>86</v>
      </c>
      <c r="L6" s="178">
        <v>3803</v>
      </c>
      <c r="M6" s="178">
        <v>0.14</v>
      </c>
      <c r="N6" s="178">
        <f t="shared" si="0"/>
        <v>532.42</v>
      </c>
      <c r="O6" s="178">
        <v>0.08</v>
      </c>
      <c r="P6" s="178">
        <f t="shared" si="1"/>
        <v>304.24</v>
      </c>
      <c r="Q6" s="178">
        <v>6175</v>
      </c>
      <c r="R6" s="178">
        <v>0.055</v>
      </c>
      <c r="S6" s="178">
        <f t="shared" si="2"/>
        <v>339.63</v>
      </c>
      <c r="T6" s="178">
        <v>0.02</v>
      </c>
      <c r="U6" s="178">
        <f t="shared" si="3"/>
        <v>123.5</v>
      </c>
      <c r="V6" s="178">
        <v>3803</v>
      </c>
      <c r="W6" s="178">
        <v>0.0032</v>
      </c>
      <c r="X6" s="178">
        <f t="shared" si="4"/>
        <v>12.17</v>
      </c>
      <c r="Y6" s="178">
        <v>0.002</v>
      </c>
      <c r="Z6" s="178">
        <f t="shared" si="5"/>
        <v>7.61</v>
      </c>
      <c r="AA6" s="178">
        <v>6175</v>
      </c>
      <c r="AB6" s="178">
        <v>0.0085</v>
      </c>
      <c r="AC6" s="178">
        <f t="shared" ref="AC6:AC8" si="15">ROUND(AA6*AB6,2)</f>
        <v>52.49</v>
      </c>
      <c r="AD6" s="178">
        <v>3803</v>
      </c>
      <c r="AE6" s="178">
        <v>0.0016</v>
      </c>
      <c r="AF6" s="178">
        <f t="shared" si="6"/>
        <v>6.08</v>
      </c>
      <c r="AG6" s="178"/>
      <c r="AH6" s="178"/>
      <c r="AI6" s="178"/>
      <c r="AJ6" s="178"/>
      <c r="AK6" s="178"/>
      <c r="AL6" s="216"/>
      <c r="AM6" s="178"/>
      <c r="AN6" s="178"/>
      <c r="AO6" s="178"/>
      <c r="AP6" s="179"/>
      <c r="AQ6" s="221">
        <v>26.76</v>
      </c>
      <c r="AR6" s="178"/>
      <c r="AS6" s="222">
        <f t="shared" si="7"/>
        <v>969.55</v>
      </c>
      <c r="AT6" s="222">
        <f t="shared" si="8"/>
        <v>435.35</v>
      </c>
      <c r="AU6" s="222">
        <f t="shared" si="9"/>
        <v>0</v>
      </c>
      <c r="AV6" s="222">
        <f t="shared" si="10"/>
        <v>0</v>
      </c>
      <c r="AW6" s="222">
        <f t="shared" si="11"/>
        <v>1404.9</v>
      </c>
      <c r="AX6" s="231">
        <f t="shared" si="12"/>
        <v>1404.9</v>
      </c>
      <c r="AY6" s="231"/>
      <c r="AZ6" s="231">
        <f t="shared" si="13"/>
        <v>0</v>
      </c>
      <c r="BA6" s="231"/>
      <c r="BB6" s="232">
        <v>80</v>
      </c>
      <c r="BC6" s="231">
        <f t="shared" si="14"/>
        <v>1484.9</v>
      </c>
      <c r="BD6" s="233"/>
      <c r="BE6" s="250"/>
      <c r="BF6" s="250"/>
      <c r="BG6" s="250"/>
      <c r="BH6" s="250"/>
    </row>
    <row r="7" s="167" customFormat="1" ht="18" customHeight="1" spans="1:60">
      <c r="A7" s="178"/>
      <c r="B7" s="179" t="s">
        <v>71</v>
      </c>
      <c r="C7" s="180" t="s">
        <v>82</v>
      </c>
      <c r="D7" s="181" t="s">
        <v>73</v>
      </c>
      <c r="E7" s="179" t="s">
        <v>83</v>
      </c>
      <c r="F7" s="182" t="s">
        <v>84</v>
      </c>
      <c r="G7" s="352" t="s">
        <v>85</v>
      </c>
      <c r="H7" s="181" t="s">
        <v>77</v>
      </c>
      <c r="I7" s="181" t="s">
        <v>86</v>
      </c>
      <c r="J7" s="181" t="s">
        <v>80</v>
      </c>
      <c r="K7" s="181" t="s">
        <v>86</v>
      </c>
      <c r="L7" s="178">
        <v>3803</v>
      </c>
      <c r="M7" s="178">
        <v>0.14</v>
      </c>
      <c r="N7" s="178">
        <f t="shared" si="0"/>
        <v>532.42</v>
      </c>
      <c r="O7" s="178">
        <v>0.08</v>
      </c>
      <c r="P7" s="178">
        <f t="shared" si="1"/>
        <v>304.24</v>
      </c>
      <c r="Q7" s="178">
        <v>6175</v>
      </c>
      <c r="R7" s="178">
        <v>0.055</v>
      </c>
      <c r="S7" s="178">
        <f t="shared" si="2"/>
        <v>339.63</v>
      </c>
      <c r="T7" s="178">
        <v>0.02</v>
      </c>
      <c r="U7" s="178">
        <f t="shared" si="3"/>
        <v>123.5</v>
      </c>
      <c r="V7" s="178">
        <v>3803</v>
      </c>
      <c r="W7" s="178">
        <v>0.0032</v>
      </c>
      <c r="X7" s="178">
        <f t="shared" si="4"/>
        <v>12.17</v>
      </c>
      <c r="Y7" s="178">
        <v>0.002</v>
      </c>
      <c r="Z7" s="178">
        <f t="shared" si="5"/>
        <v>7.61</v>
      </c>
      <c r="AA7" s="178">
        <v>6175</v>
      </c>
      <c r="AB7" s="178">
        <v>0.0085</v>
      </c>
      <c r="AC7" s="178">
        <f t="shared" si="15"/>
        <v>52.49</v>
      </c>
      <c r="AD7" s="178">
        <v>3803</v>
      </c>
      <c r="AE7" s="178">
        <v>0.0016</v>
      </c>
      <c r="AF7" s="178">
        <f t="shared" si="6"/>
        <v>6.08</v>
      </c>
      <c r="AG7" s="178"/>
      <c r="AH7" s="178"/>
      <c r="AI7" s="178"/>
      <c r="AJ7" s="178"/>
      <c r="AK7" s="178"/>
      <c r="AL7" s="216"/>
      <c r="AM7" s="178"/>
      <c r="AN7" s="178"/>
      <c r="AO7" s="178"/>
      <c r="AP7" s="179"/>
      <c r="AQ7" s="221">
        <v>26.76</v>
      </c>
      <c r="AR7" s="178"/>
      <c r="AS7" s="222">
        <f t="shared" si="7"/>
        <v>969.55</v>
      </c>
      <c r="AT7" s="222">
        <f t="shared" si="8"/>
        <v>435.35</v>
      </c>
      <c r="AU7" s="222">
        <f t="shared" si="9"/>
        <v>0</v>
      </c>
      <c r="AV7" s="222">
        <f t="shared" si="10"/>
        <v>0</v>
      </c>
      <c r="AW7" s="222">
        <f t="shared" si="11"/>
        <v>1404.9</v>
      </c>
      <c r="AX7" s="231">
        <f t="shared" si="12"/>
        <v>1404.9</v>
      </c>
      <c r="AY7" s="231"/>
      <c r="AZ7" s="231">
        <f t="shared" si="13"/>
        <v>0</v>
      </c>
      <c r="BA7" s="231"/>
      <c r="BB7" s="232">
        <v>80</v>
      </c>
      <c r="BC7" s="231">
        <f t="shared" si="14"/>
        <v>1484.9</v>
      </c>
      <c r="BD7" s="233"/>
      <c r="BE7" s="250"/>
      <c r="BF7" s="250"/>
      <c r="BG7" s="250"/>
      <c r="BH7" s="250"/>
    </row>
    <row r="8" s="167" customFormat="1" ht="18" customHeight="1" spans="1:60">
      <c r="A8" s="178"/>
      <c r="B8" s="179" t="s">
        <v>71</v>
      </c>
      <c r="C8" s="180" t="s">
        <v>82</v>
      </c>
      <c r="D8" s="181" t="s">
        <v>73</v>
      </c>
      <c r="E8" s="179" t="s">
        <v>83</v>
      </c>
      <c r="F8" s="182" t="s">
        <v>84</v>
      </c>
      <c r="G8" s="352" t="s">
        <v>85</v>
      </c>
      <c r="H8" s="181" t="s">
        <v>77</v>
      </c>
      <c r="I8" s="181" t="s">
        <v>86</v>
      </c>
      <c r="J8" s="181" t="s">
        <v>81</v>
      </c>
      <c r="K8" s="181" t="s">
        <v>86</v>
      </c>
      <c r="L8" s="178">
        <v>3803</v>
      </c>
      <c r="M8" s="178">
        <v>0.14</v>
      </c>
      <c r="N8" s="178">
        <f t="shared" si="0"/>
        <v>532.42</v>
      </c>
      <c r="O8" s="178">
        <v>0.08</v>
      </c>
      <c r="P8" s="178">
        <f t="shared" si="1"/>
        <v>304.24</v>
      </c>
      <c r="Q8" s="178">
        <v>6175</v>
      </c>
      <c r="R8" s="178">
        <v>0.055</v>
      </c>
      <c r="S8" s="178">
        <f t="shared" si="2"/>
        <v>339.63</v>
      </c>
      <c r="T8" s="178">
        <v>0.02</v>
      </c>
      <c r="U8" s="178">
        <f t="shared" si="3"/>
        <v>123.5</v>
      </c>
      <c r="V8" s="178">
        <v>3803</v>
      </c>
      <c r="W8" s="178">
        <v>0.0032</v>
      </c>
      <c r="X8" s="178">
        <f t="shared" si="4"/>
        <v>12.17</v>
      </c>
      <c r="Y8" s="178">
        <v>0.002</v>
      </c>
      <c r="Z8" s="178">
        <f t="shared" si="5"/>
        <v>7.61</v>
      </c>
      <c r="AA8" s="178">
        <v>6175</v>
      </c>
      <c r="AB8" s="178">
        <v>0.0085</v>
      </c>
      <c r="AC8" s="178">
        <f t="shared" si="15"/>
        <v>52.49</v>
      </c>
      <c r="AD8" s="178">
        <v>3803</v>
      </c>
      <c r="AE8" s="178">
        <v>0.0016</v>
      </c>
      <c r="AF8" s="178">
        <f t="shared" si="6"/>
        <v>6.08</v>
      </c>
      <c r="AG8" s="178"/>
      <c r="AH8" s="178"/>
      <c r="AI8" s="178"/>
      <c r="AJ8" s="178"/>
      <c r="AK8" s="178"/>
      <c r="AL8" s="216"/>
      <c r="AM8" s="178"/>
      <c r="AN8" s="178"/>
      <c r="AO8" s="178"/>
      <c r="AP8" s="179"/>
      <c r="AQ8" s="221">
        <v>26.76</v>
      </c>
      <c r="AR8" s="178"/>
      <c r="AS8" s="222">
        <f t="shared" si="7"/>
        <v>969.55</v>
      </c>
      <c r="AT8" s="222">
        <f t="shared" si="8"/>
        <v>435.35</v>
      </c>
      <c r="AU8" s="222">
        <f t="shared" si="9"/>
        <v>0</v>
      </c>
      <c r="AV8" s="222">
        <f t="shared" si="10"/>
        <v>0</v>
      </c>
      <c r="AW8" s="222">
        <f t="shared" si="11"/>
        <v>1404.9</v>
      </c>
      <c r="AX8" s="231">
        <f t="shared" si="12"/>
        <v>1404.9</v>
      </c>
      <c r="AY8" s="231"/>
      <c r="AZ8" s="231">
        <f t="shared" si="13"/>
        <v>0</v>
      </c>
      <c r="BA8" s="231"/>
      <c r="BB8" s="232">
        <v>80</v>
      </c>
      <c r="BC8" s="231">
        <f t="shared" si="14"/>
        <v>1484.9</v>
      </c>
      <c r="BD8" s="233"/>
      <c r="BE8" s="250"/>
      <c r="BF8" s="250"/>
      <c r="BG8" s="250"/>
      <c r="BH8" s="250"/>
    </row>
    <row r="9" s="168" customFormat="1" ht="18" customHeight="1" spans="1:60">
      <c r="A9" s="184" t="s">
        <v>87</v>
      </c>
      <c r="B9" s="185" t="s">
        <v>71</v>
      </c>
      <c r="C9" s="186" t="s">
        <v>82</v>
      </c>
      <c r="D9" s="187" t="s">
        <v>73</v>
      </c>
      <c r="E9" s="185" t="s">
        <v>83</v>
      </c>
      <c r="F9" s="188" t="s">
        <v>84</v>
      </c>
      <c r="G9" s="353" t="s">
        <v>85</v>
      </c>
      <c r="H9" s="187" t="s">
        <v>77</v>
      </c>
      <c r="I9" s="187" t="s">
        <v>86</v>
      </c>
      <c r="J9" s="187" t="s">
        <v>88</v>
      </c>
      <c r="K9" s="187" t="s">
        <v>86</v>
      </c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215">
        <f t="shared" ref="AD9:AD11" si="16">3803-3000</f>
        <v>803</v>
      </c>
      <c r="AE9" s="215">
        <v>0.0016</v>
      </c>
      <c r="AF9" s="215">
        <f t="shared" si="6"/>
        <v>1.28</v>
      </c>
      <c r="AG9" s="184"/>
      <c r="AH9" s="184"/>
      <c r="AI9" s="184"/>
      <c r="AJ9" s="184"/>
      <c r="AK9" s="184"/>
      <c r="AL9" s="217"/>
      <c r="AM9" s="184"/>
      <c r="AN9" s="184"/>
      <c r="AO9" s="184"/>
      <c r="AP9" s="185"/>
      <c r="AQ9" s="223"/>
      <c r="AR9" s="184"/>
      <c r="AS9" s="224">
        <f t="shared" si="7"/>
        <v>1.28</v>
      </c>
      <c r="AT9" s="224">
        <f t="shared" si="8"/>
        <v>0</v>
      </c>
      <c r="AU9" s="224">
        <f t="shared" si="9"/>
        <v>0</v>
      </c>
      <c r="AV9" s="224">
        <f t="shared" si="10"/>
        <v>0</v>
      </c>
      <c r="AW9" s="224">
        <f t="shared" si="11"/>
        <v>1.28</v>
      </c>
      <c r="AX9" s="234">
        <f t="shared" si="12"/>
        <v>1.28</v>
      </c>
      <c r="AY9" s="234"/>
      <c r="AZ9" s="234"/>
      <c r="BA9" s="234"/>
      <c r="BB9" s="235"/>
      <c r="BC9" s="234">
        <f t="shared" si="14"/>
        <v>1.28</v>
      </c>
      <c r="BD9" s="236" t="s">
        <v>89</v>
      </c>
      <c r="BE9" s="251"/>
      <c r="BF9" s="251"/>
      <c r="BG9" s="251"/>
      <c r="BH9" s="251"/>
    </row>
    <row r="10" s="168" customFormat="1" ht="18" customHeight="1" spans="1:60">
      <c r="A10" s="184" t="s">
        <v>87</v>
      </c>
      <c r="B10" s="185" t="s">
        <v>71</v>
      </c>
      <c r="C10" s="186" t="s">
        <v>82</v>
      </c>
      <c r="D10" s="187" t="s">
        <v>73</v>
      </c>
      <c r="E10" s="185" t="s">
        <v>83</v>
      </c>
      <c r="F10" s="188" t="s">
        <v>84</v>
      </c>
      <c r="G10" s="353" t="s">
        <v>85</v>
      </c>
      <c r="H10" s="187" t="s">
        <v>77</v>
      </c>
      <c r="I10" s="187" t="s">
        <v>86</v>
      </c>
      <c r="J10" s="187" t="s">
        <v>90</v>
      </c>
      <c r="K10" s="187" t="s">
        <v>86</v>
      </c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215">
        <f t="shared" si="16"/>
        <v>803</v>
      </c>
      <c r="AE10" s="215">
        <v>0.0016</v>
      </c>
      <c r="AF10" s="215">
        <f t="shared" si="6"/>
        <v>1.28</v>
      </c>
      <c r="AG10" s="184"/>
      <c r="AH10" s="184"/>
      <c r="AI10" s="184"/>
      <c r="AJ10" s="184"/>
      <c r="AK10" s="184"/>
      <c r="AL10" s="217"/>
      <c r="AM10" s="184"/>
      <c r="AN10" s="184"/>
      <c r="AO10" s="184"/>
      <c r="AP10" s="185"/>
      <c r="AQ10" s="223"/>
      <c r="AR10" s="184"/>
      <c r="AS10" s="224">
        <f t="shared" si="7"/>
        <v>1.28</v>
      </c>
      <c r="AT10" s="224">
        <f t="shared" si="8"/>
        <v>0</v>
      </c>
      <c r="AU10" s="224">
        <f t="shared" si="9"/>
        <v>0</v>
      </c>
      <c r="AV10" s="224">
        <f t="shared" si="10"/>
        <v>0</v>
      </c>
      <c r="AW10" s="224">
        <f t="shared" si="11"/>
        <v>1.28</v>
      </c>
      <c r="AX10" s="234">
        <f t="shared" si="12"/>
        <v>1.28</v>
      </c>
      <c r="AY10" s="234"/>
      <c r="AZ10" s="234"/>
      <c r="BA10" s="234"/>
      <c r="BB10" s="235"/>
      <c r="BC10" s="234">
        <f t="shared" si="14"/>
        <v>1.28</v>
      </c>
      <c r="BD10" s="236" t="s">
        <v>89</v>
      </c>
      <c r="BE10" s="251"/>
      <c r="BF10" s="251"/>
      <c r="BG10" s="251"/>
      <c r="BH10" s="251"/>
    </row>
    <row r="11" s="168" customFormat="1" ht="18" customHeight="1" spans="1:60">
      <c r="A11" s="184" t="s">
        <v>87</v>
      </c>
      <c r="B11" s="185" t="s">
        <v>71</v>
      </c>
      <c r="C11" s="186" t="s">
        <v>82</v>
      </c>
      <c r="D11" s="187" t="s">
        <v>73</v>
      </c>
      <c r="E11" s="185" t="s">
        <v>83</v>
      </c>
      <c r="F11" s="188" t="s">
        <v>84</v>
      </c>
      <c r="G11" s="353" t="s">
        <v>85</v>
      </c>
      <c r="H11" s="187" t="s">
        <v>77</v>
      </c>
      <c r="I11" s="187" t="s">
        <v>86</v>
      </c>
      <c r="J11" s="187" t="s">
        <v>91</v>
      </c>
      <c r="K11" s="187" t="s">
        <v>86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215">
        <f t="shared" si="16"/>
        <v>803</v>
      </c>
      <c r="AE11" s="215">
        <v>0.0016</v>
      </c>
      <c r="AF11" s="215">
        <f t="shared" si="6"/>
        <v>1.28</v>
      </c>
      <c r="AG11" s="184"/>
      <c r="AH11" s="184"/>
      <c r="AI11" s="184"/>
      <c r="AJ11" s="184"/>
      <c r="AK11" s="184"/>
      <c r="AL11" s="217"/>
      <c r="AM11" s="184"/>
      <c r="AN11" s="184"/>
      <c r="AO11" s="184"/>
      <c r="AP11" s="185"/>
      <c r="AQ11" s="223"/>
      <c r="AR11" s="184"/>
      <c r="AS11" s="224">
        <f t="shared" si="7"/>
        <v>1.28</v>
      </c>
      <c r="AT11" s="224">
        <f t="shared" si="8"/>
        <v>0</v>
      </c>
      <c r="AU11" s="224">
        <f t="shared" si="9"/>
        <v>0</v>
      </c>
      <c r="AV11" s="224">
        <f t="shared" si="10"/>
        <v>0</v>
      </c>
      <c r="AW11" s="224">
        <f t="shared" si="11"/>
        <v>1.28</v>
      </c>
      <c r="AX11" s="234">
        <f t="shared" si="12"/>
        <v>1.28</v>
      </c>
      <c r="AY11" s="234"/>
      <c r="AZ11" s="234"/>
      <c r="BA11" s="234"/>
      <c r="BB11" s="235"/>
      <c r="BC11" s="234">
        <f t="shared" si="14"/>
        <v>1.28</v>
      </c>
      <c r="BD11" s="236" t="s">
        <v>89</v>
      </c>
      <c r="BE11" s="251"/>
      <c r="BF11" s="251"/>
      <c r="BG11" s="251"/>
      <c r="BH11" s="251"/>
    </row>
    <row r="12" s="167" customFormat="1" ht="18" customHeight="1" spans="1:60">
      <c r="A12" s="178">
        <v>3</v>
      </c>
      <c r="B12" s="179" t="s">
        <v>71</v>
      </c>
      <c r="C12" s="180" t="s">
        <v>92</v>
      </c>
      <c r="D12" s="181" t="s">
        <v>73</v>
      </c>
      <c r="E12" s="179" t="s">
        <v>83</v>
      </c>
      <c r="F12" s="182" t="s">
        <v>93</v>
      </c>
      <c r="G12" s="183" t="s">
        <v>94</v>
      </c>
      <c r="H12" s="181" t="s">
        <v>95</v>
      </c>
      <c r="I12" s="181" t="s">
        <v>95</v>
      </c>
      <c r="J12" s="181" t="s">
        <v>80</v>
      </c>
      <c r="K12" s="181" t="s">
        <v>80</v>
      </c>
      <c r="L12" s="178">
        <v>3053.05</v>
      </c>
      <c r="M12" s="178">
        <v>0.16</v>
      </c>
      <c r="N12" s="178">
        <f t="shared" ref="N12:N15" si="17">ROUND(L12*M12,2)</f>
        <v>488.49</v>
      </c>
      <c r="O12" s="178">
        <v>0.08</v>
      </c>
      <c r="P12" s="178">
        <f t="shared" ref="P12:P15" si="18">ROUND(L12*O12,2)</f>
        <v>244.24</v>
      </c>
      <c r="Q12" s="178">
        <v>3053.05</v>
      </c>
      <c r="R12" s="178">
        <v>0.06</v>
      </c>
      <c r="S12" s="178">
        <f t="shared" ref="S12:S15" si="19">ROUND(Q12*R12,2)</f>
        <v>183.18</v>
      </c>
      <c r="T12" s="178">
        <v>0.02</v>
      </c>
      <c r="U12" s="178">
        <f t="shared" ref="U12:U15" si="20">ROUND(Q12*T12,2)</f>
        <v>61.06</v>
      </c>
      <c r="V12" s="178">
        <v>3053.05</v>
      </c>
      <c r="W12" s="178">
        <v>0.007</v>
      </c>
      <c r="X12" s="178">
        <f t="shared" ref="X12:X15" si="21">ROUND(V12*W12,2)</f>
        <v>21.37</v>
      </c>
      <c r="Y12" s="178">
        <v>0.003</v>
      </c>
      <c r="Z12" s="178">
        <f t="shared" ref="Z12:Z15" si="22">ROUND(V12*Y12,2)</f>
        <v>9.16</v>
      </c>
      <c r="AA12" s="178">
        <v>3053.05</v>
      </c>
      <c r="AB12" s="178">
        <v>0.007</v>
      </c>
      <c r="AC12" s="178">
        <f t="shared" ref="AC12:AC15" si="23">ROUND(AA12*AB12,2)</f>
        <v>21.37</v>
      </c>
      <c r="AD12" s="178">
        <v>3053.05</v>
      </c>
      <c r="AE12" s="178">
        <v>0.002</v>
      </c>
      <c r="AF12" s="178">
        <f t="shared" si="6"/>
        <v>6.11</v>
      </c>
      <c r="AG12" s="178" t="s">
        <v>96</v>
      </c>
      <c r="AH12" s="178">
        <v>0.05</v>
      </c>
      <c r="AI12" s="178">
        <f t="shared" ref="AI12:AI15" si="24">ROUND(AG12*AH12,2)</f>
        <v>79</v>
      </c>
      <c r="AJ12" s="178">
        <v>0.05</v>
      </c>
      <c r="AK12" s="178">
        <f t="shared" ref="AK12:AK15" si="25">ROUND(AG12*AJ12,2)</f>
        <v>79</v>
      </c>
      <c r="AL12" s="216"/>
      <c r="AM12" s="178"/>
      <c r="AN12" s="178"/>
      <c r="AO12" s="178"/>
      <c r="AP12" s="179"/>
      <c r="AQ12" s="221"/>
      <c r="AR12" s="178">
        <v>96</v>
      </c>
      <c r="AS12" s="222">
        <f t="shared" si="7"/>
        <v>720.52</v>
      </c>
      <c r="AT12" s="222">
        <f t="shared" si="8"/>
        <v>314.46</v>
      </c>
      <c r="AU12" s="222">
        <f t="shared" si="9"/>
        <v>79</v>
      </c>
      <c r="AV12" s="222">
        <f t="shared" si="10"/>
        <v>79</v>
      </c>
      <c r="AW12" s="222">
        <f t="shared" si="11"/>
        <v>1192.98</v>
      </c>
      <c r="AX12" s="231">
        <f t="shared" si="12"/>
        <v>1034.98</v>
      </c>
      <c r="AY12" s="231"/>
      <c r="AZ12" s="231">
        <f t="shared" ref="AZ12:AZ15" si="26">AU12+AV12</f>
        <v>158</v>
      </c>
      <c r="BA12" s="231"/>
      <c r="BB12" s="232">
        <v>80</v>
      </c>
      <c r="BC12" s="231">
        <f t="shared" si="14"/>
        <v>1272.98</v>
      </c>
      <c r="BD12" s="233"/>
      <c r="BE12" s="250"/>
      <c r="BF12" s="250"/>
      <c r="BG12" s="250"/>
      <c r="BH12" s="250"/>
    </row>
    <row r="13" s="167" customFormat="1" ht="18" customHeight="1" spans="1:60">
      <c r="A13" s="178"/>
      <c r="B13" s="179" t="s">
        <v>71</v>
      </c>
      <c r="C13" s="180" t="s">
        <v>92</v>
      </c>
      <c r="D13" s="181" t="s">
        <v>73</v>
      </c>
      <c r="E13" s="179" t="s">
        <v>83</v>
      </c>
      <c r="F13" s="182" t="s">
        <v>93</v>
      </c>
      <c r="G13" s="183" t="s">
        <v>94</v>
      </c>
      <c r="H13" s="181" t="s">
        <v>95</v>
      </c>
      <c r="I13" s="181" t="s">
        <v>95</v>
      </c>
      <c r="J13" s="181" t="s">
        <v>81</v>
      </c>
      <c r="K13" s="181" t="s">
        <v>81</v>
      </c>
      <c r="L13" s="178">
        <v>3053.05</v>
      </c>
      <c r="M13" s="178">
        <v>0.16</v>
      </c>
      <c r="N13" s="178">
        <f t="shared" si="17"/>
        <v>488.49</v>
      </c>
      <c r="O13" s="178">
        <v>0.08</v>
      </c>
      <c r="P13" s="178">
        <f t="shared" si="18"/>
        <v>244.24</v>
      </c>
      <c r="Q13" s="178">
        <v>3053.05</v>
      </c>
      <c r="R13" s="178">
        <v>0.06</v>
      </c>
      <c r="S13" s="178">
        <f t="shared" si="19"/>
        <v>183.18</v>
      </c>
      <c r="T13" s="178">
        <v>0.02</v>
      </c>
      <c r="U13" s="178">
        <f t="shared" si="20"/>
        <v>61.06</v>
      </c>
      <c r="V13" s="178">
        <v>3053.05</v>
      </c>
      <c r="W13" s="178">
        <v>0.007</v>
      </c>
      <c r="X13" s="178">
        <f t="shared" si="21"/>
        <v>21.37</v>
      </c>
      <c r="Y13" s="178">
        <v>0.003</v>
      </c>
      <c r="Z13" s="178">
        <f t="shared" si="22"/>
        <v>9.16</v>
      </c>
      <c r="AA13" s="178">
        <v>3053.05</v>
      </c>
      <c r="AB13" s="178">
        <v>0.007</v>
      </c>
      <c r="AC13" s="178">
        <f t="shared" si="23"/>
        <v>21.37</v>
      </c>
      <c r="AD13" s="178">
        <v>3053.05</v>
      </c>
      <c r="AE13" s="178">
        <v>0.002</v>
      </c>
      <c r="AF13" s="178">
        <f t="shared" si="6"/>
        <v>6.11</v>
      </c>
      <c r="AG13" s="178" t="s">
        <v>96</v>
      </c>
      <c r="AH13" s="178">
        <v>0.05</v>
      </c>
      <c r="AI13" s="178">
        <f t="shared" si="24"/>
        <v>79</v>
      </c>
      <c r="AJ13" s="178">
        <v>0.05</v>
      </c>
      <c r="AK13" s="178">
        <f t="shared" si="25"/>
        <v>79</v>
      </c>
      <c r="AL13" s="216"/>
      <c r="AM13" s="178"/>
      <c r="AN13" s="178"/>
      <c r="AO13" s="178"/>
      <c r="AP13" s="179"/>
      <c r="AQ13" s="221"/>
      <c r="AR13" s="221"/>
      <c r="AS13" s="222">
        <f t="shared" si="7"/>
        <v>720.52</v>
      </c>
      <c r="AT13" s="222">
        <f t="shared" si="8"/>
        <v>314.46</v>
      </c>
      <c r="AU13" s="222">
        <f t="shared" si="9"/>
        <v>79</v>
      </c>
      <c r="AV13" s="222">
        <f t="shared" si="10"/>
        <v>79</v>
      </c>
      <c r="AW13" s="222">
        <f t="shared" si="11"/>
        <v>1192.98</v>
      </c>
      <c r="AX13" s="231">
        <f t="shared" si="12"/>
        <v>1034.98</v>
      </c>
      <c r="AY13" s="231"/>
      <c r="AZ13" s="231">
        <f t="shared" si="26"/>
        <v>158</v>
      </c>
      <c r="BA13" s="231"/>
      <c r="BB13" s="232">
        <v>80</v>
      </c>
      <c r="BC13" s="231">
        <f t="shared" si="14"/>
        <v>1272.98</v>
      </c>
      <c r="BD13" s="233"/>
      <c r="BE13" s="250"/>
      <c r="BF13" s="250"/>
      <c r="BG13" s="250"/>
      <c r="BH13" s="250"/>
    </row>
    <row r="14" s="167" customFormat="1" ht="18" customHeight="1" spans="1:60">
      <c r="A14" s="178"/>
      <c r="B14" s="179" t="s">
        <v>71</v>
      </c>
      <c r="C14" s="180" t="s">
        <v>92</v>
      </c>
      <c r="D14" s="181" t="s">
        <v>73</v>
      </c>
      <c r="E14" s="179" t="s">
        <v>83</v>
      </c>
      <c r="F14" s="182" t="s">
        <v>93</v>
      </c>
      <c r="G14" s="183" t="s">
        <v>94</v>
      </c>
      <c r="H14" s="181" t="s">
        <v>95</v>
      </c>
      <c r="I14" s="181" t="s">
        <v>95</v>
      </c>
      <c r="J14" s="181" t="s">
        <v>97</v>
      </c>
      <c r="K14" s="181" t="s">
        <v>97</v>
      </c>
      <c r="L14" s="178">
        <v>3053.05</v>
      </c>
      <c r="M14" s="178">
        <v>0.16</v>
      </c>
      <c r="N14" s="178">
        <f t="shared" si="17"/>
        <v>488.49</v>
      </c>
      <c r="O14" s="178">
        <v>0.08</v>
      </c>
      <c r="P14" s="178">
        <f t="shared" si="18"/>
        <v>244.24</v>
      </c>
      <c r="Q14" s="178">
        <v>3053.05</v>
      </c>
      <c r="R14" s="178">
        <v>0.06</v>
      </c>
      <c r="S14" s="178">
        <f t="shared" si="19"/>
        <v>183.18</v>
      </c>
      <c r="T14" s="178">
        <v>0.02</v>
      </c>
      <c r="U14" s="178">
        <f t="shared" si="20"/>
        <v>61.06</v>
      </c>
      <c r="V14" s="178">
        <v>3053.05</v>
      </c>
      <c r="W14" s="178">
        <v>0.007</v>
      </c>
      <c r="X14" s="178">
        <f t="shared" si="21"/>
        <v>21.37</v>
      </c>
      <c r="Y14" s="178">
        <v>0.003</v>
      </c>
      <c r="Z14" s="178">
        <f t="shared" si="22"/>
        <v>9.16</v>
      </c>
      <c r="AA14" s="178">
        <v>3053.05</v>
      </c>
      <c r="AB14" s="178">
        <v>0.007</v>
      </c>
      <c r="AC14" s="178">
        <f t="shared" si="23"/>
        <v>21.37</v>
      </c>
      <c r="AD14" s="178">
        <v>3053.05</v>
      </c>
      <c r="AE14" s="178">
        <v>0.002</v>
      </c>
      <c r="AF14" s="178">
        <f t="shared" si="6"/>
        <v>6.11</v>
      </c>
      <c r="AG14" s="178" t="s">
        <v>96</v>
      </c>
      <c r="AH14" s="178">
        <v>0.05</v>
      </c>
      <c r="AI14" s="178">
        <f t="shared" si="24"/>
        <v>79</v>
      </c>
      <c r="AJ14" s="178">
        <v>0.05</v>
      </c>
      <c r="AK14" s="178">
        <f t="shared" si="25"/>
        <v>79</v>
      </c>
      <c r="AL14" s="216"/>
      <c r="AM14" s="178"/>
      <c r="AN14" s="178"/>
      <c r="AO14" s="178"/>
      <c r="AP14" s="179"/>
      <c r="AQ14" s="221"/>
      <c r="AR14" s="221"/>
      <c r="AS14" s="222">
        <f t="shared" si="7"/>
        <v>720.52</v>
      </c>
      <c r="AT14" s="222">
        <f t="shared" si="8"/>
        <v>314.46</v>
      </c>
      <c r="AU14" s="222">
        <f t="shared" si="9"/>
        <v>79</v>
      </c>
      <c r="AV14" s="222">
        <f t="shared" si="10"/>
        <v>79</v>
      </c>
      <c r="AW14" s="222">
        <f t="shared" si="11"/>
        <v>1192.98</v>
      </c>
      <c r="AX14" s="231">
        <f t="shared" si="12"/>
        <v>1034.98</v>
      </c>
      <c r="AY14" s="231"/>
      <c r="AZ14" s="231">
        <f t="shared" si="26"/>
        <v>158</v>
      </c>
      <c r="BA14" s="231"/>
      <c r="BB14" s="232">
        <v>80</v>
      </c>
      <c r="BC14" s="231">
        <f t="shared" si="14"/>
        <v>1272.98</v>
      </c>
      <c r="BD14" s="233"/>
      <c r="BE14" s="250"/>
      <c r="BF14" s="250"/>
      <c r="BG14" s="250"/>
      <c r="BH14" s="250"/>
    </row>
    <row r="15" s="168" customFormat="1" ht="18" customHeight="1" spans="1:60">
      <c r="A15" s="184" t="s">
        <v>87</v>
      </c>
      <c r="B15" s="185" t="s">
        <v>71</v>
      </c>
      <c r="C15" s="186" t="s">
        <v>92</v>
      </c>
      <c r="D15" s="187" t="s">
        <v>73</v>
      </c>
      <c r="E15" s="185" t="s">
        <v>83</v>
      </c>
      <c r="F15" s="188" t="s">
        <v>93</v>
      </c>
      <c r="G15" s="189" t="s">
        <v>94</v>
      </c>
      <c r="H15" s="187" t="s">
        <v>95</v>
      </c>
      <c r="I15" s="187" t="s">
        <v>95</v>
      </c>
      <c r="J15" s="187" t="s">
        <v>95</v>
      </c>
      <c r="K15" s="187" t="s">
        <v>95</v>
      </c>
      <c r="L15" s="184">
        <v>3053.05</v>
      </c>
      <c r="M15" s="184">
        <v>0.16</v>
      </c>
      <c r="N15" s="184">
        <f t="shared" si="17"/>
        <v>488.49</v>
      </c>
      <c r="O15" s="184">
        <v>0.08</v>
      </c>
      <c r="P15" s="184">
        <f t="shared" si="18"/>
        <v>244.24</v>
      </c>
      <c r="Q15" s="184">
        <v>3053.05</v>
      </c>
      <c r="R15" s="184">
        <v>0.06</v>
      </c>
      <c r="S15" s="184">
        <f t="shared" si="19"/>
        <v>183.18</v>
      </c>
      <c r="T15" s="184">
        <v>0.02</v>
      </c>
      <c r="U15" s="184">
        <f t="shared" si="20"/>
        <v>61.06</v>
      </c>
      <c r="V15" s="184">
        <v>3053.05</v>
      </c>
      <c r="W15" s="184">
        <v>0.007</v>
      </c>
      <c r="X15" s="184">
        <f t="shared" si="21"/>
        <v>21.37</v>
      </c>
      <c r="Y15" s="184">
        <v>0.003</v>
      </c>
      <c r="Z15" s="184">
        <f t="shared" si="22"/>
        <v>9.16</v>
      </c>
      <c r="AA15" s="184">
        <v>3053.05</v>
      </c>
      <c r="AB15" s="184">
        <v>0.007</v>
      </c>
      <c r="AC15" s="184">
        <f t="shared" si="23"/>
        <v>21.37</v>
      </c>
      <c r="AD15" s="184">
        <v>3053.05</v>
      </c>
      <c r="AE15" s="184">
        <v>0.002</v>
      </c>
      <c r="AF15" s="184">
        <f t="shared" si="6"/>
        <v>6.11</v>
      </c>
      <c r="AG15" s="184" t="s">
        <v>96</v>
      </c>
      <c r="AH15" s="184">
        <v>0.05</v>
      </c>
      <c r="AI15" s="184">
        <f t="shared" si="24"/>
        <v>79</v>
      </c>
      <c r="AJ15" s="184">
        <v>0.05</v>
      </c>
      <c r="AK15" s="184">
        <f t="shared" si="25"/>
        <v>79</v>
      </c>
      <c r="AL15" s="217"/>
      <c r="AM15" s="184"/>
      <c r="AN15" s="184"/>
      <c r="AO15" s="184"/>
      <c r="AP15" s="185"/>
      <c r="AQ15" s="223"/>
      <c r="AR15" s="223"/>
      <c r="AS15" s="224">
        <f t="shared" si="7"/>
        <v>720.52</v>
      </c>
      <c r="AT15" s="224">
        <f t="shared" si="8"/>
        <v>314.46</v>
      </c>
      <c r="AU15" s="224">
        <f t="shared" si="9"/>
        <v>79</v>
      </c>
      <c r="AV15" s="224">
        <f t="shared" si="10"/>
        <v>79</v>
      </c>
      <c r="AW15" s="224">
        <f t="shared" si="11"/>
        <v>1192.98</v>
      </c>
      <c r="AX15" s="234">
        <f t="shared" si="12"/>
        <v>1034.98</v>
      </c>
      <c r="AY15" s="234"/>
      <c r="AZ15" s="234">
        <f t="shared" si="26"/>
        <v>158</v>
      </c>
      <c r="BA15" s="234"/>
      <c r="BB15" s="235">
        <v>80</v>
      </c>
      <c r="BC15" s="234">
        <f t="shared" si="14"/>
        <v>1272.98</v>
      </c>
      <c r="BD15" s="236"/>
      <c r="BE15" s="251"/>
      <c r="BF15" s="251"/>
      <c r="BG15" s="251"/>
      <c r="BH15" s="251"/>
    </row>
    <row r="16" s="169" customFormat="1" ht="18" customHeight="1" spans="1:60">
      <c r="A16" s="190"/>
      <c r="B16" s="191"/>
      <c r="C16" s="192"/>
      <c r="D16" s="193"/>
      <c r="E16" s="194"/>
      <c r="F16" s="195"/>
      <c r="G16" s="196"/>
      <c r="H16" s="197"/>
      <c r="I16" s="193"/>
      <c r="J16" s="197"/>
      <c r="K16" s="197"/>
      <c r="L16" s="210"/>
      <c r="M16" s="210"/>
      <c r="N16" s="211"/>
      <c r="O16" s="210"/>
      <c r="P16" s="210"/>
      <c r="Q16" s="210"/>
      <c r="R16" s="210"/>
      <c r="S16" s="210"/>
      <c r="T16" s="210"/>
      <c r="U16" s="210"/>
      <c r="V16" s="213"/>
      <c r="W16" s="213"/>
      <c r="X16" s="214"/>
      <c r="Y16" s="213"/>
      <c r="Z16" s="210"/>
      <c r="AA16" s="210"/>
      <c r="AB16" s="210"/>
      <c r="AC16" s="210"/>
      <c r="AD16" s="210"/>
      <c r="AE16" s="210"/>
      <c r="AF16" s="211"/>
      <c r="AG16" s="210"/>
      <c r="AH16" s="210"/>
      <c r="AI16" s="210"/>
      <c r="AJ16" s="210"/>
      <c r="AK16" s="210"/>
      <c r="AL16" s="218"/>
      <c r="AM16" s="210"/>
      <c r="AN16" s="210"/>
      <c r="AO16" s="210"/>
      <c r="AP16" s="225"/>
      <c r="AQ16" s="226"/>
      <c r="AR16" s="210"/>
      <c r="AS16" s="227"/>
      <c r="AT16" s="227"/>
      <c r="AU16" s="227"/>
      <c r="AV16" s="227"/>
      <c r="AW16" s="227"/>
      <c r="AX16" s="237"/>
      <c r="AY16" s="238"/>
      <c r="AZ16" s="237"/>
      <c r="BA16" s="238"/>
      <c r="BB16" s="239"/>
      <c r="BC16" s="237"/>
      <c r="BD16" s="240"/>
      <c r="BE16" s="166"/>
      <c r="BF16" s="166"/>
      <c r="BG16" s="166"/>
      <c r="BH16" s="166"/>
    </row>
    <row r="17" s="166" customFormat="1" ht="14.25" spans="1:56">
      <c r="A17" s="198" t="s">
        <v>98</v>
      </c>
      <c r="B17" s="199"/>
      <c r="C17" s="200"/>
      <c r="D17" s="200"/>
      <c r="E17" s="201"/>
      <c r="F17" s="200"/>
      <c r="G17" s="200"/>
      <c r="H17" s="200"/>
      <c r="I17" s="200"/>
      <c r="J17" s="200"/>
      <c r="K17" s="200"/>
      <c r="L17" s="201">
        <f t="shared" ref="L17:BC17" si="27">SUM(L3:L15)</f>
        <v>33521.2</v>
      </c>
      <c r="M17" s="201">
        <f t="shared" si="27"/>
        <v>1.54</v>
      </c>
      <c r="N17" s="201">
        <f t="shared" si="27"/>
        <v>5135.22</v>
      </c>
      <c r="O17" s="201">
        <f t="shared" si="27"/>
        <v>0.8</v>
      </c>
      <c r="P17" s="201">
        <f t="shared" si="27"/>
        <v>2681.68</v>
      </c>
      <c r="Q17" s="201">
        <f t="shared" si="27"/>
        <v>40637.2</v>
      </c>
      <c r="R17" s="201">
        <f t="shared" si="27"/>
        <v>0.645</v>
      </c>
      <c r="S17" s="201">
        <f t="shared" si="27"/>
        <v>2543.61</v>
      </c>
      <c r="T17" s="201">
        <f t="shared" si="27"/>
        <v>0.2</v>
      </c>
      <c r="U17" s="201">
        <f t="shared" si="27"/>
        <v>812.74</v>
      </c>
      <c r="V17" s="201">
        <f t="shared" si="27"/>
        <v>33521.2</v>
      </c>
      <c r="W17" s="201">
        <f t="shared" si="27"/>
        <v>0.0586</v>
      </c>
      <c r="X17" s="201">
        <f t="shared" si="27"/>
        <v>191.29</v>
      </c>
      <c r="Y17" s="201">
        <f t="shared" si="27"/>
        <v>0.027</v>
      </c>
      <c r="Z17" s="201">
        <f t="shared" si="27"/>
        <v>89.17</v>
      </c>
      <c r="AA17" s="201">
        <f t="shared" si="27"/>
        <v>30737.2</v>
      </c>
      <c r="AB17" s="201">
        <f t="shared" si="27"/>
        <v>0.0535</v>
      </c>
      <c r="AC17" s="201">
        <f t="shared" si="27"/>
        <v>242.95</v>
      </c>
      <c r="AD17" s="201">
        <f t="shared" si="27"/>
        <v>35930.2</v>
      </c>
      <c r="AE17" s="201">
        <f t="shared" si="27"/>
        <v>0.0236</v>
      </c>
      <c r="AF17" s="201">
        <f t="shared" si="27"/>
        <v>66.32</v>
      </c>
      <c r="AG17" s="201">
        <f t="shared" si="27"/>
        <v>9000</v>
      </c>
      <c r="AH17" s="201">
        <f t="shared" si="27"/>
        <v>0.5</v>
      </c>
      <c r="AI17" s="201">
        <f t="shared" si="27"/>
        <v>1216</v>
      </c>
      <c r="AJ17" s="201">
        <f t="shared" si="27"/>
        <v>0.38</v>
      </c>
      <c r="AK17" s="201">
        <f t="shared" si="27"/>
        <v>856</v>
      </c>
      <c r="AL17" s="201">
        <f t="shared" si="27"/>
        <v>0</v>
      </c>
      <c r="AM17" s="201">
        <f t="shared" si="27"/>
        <v>0</v>
      </c>
      <c r="AN17" s="201">
        <f t="shared" si="27"/>
        <v>0</v>
      </c>
      <c r="AO17" s="201">
        <f t="shared" si="27"/>
        <v>0</v>
      </c>
      <c r="AP17" s="201">
        <f t="shared" si="27"/>
        <v>0</v>
      </c>
      <c r="AQ17" s="201">
        <f t="shared" si="27"/>
        <v>95.28</v>
      </c>
      <c r="AR17" s="201">
        <f t="shared" si="27"/>
        <v>96</v>
      </c>
      <c r="AS17" s="201">
        <f t="shared" si="27"/>
        <v>8274.67</v>
      </c>
      <c r="AT17" s="201">
        <f t="shared" si="27"/>
        <v>3583.59</v>
      </c>
      <c r="AU17" s="201">
        <f t="shared" si="27"/>
        <v>1216</v>
      </c>
      <c r="AV17" s="201">
        <f t="shared" si="27"/>
        <v>856</v>
      </c>
      <c r="AW17" s="201">
        <f t="shared" si="27"/>
        <v>13930.26</v>
      </c>
      <c r="AX17" s="201">
        <f t="shared" si="27"/>
        <v>11858.26</v>
      </c>
      <c r="AY17" s="201">
        <f t="shared" si="27"/>
        <v>0</v>
      </c>
      <c r="AZ17" s="201">
        <f t="shared" si="27"/>
        <v>2072</v>
      </c>
      <c r="BA17" s="201">
        <f t="shared" si="27"/>
        <v>0</v>
      </c>
      <c r="BB17" s="201">
        <f t="shared" si="27"/>
        <v>800</v>
      </c>
      <c r="BC17" s="201">
        <f t="shared" si="27"/>
        <v>14730.26</v>
      </c>
      <c r="BD17" s="241"/>
    </row>
    <row r="18" s="166" customFormat="1" ht="15" spans="1:56">
      <c r="A18" s="202" t="s">
        <v>58</v>
      </c>
      <c r="B18" s="203"/>
      <c r="C18" s="204"/>
      <c r="D18" s="204"/>
      <c r="E18" s="205"/>
      <c r="F18" s="205"/>
      <c r="G18" s="205"/>
      <c r="H18" s="205"/>
      <c r="I18" s="205"/>
      <c r="J18" s="205"/>
      <c r="K18" s="205"/>
      <c r="L18" s="212">
        <f t="shared" ref="L18:AX18" si="28">SUM(L17:L17)</f>
        <v>33521.2</v>
      </c>
      <c r="M18" s="212">
        <f t="shared" si="28"/>
        <v>1.54</v>
      </c>
      <c r="N18" s="212">
        <f t="shared" si="28"/>
        <v>5135.22</v>
      </c>
      <c r="O18" s="212">
        <f t="shared" si="28"/>
        <v>0.8</v>
      </c>
      <c r="P18" s="212">
        <f t="shared" si="28"/>
        <v>2681.68</v>
      </c>
      <c r="Q18" s="212">
        <f t="shared" si="28"/>
        <v>40637.2</v>
      </c>
      <c r="R18" s="212">
        <f t="shared" si="28"/>
        <v>0.645</v>
      </c>
      <c r="S18" s="212">
        <f t="shared" si="28"/>
        <v>2543.61</v>
      </c>
      <c r="T18" s="212">
        <f t="shared" si="28"/>
        <v>0.2</v>
      </c>
      <c r="U18" s="212">
        <f t="shared" si="28"/>
        <v>812.74</v>
      </c>
      <c r="V18" s="212">
        <f t="shared" si="28"/>
        <v>33521.2</v>
      </c>
      <c r="W18" s="212">
        <f t="shared" si="28"/>
        <v>0.0586</v>
      </c>
      <c r="X18" s="212">
        <f t="shared" si="28"/>
        <v>191.29</v>
      </c>
      <c r="Y18" s="212">
        <f t="shared" si="28"/>
        <v>0.027</v>
      </c>
      <c r="Z18" s="212">
        <f t="shared" si="28"/>
        <v>89.17</v>
      </c>
      <c r="AA18" s="212">
        <f t="shared" si="28"/>
        <v>30737.2</v>
      </c>
      <c r="AB18" s="212">
        <f t="shared" si="28"/>
        <v>0.0535</v>
      </c>
      <c r="AC18" s="212">
        <f t="shared" si="28"/>
        <v>242.95</v>
      </c>
      <c r="AD18" s="212">
        <f t="shared" si="28"/>
        <v>35930.2</v>
      </c>
      <c r="AE18" s="212">
        <f t="shared" si="28"/>
        <v>0.0236</v>
      </c>
      <c r="AF18" s="212">
        <f t="shared" si="28"/>
        <v>66.32</v>
      </c>
      <c r="AG18" s="212">
        <f t="shared" si="28"/>
        <v>9000</v>
      </c>
      <c r="AH18" s="212">
        <f t="shared" si="28"/>
        <v>0.5</v>
      </c>
      <c r="AI18" s="212">
        <f t="shared" si="28"/>
        <v>1216</v>
      </c>
      <c r="AJ18" s="212">
        <f t="shared" si="28"/>
        <v>0.38</v>
      </c>
      <c r="AK18" s="212">
        <f t="shared" si="28"/>
        <v>856</v>
      </c>
      <c r="AL18" s="212">
        <f t="shared" si="28"/>
        <v>0</v>
      </c>
      <c r="AM18" s="212">
        <f t="shared" si="28"/>
        <v>0</v>
      </c>
      <c r="AN18" s="212">
        <f t="shared" si="28"/>
        <v>0</v>
      </c>
      <c r="AO18" s="212">
        <f t="shared" si="28"/>
        <v>0</v>
      </c>
      <c r="AP18" s="212">
        <f t="shared" si="28"/>
        <v>0</v>
      </c>
      <c r="AQ18" s="212">
        <f t="shared" si="28"/>
        <v>95.28</v>
      </c>
      <c r="AR18" s="212">
        <f t="shared" si="28"/>
        <v>96</v>
      </c>
      <c r="AS18" s="228">
        <f t="shared" si="28"/>
        <v>8274.67</v>
      </c>
      <c r="AT18" s="228">
        <f t="shared" si="28"/>
        <v>3583.59</v>
      </c>
      <c r="AU18" s="228">
        <f t="shared" si="28"/>
        <v>1216</v>
      </c>
      <c r="AV18" s="228">
        <f t="shared" si="28"/>
        <v>856</v>
      </c>
      <c r="AW18" s="228">
        <f t="shared" si="28"/>
        <v>13930.26</v>
      </c>
      <c r="AX18" s="242">
        <f t="shared" si="28"/>
        <v>11858.26</v>
      </c>
      <c r="AY18" s="242"/>
      <c r="AZ18" s="242">
        <f t="shared" ref="AZ18:BC18" si="29">SUM(AZ17:AZ17)</f>
        <v>2072</v>
      </c>
      <c r="BA18" s="242"/>
      <c r="BB18" s="212">
        <f t="shared" si="29"/>
        <v>800</v>
      </c>
      <c r="BC18" s="212">
        <f t="shared" si="29"/>
        <v>14730.26</v>
      </c>
      <c r="BD18" s="243"/>
    </row>
    <row r="19" s="170" customFormat="1" spans="1:56">
      <c r="A19" s="206"/>
      <c r="B19" s="206"/>
      <c r="C19" s="206"/>
      <c r="D19" s="206"/>
      <c r="E19" s="206"/>
      <c r="F19" s="207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29"/>
      <c r="AT19" s="229"/>
      <c r="AU19" s="229"/>
      <c r="AV19" s="229"/>
      <c r="AW19" s="229"/>
      <c r="AX19" s="206"/>
      <c r="AY19" s="206"/>
      <c r="AZ19" s="206"/>
      <c r="BA19" s="206"/>
      <c r="BB19" s="206"/>
      <c r="BC19" s="206"/>
      <c r="BD19" s="244"/>
    </row>
    <row r="20" s="171" customFormat="1" spans="1:56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166"/>
      <c r="AK20" s="166"/>
      <c r="AL20" s="166"/>
      <c r="AM20" s="166"/>
      <c r="AN20" s="166"/>
      <c r="AO20" s="166"/>
      <c r="AP20" s="166"/>
      <c r="AQ20" s="166"/>
      <c r="AR20" s="166"/>
      <c r="AS20" s="172"/>
      <c r="AT20" s="172"/>
      <c r="AU20" s="172"/>
      <c r="AV20" s="172"/>
      <c r="AW20" s="172"/>
      <c r="AX20" s="166"/>
      <c r="AY20" s="166"/>
      <c r="AZ20" s="166"/>
      <c r="BA20" s="166"/>
      <c r="BB20" s="166"/>
      <c r="BC20" s="166"/>
      <c r="BD20" s="173"/>
    </row>
    <row r="21" s="166" customFormat="1" spans="45:56">
      <c r="AS21" s="172"/>
      <c r="AT21" s="172"/>
      <c r="AU21" s="172"/>
      <c r="AV21" s="172"/>
      <c r="AW21" s="172"/>
      <c r="BD21" s="173"/>
    </row>
    <row r="22" spans="50:55">
      <c r="AX22" s="245"/>
      <c r="AY22" s="245"/>
      <c r="BC22" s="246"/>
    </row>
    <row r="23" s="166" customFormat="1" spans="45:56">
      <c r="AS23" s="172"/>
      <c r="AT23" s="172"/>
      <c r="AU23" s="172"/>
      <c r="AV23" s="172"/>
      <c r="AW23" s="172"/>
      <c r="BD23" s="173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2" priority="1" stopIfTrue="1">
      <formula>AND(COUNTIF($J$1:$J$1,H1)&gt;1,NOT(ISBLANK(H1)))</formula>
    </cfRule>
  </conditionalFormatting>
  <conditionalFormatting sqref="J1">
    <cfRule type="duplicateValues" dxfId="2" priority="2" stopIfTrue="1"/>
  </conditionalFormatting>
  <conditionalFormatting sqref="K1:L1">
    <cfRule type="duplicateValues" dxfId="2" priority="3" stopIfTrue="1"/>
  </conditionalFormatting>
  <conditionalFormatting sqref="Q1">
    <cfRule type="duplicateValues" dxfId="2" priority="4" stopIfTrue="1"/>
  </conditionalFormatting>
  <conditionalFormatting sqref="V1">
    <cfRule type="duplicateValues" dxfId="2" priority="5" stopIfTrue="1"/>
  </conditionalFormatting>
  <conditionalFormatting sqref="AG1">
    <cfRule type="duplicateValues" dxfId="2" priority="6" stopIfTrue="1"/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34" sqref="U34:V3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10160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L4+IFERROR(VLOOKUP($E:$E,'（居民）工资表-5月'!$E:$S,15,0),0)</f>
        <v>32040</v>
      </c>
      <c r="T4" s="98">
        <f>5000+IFERROR(VLOOKUP($E:$E,'（居民）工资表-5月'!$E:$T,16,0),0)</f>
        <v>15000</v>
      </c>
      <c r="U4" s="98">
        <f>Q4+IFERROR(VLOOKUP($E:$E,'（居民）工资表-5月'!$E:$U,17,0),0)</f>
        <v>1559.7</v>
      </c>
      <c r="V4" s="78">
        <v>6000</v>
      </c>
      <c r="W4" s="78"/>
      <c r="X4" s="78">
        <v>6000</v>
      </c>
      <c r="Y4" s="78"/>
      <c r="Z4" s="78">
        <v>2400</v>
      </c>
      <c r="AA4" s="78"/>
      <c r="AB4" s="97">
        <f>ROUND(SUM(V4:AA4),2)</f>
        <v>14400</v>
      </c>
      <c r="AC4" s="97">
        <f>R4+IFERROR(VLOOKUP($E:$E,'（居民）工资表-5月'!$E:$AC,25,0),0)</f>
        <v>0</v>
      </c>
      <c r="AD4" s="100">
        <f>ROUND(S4-T4-U4-AB4-AC4,2)</f>
        <v>1080.3</v>
      </c>
      <c r="AE4" s="101">
        <f>ROUND(MAX((AD4)*{0.03;0.1;0.2;0.25;0.3;0.35;0.45}-{0;2520;16920;31920;52920;85920;181920},0),2)</f>
        <v>32.41</v>
      </c>
      <c r="AF4" s="102">
        <f>IFERROR(VLOOKUP(E:E,'（居民）工资表-5月'!E:AF,28,0)+VLOOKUP(E:E,'（居民）工资表-5月'!E:AG,29,0),0)</f>
        <v>25.21</v>
      </c>
      <c r="AG4" s="102">
        <f>IF((AE4-AF4)&lt;0,0,AE4-AF4)</f>
        <v>7.2</v>
      </c>
      <c r="AH4" s="109">
        <f>ROUND(IF((L4-Q4-AG4)&lt;0,0,(L4-Q4-AG4)),2)</f>
        <v>9632.9</v>
      </c>
      <c r="AI4" s="110"/>
      <c r="AJ4" s="109">
        <f>AH4+AI4</f>
        <v>9632.9</v>
      </c>
      <c r="AK4" s="111"/>
      <c r="AL4" s="109">
        <f>AJ4+AG4+AK4</f>
        <v>9640.1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L5+IFERROR(VLOOKUP($E:$E,'（居民）工资表-5月'!$E:$S,15,0),0)</f>
        <v>21000</v>
      </c>
      <c r="T5" s="98">
        <f>5000+IFERROR(VLOOKUP($E:$E,'（居民）工资表-5月'!$E:$T,16,0),0)</f>
        <v>15000</v>
      </c>
      <c r="U5" s="98">
        <f>Q5+IFERROR(VLOOKUP($E:$E,'（居民）工资表-5月'!$E:$U,17,0),0)</f>
        <v>1340.85</v>
      </c>
      <c r="V5" s="78"/>
      <c r="W5" s="78"/>
      <c r="X5" s="78">
        <v>6000</v>
      </c>
      <c r="Y5" s="78"/>
      <c r="Z5" s="78"/>
      <c r="AA5" s="78"/>
      <c r="AB5" s="97">
        <f>ROUND(SUM(V5:AA5),2)</f>
        <v>6000</v>
      </c>
      <c r="AC5" s="97">
        <f>R5+IFERROR(VLOOKUP($E:$E,'（居民）工资表-5月'!$E:$AC,25,0),0)</f>
        <v>0</v>
      </c>
      <c r="AD5" s="100">
        <f>ROUND(S5-T5-U5-AB5-AC5,2)</f>
        <v>-1340.85</v>
      </c>
      <c r="AE5" s="101">
        <f>ROUND(MAX((AD5)*{0.03;0.1;0.2;0.25;0.3;0.35;0.45}-{0;2520;16920;31920;52920;85920;181920},0),2)</f>
        <v>0</v>
      </c>
      <c r="AF5" s="102">
        <f>IFERROR(VLOOKUP(E:E,'（居民）工资表-5月'!E:AF,28,0)+VLOOKUP(E:E,'（居民）工资表-5月'!E:AG,29,0),0)</f>
        <v>0</v>
      </c>
      <c r="AG5" s="102">
        <f>IF((AE5-AF5)&lt;0,0,AE5-AF5)</f>
        <v>0</v>
      </c>
      <c r="AH5" s="109">
        <f>ROUND(IF((L5-Q5-AG5)&lt;0,0,(L5-Q5-AG5)),2)</f>
        <v>6567.05</v>
      </c>
      <c r="AI5" s="110"/>
      <c r="AJ5" s="109">
        <f>AH5+AI5</f>
        <v>6567.05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L6+IFERROR(VLOOKUP($E:$E,'（居民）工资表-5月'!$E:$S,15,0),0)</f>
        <v>17100</v>
      </c>
      <c r="T6" s="98">
        <f>5000+IFERROR(VLOOKUP($E:$E,'（居民）工资表-5月'!$E:$T,16,0),0)</f>
        <v>15000</v>
      </c>
      <c r="U6" s="98">
        <f>Q6+IFERROR(VLOOKUP($E:$E,'（居民）工资表-5月'!$E:$U,17,0),0)</f>
        <v>1865.34</v>
      </c>
      <c r="V6" s="78"/>
      <c r="W6" s="78"/>
      <c r="X6" s="78"/>
      <c r="Y6" s="78">
        <v>9000</v>
      </c>
      <c r="Z6" s="78"/>
      <c r="AA6" s="78"/>
      <c r="AB6" s="97">
        <f>ROUND(SUM(V6:AA6),2)</f>
        <v>9000</v>
      </c>
      <c r="AC6" s="97">
        <f>R6+IFERROR(VLOOKUP($E:$E,'（居民）工资表-5月'!$E:$AC,25,0),0)</f>
        <v>0</v>
      </c>
      <c r="AD6" s="100">
        <f>ROUND(S6-T6-U6-AB6-AC6,2)</f>
        <v>-8765.34</v>
      </c>
      <c r="AE6" s="101">
        <f>ROUND(MAX((AD6)*{0.03;0.1;0.2;0.25;0.3;0.35;0.45}-{0;2520;16920;31920;52920;85920;181920},0),2)</f>
        <v>0</v>
      </c>
      <c r="AF6" s="102">
        <f>IFERROR(VLOOKUP(E:E,'（居民）工资表-5月'!E:AF,28,0)+VLOOKUP(E:E,'（居民）工资表-5月'!E:AG,29,0),0)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9" si="0">ROUND(SUM(M7:P7),2)</f>
        <v>582.12</v>
      </c>
      <c r="R7" s="78">
        <v>0</v>
      </c>
      <c r="S7" s="97">
        <f>L7+IFERROR(VLOOKUP($E:$E,'（居民）工资表-5月'!$E:$S,15,0),0)</f>
        <v>42960</v>
      </c>
      <c r="T7" s="98">
        <f>5000+IFERROR(VLOOKUP($E:$E,'（居民）工资表-5月'!$E:$T,16,0),0)</f>
        <v>15000</v>
      </c>
      <c r="U7" s="98">
        <f>Q7+IFERROR(VLOOKUP($E:$E,'（居民）工资表-5月'!$E:$U,17,0),0)</f>
        <v>1746.36</v>
      </c>
      <c r="V7" s="78"/>
      <c r="W7" s="78"/>
      <c r="X7" s="78">
        <v>5000</v>
      </c>
      <c r="Y7" s="78"/>
      <c r="Z7" s="78"/>
      <c r="AA7" s="78"/>
      <c r="AB7" s="97">
        <f t="shared" ref="AB7:AB19" si="1">ROUND(SUM(V7:AA7),2)</f>
        <v>5000</v>
      </c>
      <c r="AC7" s="97">
        <f>R7+IFERROR(VLOOKUP($E:$E,'（居民）工资表-5月'!$E:$AC,25,0),0)</f>
        <v>0</v>
      </c>
      <c r="AD7" s="100">
        <f t="shared" ref="AD7:AD19" si="2">ROUND(S7-T7-U7-AB7-AC7,2)</f>
        <v>21213.64</v>
      </c>
      <c r="AE7" s="101">
        <f>ROUND(MAX((AD7)*{0.03;0.1;0.2;0.25;0.3;0.35;0.45}-{0;2520;16920;31920;52920;85920;181920},0),2)</f>
        <v>636.41</v>
      </c>
      <c r="AF7" s="102">
        <f>IFERROR(VLOOKUP(E:E,'（居民）工资表-5月'!E:AF,28,0)+VLOOKUP(E:E,'（居民）工资表-5月'!E:AG,29,0),0)</f>
        <v>404.27</v>
      </c>
      <c r="AG7" s="102">
        <f t="shared" ref="AG7:AG19" si="3">IF((AE7-AF7)&lt;0,0,AE7-AF7)</f>
        <v>232.14</v>
      </c>
      <c r="AH7" s="109">
        <f t="shared" ref="AH7:AH19" si="4">ROUND(IF((L7-Q7-AG7)&lt;0,0,(L7-Q7-AG7)),2)</f>
        <v>13505.74</v>
      </c>
      <c r="AI7" s="110"/>
      <c r="AJ7" s="109">
        <f t="shared" ref="AJ7:AJ19" si="5">AH7+AI7</f>
        <v>13505.74</v>
      </c>
      <c r="AK7" s="111"/>
      <c r="AL7" s="109">
        <f t="shared" ref="AL7:AL19" si="6">AJ7+AG7+AK7</f>
        <v>13737.88</v>
      </c>
      <c r="AM7" s="111"/>
      <c r="AN7" s="111"/>
      <c r="AO7" s="111"/>
      <c r="AP7" s="111"/>
      <c r="AQ7" s="111"/>
      <c r="AR7" s="117" t="str">
        <f t="shared" ref="AR7:AR19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9" si="8">IF(SUMPRODUCT(N(E$1:E$18=E7))&gt;1,"重复","不")</f>
        <v>不</v>
      </c>
      <c r="AT7" s="117" t="str">
        <f t="shared" ref="AT7:AT19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L8+IFERROR(VLOOKUP($E:$E,'（居民）工资表-5月'!$E:$S,15,0),0)</f>
        <v>44160</v>
      </c>
      <c r="T8" s="98">
        <f>5000+IFERROR(VLOOKUP($E:$E,'（居民）工资表-5月'!$E:$T,16,0),0)</f>
        <v>15000</v>
      </c>
      <c r="U8" s="98">
        <f>Q8+IFERROR(VLOOKUP($E:$E,'（居民）工资表-5月'!$E:$U,17,0),0)</f>
        <v>1746.36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R8+IFERROR(VLOOKUP($E:$E,'（居民）工资表-5月'!$E:$AC,25,0),0)</f>
        <v>0</v>
      </c>
      <c r="AD8" s="100">
        <f t="shared" si="2"/>
        <v>27413.64</v>
      </c>
      <c r="AE8" s="101">
        <f>ROUND(MAX((AD8)*{0.03;0.1;0.2;0.25;0.3;0.35;0.45}-{0;2520;16920;31920;52920;85920;181920},0),2)</f>
        <v>822.41</v>
      </c>
      <c r="AF8" s="102">
        <f>IFERROR(VLOOKUP(E:E,'（居民）工资表-5月'!E:AF,28,0)+VLOOKUP(E:E,'（居民）工资表-5月'!E:AG,29,0),0)</f>
        <v>551.27</v>
      </c>
      <c r="AG8" s="102">
        <f t="shared" si="3"/>
        <v>271.14</v>
      </c>
      <c r="AH8" s="109">
        <f t="shared" si="4"/>
        <v>13766.74</v>
      </c>
      <c r="AI8" s="110"/>
      <c r="AJ8" s="109">
        <f t="shared" si="5"/>
        <v>13766.74</v>
      </c>
      <c r="AK8" s="111"/>
      <c r="AL8" s="109">
        <f t="shared" si="6"/>
        <v>14037.88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L9+IFERROR(VLOOKUP($E:$E,'（居民）工资表-5月'!$E:$S,15,0),0)</f>
        <v>36660</v>
      </c>
      <c r="T9" s="98">
        <f>5000+IFERROR(VLOOKUP($E:$E,'（居民）工资表-5月'!$E:$T,16,0),0)</f>
        <v>15000</v>
      </c>
      <c r="U9" s="98">
        <f>Q9+IFERROR(VLOOKUP($E:$E,'（居民）工资表-5月'!$E:$U,17,0),0)</f>
        <v>1746.36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R9+IFERROR(VLOOKUP($E:$E,'（居民）工资表-5月'!$E:$AC,25,0),0)</f>
        <v>0</v>
      </c>
      <c r="AD9" s="100">
        <f t="shared" si="2"/>
        <v>19913.64</v>
      </c>
      <c r="AE9" s="101">
        <f>ROUND(MAX((AD9)*{0.03;0.1;0.2;0.25;0.3;0.35;0.45}-{0;2520;16920;31920;52920;85920;181920},0),2)</f>
        <v>597.41</v>
      </c>
      <c r="AF9" s="102">
        <f>IFERROR(VLOOKUP(E:E,'（居民）工资表-5月'!E:AF,28,0)+VLOOKUP(E:E,'（居民）工资表-5月'!E:AG,29,0),0)</f>
        <v>401.27</v>
      </c>
      <c r="AG9" s="102">
        <f t="shared" si="3"/>
        <v>196.14</v>
      </c>
      <c r="AH9" s="109">
        <f t="shared" si="4"/>
        <v>11341.74</v>
      </c>
      <c r="AI9" s="110"/>
      <c r="AJ9" s="109">
        <f t="shared" si="5"/>
        <v>11341.74</v>
      </c>
      <c r="AK9" s="111"/>
      <c r="AL9" s="109">
        <f t="shared" si="6"/>
        <v>11537.88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L10+IFERROR(VLOOKUP($E:$E,'（居民）工资表-5月'!$E:$S,15,0),0)</f>
        <v>52254.74</v>
      </c>
      <c r="T10" s="98">
        <f>5000+IFERROR(VLOOKUP($E:$E,'（居民）工资表-5月'!$E:$T,16,0),0)</f>
        <v>15000</v>
      </c>
      <c r="U10" s="98">
        <f>Q10+IFERROR(VLOOKUP($E:$E,'（居民）工资表-5月'!$E:$U,17,0),0)</f>
        <v>2328.48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R10+IFERROR(VLOOKUP($E:$E,'（居民）工资表-5月'!$E:$AC,25,0),0)</f>
        <v>0</v>
      </c>
      <c r="AD10" s="100">
        <f t="shared" si="2"/>
        <v>34926.26</v>
      </c>
      <c r="AE10" s="101">
        <f>ROUND(MAX((AD10)*{0.03;0.1;0.2;0.25;0.3;0.35;0.45}-{0;2520;16920;31920;52920;85920;181920},0),2)</f>
        <v>1047.79</v>
      </c>
      <c r="AF10" s="102">
        <f>IFERROR(VLOOKUP(E:E,'（居民）工资表-5月'!E:AF,28,0)+VLOOKUP(E:E,'（居民）工资表-5月'!E:AG,29,0),0)</f>
        <v>701.65</v>
      </c>
      <c r="AG10" s="102">
        <f t="shared" si="3"/>
        <v>346.14</v>
      </c>
      <c r="AH10" s="109">
        <f t="shared" si="4"/>
        <v>16191.74</v>
      </c>
      <c r="AI10" s="110"/>
      <c r="AJ10" s="109">
        <f t="shared" si="5"/>
        <v>16191.74</v>
      </c>
      <c r="AK10" s="111"/>
      <c r="AL10" s="109">
        <f t="shared" si="6"/>
        <v>16537.88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L11+IFERROR(VLOOKUP($E:$E,'（居民）工资表-5月'!$E:$S,15,0),0)</f>
        <v>51957.39</v>
      </c>
      <c r="T11" s="98">
        <f>5000+IFERROR(VLOOKUP($E:$E,'（居民）工资表-5月'!$E:$T,16,0),0)</f>
        <v>15000</v>
      </c>
      <c r="U11" s="98">
        <f>Q11+IFERROR(VLOOKUP($E:$E,'（居民）工资表-5月'!$E:$U,17,0),0)</f>
        <v>2328.48</v>
      </c>
      <c r="V11" s="78"/>
      <c r="W11" s="78">
        <v>3000</v>
      </c>
      <c r="X11" s="78"/>
      <c r="Y11" s="78">
        <v>4500</v>
      </c>
      <c r="Z11" s="78">
        <v>1200</v>
      </c>
      <c r="AA11" s="78"/>
      <c r="AB11" s="97">
        <f t="shared" si="1"/>
        <v>8700</v>
      </c>
      <c r="AC11" s="97">
        <f>R11+IFERROR(VLOOKUP($E:$E,'（居民）工资表-5月'!$E:$AC,25,0),0)</f>
        <v>0</v>
      </c>
      <c r="AD11" s="100">
        <f t="shared" si="2"/>
        <v>25928.91</v>
      </c>
      <c r="AE11" s="101">
        <f>ROUND(MAX((AD11)*{0.03;0.1;0.2;0.25;0.3;0.35;0.45}-{0;2520;16920;31920;52920;85920;181920},0),2)</f>
        <v>777.87</v>
      </c>
      <c r="AF11" s="102">
        <f>IFERROR(VLOOKUP(E:E,'（居民）工资表-5月'!E:AF,28,0)+VLOOKUP(E:E,'（居民）工资表-5月'!E:AG,29,0),0)</f>
        <v>653.73</v>
      </c>
      <c r="AG11" s="102">
        <f t="shared" si="3"/>
        <v>124.14</v>
      </c>
      <c r="AH11" s="109">
        <f t="shared" si="4"/>
        <v>17713.74</v>
      </c>
      <c r="AI11" s="110"/>
      <c r="AJ11" s="109">
        <f t="shared" si="5"/>
        <v>17713.74</v>
      </c>
      <c r="AK11" s="111"/>
      <c r="AL11" s="109">
        <f t="shared" si="6"/>
        <v>17837.88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L12+IFERROR(VLOOKUP($E:$E,'（居民）工资表-5月'!$E:$S,15,0),0)</f>
        <v>38392.17</v>
      </c>
      <c r="T12" s="98">
        <f>5000+IFERROR(VLOOKUP($E:$E,'（居民）工资表-5月'!$E:$T,16,0),0)</f>
        <v>15000</v>
      </c>
      <c r="U12" s="98">
        <f>Q12+IFERROR(VLOOKUP($E:$E,'（居民）工资表-5月'!$E:$U,17,0),0)</f>
        <v>2328.48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R12+IFERROR(VLOOKUP($E:$E,'（居民）工资表-5月'!$E:$AC,25,0),0)</f>
        <v>0</v>
      </c>
      <c r="AD12" s="100">
        <f t="shared" si="2"/>
        <v>21063.69</v>
      </c>
      <c r="AE12" s="101">
        <f>ROUND(MAX((AD12)*{0.03;0.1;0.2;0.25;0.3;0.35;0.45}-{0;2520;16920;31920;52920;85920;181920},0),2)</f>
        <v>631.91</v>
      </c>
      <c r="AF12" s="102">
        <f>IFERROR(VLOOKUP(E:E,'（居民）工资表-5月'!E:AF,28,0)+VLOOKUP(E:E,'（居民）工资表-5月'!E:AG,29,0),0)</f>
        <v>390.77</v>
      </c>
      <c r="AG12" s="102">
        <f t="shared" si="3"/>
        <v>241.14</v>
      </c>
      <c r="AH12" s="109">
        <f t="shared" si="4"/>
        <v>12796.74</v>
      </c>
      <c r="AI12" s="110"/>
      <c r="AJ12" s="109">
        <f t="shared" si="5"/>
        <v>12796.74</v>
      </c>
      <c r="AK12" s="111"/>
      <c r="AL12" s="109">
        <f t="shared" si="6"/>
        <v>13037.88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L13+IFERROR(VLOOKUP($E:$E,'（居民）工资表-5月'!$E:$S,15,0),0)</f>
        <v>30660</v>
      </c>
      <c r="T13" s="98">
        <f>5000+IFERROR(VLOOKUP($E:$E,'（居民）工资表-5月'!$E:$T,16,0),0)</f>
        <v>15000</v>
      </c>
      <c r="U13" s="98">
        <f>Q13+IFERROR(VLOOKUP($E:$E,'（居民）工资表-5月'!$E:$U,17,0),0)</f>
        <v>1746.36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R13+IFERROR(VLOOKUP($E:$E,'（居民）工资表-5月'!$E:$AC,25,0),0)</f>
        <v>0</v>
      </c>
      <c r="AD13" s="100">
        <f t="shared" si="2"/>
        <v>13913.64</v>
      </c>
      <c r="AE13" s="101">
        <f>ROUND(MAX((AD13)*{0.03;0.1;0.2;0.25;0.3;0.35;0.45}-{0;2520;16920;31920;52920;85920;181920},0),2)</f>
        <v>417.41</v>
      </c>
      <c r="AF13" s="102">
        <f>IFERROR(VLOOKUP(E:E,'（居民）工资表-5月'!E:AF,28,0)+VLOOKUP(E:E,'（居民）工资表-5月'!E:AG,29,0),0)</f>
        <v>281.27</v>
      </c>
      <c r="AG13" s="102">
        <f t="shared" si="3"/>
        <v>136.14</v>
      </c>
      <c r="AH13" s="109">
        <f t="shared" si="4"/>
        <v>9401.74</v>
      </c>
      <c r="AI13" s="110"/>
      <c r="AJ13" s="109">
        <f t="shared" si="5"/>
        <v>9401.74</v>
      </c>
      <c r="AK13" s="111"/>
      <c r="AL13" s="109">
        <f t="shared" si="6"/>
        <v>9537.88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L14+IFERROR(VLOOKUP($E:$E,'（居民）工资表-5月'!$E:$S,15,0),0)</f>
        <v>36109.57</v>
      </c>
      <c r="T14" s="98">
        <f>5000+IFERROR(VLOOKUP($E:$E,'（居民）工资表-5月'!$E:$T,16,0),0)</f>
        <v>15000</v>
      </c>
      <c r="U14" s="98">
        <f>Q14+IFERROR(VLOOKUP($E:$E,'（居民）工资表-5月'!$E:$U,17,0),0)</f>
        <v>1746.36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R14+IFERROR(VLOOKUP($E:$E,'（居民）工资表-5月'!$E:$AC,25,0),0)</f>
        <v>0</v>
      </c>
      <c r="AD14" s="100">
        <f t="shared" si="2"/>
        <v>19363.21</v>
      </c>
      <c r="AE14" s="101">
        <f>ROUND(MAX((AD14)*{0.03;0.1;0.2;0.25;0.3;0.35;0.45}-{0;2520;16920;31920;52920;85920;181920},0),2)</f>
        <v>580.9</v>
      </c>
      <c r="AF14" s="102">
        <f>IFERROR(VLOOKUP(E:E,'（居民）工资表-5月'!E:AF,28,0)+VLOOKUP(E:E,'（居民）工资表-5月'!E:AG,29,0),0)</f>
        <v>294.76</v>
      </c>
      <c r="AG14" s="102">
        <f t="shared" si="3"/>
        <v>286.14</v>
      </c>
      <c r="AH14" s="109">
        <f t="shared" si="4"/>
        <v>14251.74</v>
      </c>
      <c r="AI14" s="110"/>
      <c r="AJ14" s="109">
        <f t="shared" si="5"/>
        <v>14251.74</v>
      </c>
      <c r="AK14" s="111"/>
      <c r="AL14" s="109">
        <f t="shared" si="6"/>
        <v>14537.88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L15+IFERROR(VLOOKUP($E:$E,'（居民）工资表-5月'!$E:$S,15,0),0)</f>
        <v>18733.64</v>
      </c>
      <c r="T15" s="98">
        <f>5000+IFERROR(VLOOKUP($E:$E,'（居民）工资表-5月'!$E:$T,16,0),0)</f>
        <v>10000</v>
      </c>
      <c r="U15" s="98">
        <f>Q15+IFERROR(VLOOKUP($E:$E,'（居民）工资表-5月'!$E:$U,17,0),0)</f>
        <v>1730.28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R15+IFERROR(VLOOKUP($E:$E,'（居民）工资表-5月'!$E:$AC,25,0),0)</f>
        <v>0</v>
      </c>
      <c r="AD15" s="100">
        <f t="shared" si="2"/>
        <v>7003.36</v>
      </c>
      <c r="AE15" s="101">
        <f>ROUND(MAX((AD15)*{0.03;0.1;0.2;0.25;0.3;0.35;0.45}-{0;2520;16920;31920;52920;85920;181920},0),2)</f>
        <v>210.1</v>
      </c>
      <c r="AF15" s="102">
        <f>IFERROR(VLOOKUP(E:E,'（居民）工资表-5月'!E:AF,28,0)+VLOOKUP(E:E,'（居民）工资表-5月'!E:AG,29,0),0)</f>
        <v>22.8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L16+IFERROR(VLOOKUP($E:$E,'（居民）工资表-5月'!$E:$S,15,0),0)</f>
        <v>17620</v>
      </c>
      <c r="T16" s="98">
        <f>5000+IFERROR(VLOOKUP($E:$E,'（居民）工资表-5月'!$E:$T,16,0),0)</f>
        <v>10000</v>
      </c>
      <c r="U16" s="98">
        <f>Q16+IFERROR(VLOOKUP($E:$E,'（居民）工资表-5月'!$E:$U,17,0),0)</f>
        <v>1730.28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R16+IFERROR(VLOOKUP($E:$E,'（居民）工资表-5月'!$E:$AC,25,0),0)</f>
        <v>0</v>
      </c>
      <c r="AD16" s="100">
        <f t="shared" si="2"/>
        <v>5889.72</v>
      </c>
      <c r="AE16" s="101">
        <f>ROUND(MAX((AD16)*{0.03;0.1;0.2;0.25;0.3;0.35;0.45}-{0;2520;16920;31920;52920;85920;181920},0),2)</f>
        <v>176.69</v>
      </c>
      <c r="AF16" s="102">
        <f>IFERROR(VLOOKUP(E:E,'（居民）工资表-5月'!E:AF,28,0)+VLOOKUP(E:E,'（居民）工资表-5月'!E:AG,29,0),0)</f>
        <v>10.39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L17+IFERROR(VLOOKUP($E:$E,'（居民）工资表-5月'!$E:$S,15,0),0)</f>
        <v>17620</v>
      </c>
      <c r="T17" s="98">
        <f>5000+IFERROR(VLOOKUP($E:$E,'（居民）工资表-5月'!$E:$T,16,0),0)</f>
        <v>10000</v>
      </c>
      <c r="U17" s="98">
        <f>Q17+IFERROR(VLOOKUP($E:$E,'（居民）工资表-5月'!$E:$U,17,0),0)</f>
        <v>1730.28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R17+IFERROR(VLOOKUP($E:$E,'（居民）工资表-5月'!$E:$AC,25,0),0)</f>
        <v>0</v>
      </c>
      <c r="AD17" s="100">
        <f t="shared" si="2"/>
        <v>5889.72</v>
      </c>
      <c r="AE17" s="101">
        <f>ROUND(MAX((AD17)*{0.03;0.1;0.2;0.25;0.3;0.35;0.45}-{0;2520;16920;31920;52920;85920;181920},0),2)</f>
        <v>176.69</v>
      </c>
      <c r="AF17" s="102">
        <f>IFERROR(VLOOKUP(E:E,'（居民）工资表-5月'!E:AF,28,0)+VLOOKUP(E:E,'（居民）工资表-5月'!E:AG,29,0),0)</f>
        <v>10.39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 t="shared" si="8"/>
        <v>不</v>
      </c>
      <c r="AT17" s="117" t="str">
        <f t="shared" si="9"/>
        <v>重复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45"/>
      <c r="H18" s="40"/>
      <c r="I18" s="40"/>
      <c r="J18" s="74"/>
      <c r="K18" s="40"/>
      <c r="L18" s="78"/>
      <c r="M18" s="76"/>
      <c r="N18" s="76"/>
      <c r="O18" s="76"/>
      <c r="P18" s="76"/>
      <c r="Q18" s="96"/>
      <c r="R18" s="78"/>
      <c r="S18" s="97"/>
      <c r="T18" s="98"/>
      <c r="U18" s="98"/>
      <c r="V18" s="78"/>
      <c r="W18" s="78"/>
      <c r="X18" s="78"/>
      <c r="Y18" s="78"/>
      <c r="Z18" s="78"/>
      <c r="AA18" s="78"/>
      <c r="AB18" s="97"/>
      <c r="AC18" s="97"/>
      <c r="AD18" s="100"/>
      <c r="AE18" s="101"/>
      <c r="AF18" s="102"/>
      <c r="AG18" s="102"/>
      <c r="AH18" s="109"/>
      <c r="AI18" s="110"/>
      <c r="AJ18" s="109"/>
      <c r="AK18" s="111"/>
      <c r="AL18" s="109"/>
      <c r="AM18" s="111"/>
      <c r="AN18" s="111"/>
      <c r="AO18" s="111"/>
      <c r="AP18" s="111"/>
      <c r="AQ18" s="111"/>
      <c r="AR18" s="117"/>
      <c r="AS18" s="117"/>
      <c r="AT18" s="117"/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AL19" si="10">SUM(L4:L18)</f>
        <v>172380</v>
      </c>
      <c r="M19" s="81">
        <f t="shared" si="10"/>
        <v>3777.29</v>
      </c>
      <c r="N19" s="81">
        <f t="shared" si="10"/>
        <v>1034.44</v>
      </c>
      <c r="O19" s="81">
        <f t="shared" si="10"/>
        <v>153.58</v>
      </c>
      <c r="P19" s="81">
        <f t="shared" si="10"/>
        <v>2996.56</v>
      </c>
      <c r="Q19" s="81">
        <f t="shared" si="10"/>
        <v>7961.87</v>
      </c>
      <c r="R19" s="81">
        <f t="shared" si="10"/>
        <v>0</v>
      </c>
      <c r="S19" s="81">
        <f t="shared" si="10"/>
        <v>457267.51</v>
      </c>
      <c r="T19" s="81">
        <f t="shared" si="10"/>
        <v>195000</v>
      </c>
      <c r="U19" s="81">
        <f t="shared" si="10"/>
        <v>25673.97</v>
      </c>
      <c r="V19" s="81">
        <f t="shared" si="10"/>
        <v>6000</v>
      </c>
      <c r="W19" s="81">
        <f t="shared" si="10"/>
        <v>3000</v>
      </c>
      <c r="X19" s="81">
        <f t="shared" si="10"/>
        <v>17000</v>
      </c>
      <c r="Y19" s="81">
        <f t="shared" si="10"/>
        <v>13500</v>
      </c>
      <c r="Z19" s="81">
        <f t="shared" si="10"/>
        <v>3600</v>
      </c>
      <c r="AA19" s="81">
        <f t="shared" si="10"/>
        <v>0</v>
      </c>
      <c r="AB19" s="81">
        <f t="shared" si="10"/>
        <v>43100</v>
      </c>
      <c r="AC19" s="81">
        <f t="shared" si="10"/>
        <v>0</v>
      </c>
      <c r="AD19" s="81">
        <f t="shared" si="10"/>
        <v>193493.54</v>
      </c>
      <c r="AE19" s="81">
        <f t="shared" si="10"/>
        <v>6108</v>
      </c>
      <c r="AF19" s="81">
        <f t="shared" si="10"/>
        <v>3747.78</v>
      </c>
      <c r="AG19" s="81">
        <f t="shared" si="10"/>
        <v>2360.22</v>
      </c>
      <c r="AH19" s="81">
        <f t="shared" si="10"/>
        <v>162057.91</v>
      </c>
      <c r="AI19" s="138">
        <f t="shared" si="10"/>
        <v>0</v>
      </c>
      <c r="AJ19" s="81">
        <f t="shared" si="10"/>
        <v>162057.91</v>
      </c>
      <c r="AK19" s="81">
        <f t="shared" si="10"/>
        <v>0</v>
      </c>
      <c r="AL19" s="81">
        <f t="shared" si="10"/>
        <v>164418.13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6">
      <c r="B23" s="52" t="s">
        <v>127</v>
      </c>
      <c r="C23" s="52" t="s">
        <v>178</v>
      </c>
      <c r="D23" s="52" t="s">
        <v>57</v>
      </c>
      <c r="E23" s="52" t="s">
        <v>58</v>
      </c>
      <c r="AD23" s="10"/>
      <c r="AJ23" s="15">
        <v>80</v>
      </c>
    </row>
    <row r="24" ht="18.75" customHeight="1" spans="2:5">
      <c r="B24" s="53">
        <f>AJ19</f>
        <v>162057.91</v>
      </c>
      <c r="C24" s="53">
        <f>AG19</f>
        <v>2360.22</v>
      </c>
      <c r="D24" s="53">
        <f>AK19</f>
        <v>0</v>
      </c>
      <c r="E24" s="53">
        <f>B24+C24+D24</f>
        <v>164418.13</v>
      </c>
    </row>
    <row r="25" spans="2:5">
      <c r="B25" s="54"/>
      <c r="C25" s="54"/>
      <c r="D25" s="54"/>
      <c r="E25" s="54"/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R4" activePane="bottomRight" state="frozen"/>
      <selection/>
      <selection pane="topRight"/>
      <selection pane="bottomLeft"/>
      <selection pane="bottomRight" activeCell="V4" sqref="V4:Z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10230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L4+IFERROR(VLOOKUP($E:$E,'（居民）工资表-6月'!$E:$S,15,0),0)</f>
        <v>42270</v>
      </c>
      <c r="T4" s="98">
        <f>5000+IFERROR(VLOOKUP($E:$E,'（居民）工资表-6月'!$E:$T,16,0),0)</f>
        <v>20000</v>
      </c>
      <c r="U4" s="98">
        <f>Q4+IFERROR(VLOOKUP($E:$E,'（居民）工资表-6月'!$E:$U,17,0),0)</f>
        <v>2079.6</v>
      </c>
      <c r="V4" s="78">
        <v>7000</v>
      </c>
      <c r="W4" s="78"/>
      <c r="X4" s="78">
        <v>7000</v>
      </c>
      <c r="Y4" s="78"/>
      <c r="Z4" s="78">
        <v>2800</v>
      </c>
      <c r="AA4" s="78"/>
      <c r="AB4" s="97">
        <f>ROUND(SUM(V4:AA4),2)</f>
        <v>16800</v>
      </c>
      <c r="AC4" s="97">
        <f>R4+IFERROR(VLOOKUP($E:$E,'（居民）工资表-6月'!$E:$AC,25,0),0)</f>
        <v>0</v>
      </c>
      <c r="AD4" s="100">
        <f>ROUND(S4-T4-U4-AB4-AC4,2)</f>
        <v>3390.4</v>
      </c>
      <c r="AE4" s="101">
        <f>ROUND(MAX((AD4)*{0.03;0.1;0.2;0.25;0.3;0.35;0.45}-{0;2520;16920;31920;52920;85920;181920},0),2)</f>
        <v>101.71</v>
      </c>
      <c r="AF4" s="102">
        <f>IFERROR(VLOOKUP(E:E,'（居民）工资表-6月'!E:AF,28,0)+VLOOKUP(E:E,'（居民）工资表-6月'!E:AG,29,0),0)</f>
        <v>32.41</v>
      </c>
      <c r="AG4" s="102">
        <f>IF((AE4-AF4)&lt;0,0,AE4-AF4)</f>
        <v>69.3</v>
      </c>
      <c r="AH4" s="109">
        <f>ROUND(IF((L4-Q4-AG4)&lt;0,0,(L4-Q4-AG4)),2)</f>
        <v>9640.8</v>
      </c>
      <c r="AI4" s="110"/>
      <c r="AJ4" s="109">
        <f>AH4+AI4</f>
        <v>9640.8</v>
      </c>
      <c r="AK4" s="111"/>
      <c r="AL4" s="109">
        <f>AJ4+AG4+AK4</f>
        <v>9710.1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L5+IFERROR(VLOOKUP($E:$E,'（居民）工资表-6月'!$E:$S,15,0),0)</f>
        <v>28000</v>
      </c>
      <c r="T5" s="98">
        <f>5000+IFERROR(VLOOKUP($E:$E,'（居民）工资表-6月'!$E:$T,16,0),0)</f>
        <v>20000</v>
      </c>
      <c r="U5" s="98">
        <f>Q5+IFERROR(VLOOKUP($E:$E,'（居民）工资表-6月'!$E:$U,17,0),0)</f>
        <v>1773.8</v>
      </c>
      <c r="V5" s="78"/>
      <c r="W5" s="78"/>
      <c r="X5" s="78">
        <v>7000</v>
      </c>
      <c r="Y5" s="78"/>
      <c r="Z5" s="78"/>
      <c r="AA5" s="78"/>
      <c r="AB5" s="97">
        <f>ROUND(SUM(V5:AA5),2)</f>
        <v>7000</v>
      </c>
      <c r="AC5" s="97">
        <f>R5+IFERROR(VLOOKUP($E:$E,'（居民）工资表-6月'!$E:$AC,25,0),0)</f>
        <v>0</v>
      </c>
      <c r="AD5" s="100">
        <f>ROUND(S5-T5-U5-AB5-AC5,2)</f>
        <v>-773.8</v>
      </c>
      <c r="AE5" s="101">
        <f>ROUND(MAX((AD5)*{0.03;0.1;0.2;0.25;0.3;0.35;0.45}-{0;2520;16920;31920;52920;85920;181920},0),2)</f>
        <v>0</v>
      </c>
      <c r="AF5" s="102">
        <f>IFERROR(VLOOKUP(E:E,'（居民）工资表-6月'!E:AF,28,0)+VLOOKUP(E:E,'（居民）工资表-6月'!E:AG,29,0),0)</f>
        <v>0</v>
      </c>
      <c r="AG5" s="102">
        <f>IF((AE5-AF5)&lt;0,0,AE5-AF5)</f>
        <v>0</v>
      </c>
      <c r="AH5" s="109">
        <f>ROUND(IF((L5-Q5-AG5)&lt;0,0,(L5-Q5-AG5)),2)</f>
        <v>6567.05</v>
      </c>
      <c r="AI5" s="110"/>
      <c r="AJ5" s="109">
        <f>AH5+AI5</f>
        <v>6567.05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L6+IFERROR(VLOOKUP($E:$E,'（居民）工资表-6月'!$E:$S,15,0),0)</f>
        <v>22800</v>
      </c>
      <c r="T6" s="98">
        <f>5000+IFERROR(VLOOKUP($E:$E,'（居民）工资表-6月'!$E:$T,16,0),0)</f>
        <v>20000</v>
      </c>
      <c r="U6" s="98">
        <f>Q6+IFERROR(VLOOKUP($E:$E,'（居民）工资表-6月'!$E:$U,17,0),0)</f>
        <v>2487.12</v>
      </c>
      <c r="V6" s="78"/>
      <c r="W6" s="78"/>
      <c r="X6" s="78"/>
      <c r="Y6" s="78">
        <v>10500</v>
      </c>
      <c r="Z6" s="78"/>
      <c r="AA6" s="78"/>
      <c r="AB6" s="97">
        <f>ROUND(SUM(V6:AA6),2)</f>
        <v>10500</v>
      </c>
      <c r="AC6" s="97">
        <f>R6+IFERROR(VLOOKUP($E:$E,'（居民）工资表-6月'!$E:$AC,25,0),0)</f>
        <v>0</v>
      </c>
      <c r="AD6" s="100">
        <f>ROUND(S6-T6-U6-AB6-AC6,2)</f>
        <v>-10187.12</v>
      </c>
      <c r="AE6" s="101">
        <f>ROUND(MAX((AD6)*{0.03;0.1;0.2;0.25;0.3;0.35;0.45}-{0;2520;16920;31920;52920;85920;181920},0),2)</f>
        <v>0</v>
      </c>
      <c r="AF6" s="102">
        <f>IFERROR(VLOOKUP(E:E,'（居民）工资表-6月'!E:AF,28,0)+VLOOKUP(E:E,'（居民）工资表-6月'!E:AG,29,0),0)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14620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8" si="0">ROUND(SUM(M7:P7),2)</f>
        <v>582.12</v>
      </c>
      <c r="R7" s="78">
        <v>0</v>
      </c>
      <c r="S7" s="97">
        <f>L7+IFERROR(VLOOKUP($E:$E,'（居民）工资表-6月'!$E:$S,15,0),0)</f>
        <v>57580</v>
      </c>
      <c r="T7" s="98">
        <f>5000+IFERROR(VLOOKUP($E:$E,'（居民）工资表-6月'!$E:$T,16,0),0)</f>
        <v>20000</v>
      </c>
      <c r="U7" s="98">
        <f>Q7+IFERROR(VLOOKUP($E:$E,'（居民）工资表-6月'!$E:$U,17,0),0)</f>
        <v>2328.48</v>
      </c>
      <c r="V7" s="78"/>
      <c r="W7" s="78"/>
      <c r="X7" s="78">
        <v>5000</v>
      </c>
      <c r="Y7" s="78"/>
      <c r="Z7" s="78"/>
      <c r="AA7" s="78"/>
      <c r="AB7" s="97">
        <f t="shared" ref="AB7:AB18" si="1">ROUND(SUM(V7:AA7),2)</f>
        <v>5000</v>
      </c>
      <c r="AC7" s="97">
        <f>R7+IFERROR(VLOOKUP($E:$E,'（居民）工资表-6月'!$E:$AC,25,0),0)</f>
        <v>0</v>
      </c>
      <c r="AD7" s="100">
        <f t="shared" ref="AD7:AD18" si="2">ROUND(S7-T7-U7-AB7-AC7,2)</f>
        <v>30251.52</v>
      </c>
      <c r="AE7" s="101">
        <f>ROUND(MAX((AD7)*{0.03;0.1;0.2;0.25;0.3;0.35;0.45}-{0;2520;16920;31920;52920;85920;181920},0),2)</f>
        <v>907.55</v>
      </c>
      <c r="AF7" s="102">
        <f>IFERROR(VLOOKUP(E:E,'（居民）工资表-6月'!E:AF,28,0)+VLOOKUP(E:E,'（居民）工资表-6月'!E:AG,29,0),0)</f>
        <v>636.41</v>
      </c>
      <c r="AG7" s="102">
        <f t="shared" ref="AG7:AG18" si="3">IF((AE7-AF7)&lt;0,0,AE7-AF7)</f>
        <v>271.14</v>
      </c>
      <c r="AH7" s="109">
        <f t="shared" ref="AH7:AH18" si="4">ROUND(IF((L7-Q7-AG7)&lt;0,0,(L7-Q7-AG7)),2)</f>
        <v>13766.74</v>
      </c>
      <c r="AI7" s="110"/>
      <c r="AJ7" s="109">
        <f t="shared" ref="AJ7:AJ18" si="5">AH7+AI7</f>
        <v>13766.74</v>
      </c>
      <c r="AK7" s="111"/>
      <c r="AL7" s="109">
        <f t="shared" ref="AL7:AL18" si="6">AJ7+AG7+AK7</f>
        <v>14037.88</v>
      </c>
      <c r="AM7" s="111"/>
      <c r="AN7" s="111"/>
      <c r="AO7" s="111"/>
      <c r="AP7" s="111"/>
      <c r="AQ7" s="111"/>
      <c r="AR7" s="117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5" si="8">IF(SUMPRODUCT(N(E$1:E$18=E7))&gt;1,"重复","不")</f>
        <v>不</v>
      </c>
      <c r="AT7" s="117" t="str">
        <f t="shared" ref="AT7:AT15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14920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L8+IFERROR(VLOOKUP($E:$E,'（居民）工资表-6月'!$E:$S,15,0),0)</f>
        <v>59080</v>
      </c>
      <c r="T8" s="98">
        <f>5000+IFERROR(VLOOKUP($E:$E,'（居民）工资表-6月'!$E:$T,16,0),0)</f>
        <v>20000</v>
      </c>
      <c r="U8" s="98">
        <f>Q8+IFERROR(VLOOKUP($E:$E,'（居民）工资表-6月'!$E:$U,17,0),0)</f>
        <v>2328.48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R8+IFERROR(VLOOKUP($E:$E,'（居民）工资表-6月'!$E:$AC,25,0),0)</f>
        <v>0</v>
      </c>
      <c r="AD8" s="100">
        <f t="shared" si="2"/>
        <v>36751.52</v>
      </c>
      <c r="AE8" s="101">
        <f>ROUND(MAX((AD8)*{0.03;0.1;0.2;0.25;0.3;0.35;0.45}-{0;2520;16920;31920;52920;85920;181920},0),2)</f>
        <v>1155.15</v>
      </c>
      <c r="AF8" s="102">
        <f>IFERROR(VLOOKUP(E:E,'（居民）工资表-6月'!E:AF,28,0)+VLOOKUP(E:E,'（居民）工资表-6月'!E:AG,29,0),0)</f>
        <v>822.41</v>
      </c>
      <c r="AG8" s="102">
        <f t="shared" si="3"/>
        <v>332.74</v>
      </c>
      <c r="AH8" s="109">
        <f t="shared" si="4"/>
        <v>14005.14</v>
      </c>
      <c r="AI8" s="110"/>
      <c r="AJ8" s="109">
        <f t="shared" si="5"/>
        <v>14005.14</v>
      </c>
      <c r="AK8" s="111"/>
      <c r="AL8" s="109">
        <f t="shared" si="6"/>
        <v>14337.88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12420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L9+IFERROR(VLOOKUP($E:$E,'（居民）工资表-6月'!$E:$S,15,0),0)</f>
        <v>49080</v>
      </c>
      <c r="T9" s="98">
        <f>5000+IFERROR(VLOOKUP($E:$E,'（居民）工资表-6月'!$E:$T,16,0),0)</f>
        <v>20000</v>
      </c>
      <c r="U9" s="98">
        <f>Q9+IFERROR(VLOOKUP($E:$E,'（居民）工资表-6月'!$E:$U,17,0),0)</f>
        <v>2328.48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R9+IFERROR(VLOOKUP($E:$E,'（居民）工资表-6月'!$E:$AC,25,0),0)</f>
        <v>0</v>
      </c>
      <c r="AD9" s="100">
        <f t="shared" si="2"/>
        <v>26751.52</v>
      </c>
      <c r="AE9" s="101">
        <f>ROUND(MAX((AD9)*{0.03;0.1;0.2;0.25;0.3;0.35;0.45}-{0;2520;16920;31920;52920;85920;181920},0),2)</f>
        <v>802.55</v>
      </c>
      <c r="AF9" s="102">
        <f>IFERROR(VLOOKUP(E:E,'（居民）工资表-6月'!E:AF,28,0)+VLOOKUP(E:E,'（居民）工资表-6月'!E:AG,29,0),0)</f>
        <v>597.41</v>
      </c>
      <c r="AG9" s="102">
        <f t="shared" si="3"/>
        <v>205.14</v>
      </c>
      <c r="AH9" s="109">
        <f t="shared" si="4"/>
        <v>11632.74</v>
      </c>
      <c r="AI9" s="110"/>
      <c r="AJ9" s="109">
        <f t="shared" si="5"/>
        <v>11632.74</v>
      </c>
      <c r="AK9" s="111"/>
      <c r="AL9" s="109">
        <f t="shared" si="6"/>
        <v>11837.88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17420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L10+IFERROR(VLOOKUP($E:$E,'（居民）工资表-6月'!$E:$S,15,0),0)</f>
        <v>69674.74</v>
      </c>
      <c r="T10" s="98">
        <f>5000+IFERROR(VLOOKUP($E:$E,'（居民）工资表-6月'!$E:$T,16,0),0)</f>
        <v>20000</v>
      </c>
      <c r="U10" s="98">
        <f>Q10+IFERROR(VLOOKUP($E:$E,'（居民）工资表-6月'!$E:$U,17,0),0)</f>
        <v>2910.6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R10+IFERROR(VLOOKUP($E:$E,'（居民）工资表-6月'!$E:$AC,25,0),0)</f>
        <v>0</v>
      </c>
      <c r="AD10" s="100">
        <f t="shared" si="2"/>
        <v>46764.14</v>
      </c>
      <c r="AE10" s="101">
        <f>ROUND(MAX((AD10)*{0.03;0.1;0.2;0.25;0.3;0.35;0.45}-{0;2520;16920;31920;52920;85920;181920},0),2)</f>
        <v>2156.41</v>
      </c>
      <c r="AF10" s="102">
        <f>IFERROR(VLOOKUP(E:E,'（居民）工资表-6月'!E:AF,28,0)+VLOOKUP(E:E,'（居民）工资表-6月'!E:AG,29,0),0)</f>
        <v>1047.79</v>
      </c>
      <c r="AG10" s="102">
        <f t="shared" si="3"/>
        <v>1108.62</v>
      </c>
      <c r="AH10" s="109">
        <f t="shared" si="4"/>
        <v>15729.26</v>
      </c>
      <c r="AI10" s="110"/>
      <c r="AJ10" s="109">
        <f t="shared" si="5"/>
        <v>15729.26</v>
      </c>
      <c r="AK10" s="111"/>
      <c r="AL10" s="109">
        <f t="shared" si="6"/>
        <v>16837.88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18720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L11+IFERROR(VLOOKUP($E:$E,'（居民）工资表-6月'!$E:$S,15,0),0)</f>
        <v>70677.39</v>
      </c>
      <c r="T11" s="98">
        <f>5000+IFERROR(VLOOKUP($E:$E,'（居民）工资表-6月'!$E:$T,16,0),0)</f>
        <v>20000</v>
      </c>
      <c r="U11" s="98">
        <f>Q11+IFERROR(VLOOKUP($E:$E,'（居民）工资表-6月'!$E:$U,17,0),0)</f>
        <v>2910.6</v>
      </c>
      <c r="V11" s="78"/>
      <c r="W11" s="78">
        <v>4000</v>
      </c>
      <c r="X11" s="78"/>
      <c r="Y11" s="78">
        <v>6000</v>
      </c>
      <c r="Z11" s="78">
        <v>1600</v>
      </c>
      <c r="AA11" s="78"/>
      <c r="AB11" s="97">
        <f t="shared" si="1"/>
        <v>11600</v>
      </c>
      <c r="AC11" s="97">
        <f>R11+IFERROR(VLOOKUP($E:$E,'（居民）工资表-6月'!$E:$AC,25,0),0)</f>
        <v>0</v>
      </c>
      <c r="AD11" s="100">
        <f t="shared" si="2"/>
        <v>36166.79</v>
      </c>
      <c r="AE11" s="101">
        <f>ROUND(MAX((AD11)*{0.03;0.1;0.2;0.25;0.3;0.35;0.45}-{0;2520;16920;31920;52920;85920;181920},0),2)</f>
        <v>1096.68</v>
      </c>
      <c r="AF11" s="102">
        <f>IFERROR(VLOOKUP(E:E,'（居民）工资表-6月'!E:AF,28,0)+VLOOKUP(E:E,'（居民）工资表-6月'!E:AG,29,0),0)</f>
        <v>777.87</v>
      </c>
      <c r="AG11" s="102">
        <f t="shared" si="3"/>
        <v>318.81</v>
      </c>
      <c r="AH11" s="109">
        <f t="shared" si="4"/>
        <v>17819.07</v>
      </c>
      <c r="AI11" s="110"/>
      <c r="AJ11" s="109">
        <f t="shared" si="5"/>
        <v>17819.07</v>
      </c>
      <c r="AK11" s="111"/>
      <c r="AL11" s="109">
        <f t="shared" si="6"/>
        <v>18137.88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13920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L12+IFERROR(VLOOKUP($E:$E,'（居民）工资表-6月'!$E:$S,15,0),0)</f>
        <v>52312.17</v>
      </c>
      <c r="T12" s="98">
        <f>5000+IFERROR(VLOOKUP($E:$E,'（居民）工资表-6月'!$E:$T,16,0),0)</f>
        <v>20000</v>
      </c>
      <c r="U12" s="98">
        <f>Q12+IFERROR(VLOOKUP($E:$E,'（居民）工资表-6月'!$E:$U,17,0),0)</f>
        <v>2910.6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R12+IFERROR(VLOOKUP($E:$E,'（居民）工资表-6月'!$E:$AC,25,0),0)</f>
        <v>0</v>
      </c>
      <c r="AD12" s="100">
        <f t="shared" si="2"/>
        <v>29401.57</v>
      </c>
      <c r="AE12" s="101">
        <f>ROUND(MAX((AD12)*{0.03;0.1;0.2;0.25;0.3;0.35;0.45}-{0;2520;16920;31920;52920;85920;181920},0),2)</f>
        <v>882.05</v>
      </c>
      <c r="AF12" s="102">
        <f>IFERROR(VLOOKUP(E:E,'（居民）工资表-6月'!E:AF,28,0)+VLOOKUP(E:E,'（居民）工资表-6月'!E:AG,29,0),0)</f>
        <v>631.91</v>
      </c>
      <c r="AG12" s="102">
        <f t="shared" si="3"/>
        <v>250.14</v>
      </c>
      <c r="AH12" s="109">
        <f t="shared" si="4"/>
        <v>13087.74</v>
      </c>
      <c r="AI12" s="110"/>
      <c r="AJ12" s="109">
        <f t="shared" si="5"/>
        <v>13087.74</v>
      </c>
      <c r="AK12" s="111"/>
      <c r="AL12" s="109">
        <f t="shared" si="6"/>
        <v>13337.88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L13+IFERROR(VLOOKUP($E:$E,'（居民）工资表-6月'!$E:$S,15,0),0)</f>
        <v>41080</v>
      </c>
      <c r="T13" s="98">
        <f>5000+IFERROR(VLOOKUP($E:$E,'（居民）工资表-6月'!$E:$T,16,0),0)</f>
        <v>20000</v>
      </c>
      <c r="U13" s="98">
        <f>Q13+IFERROR(VLOOKUP($E:$E,'（居民）工资表-6月'!$E:$U,17,0),0)</f>
        <v>2328.48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R13+IFERROR(VLOOKUP($E:$E,'（居民）工资表-6月'!$E:$AC,25,0),0)</f>
        <v>0</v>
      </c>
      <c r="AD13" s="100">
        <f t="shared" si="2"/>
        <v>18751.52</v>
      </c>
      <c r="AE13" s="101">
        <f>ROUND(MAX((AD13)*{0.03;0.1;0.2;0.25;0.3;0.35;0.45}-{0;2520;16920;31920;52920;85920;181920},0),2)</f>
        <v>562.55</v>
      </c>
      <c r="AF13" s="102">
        <f>IFERROR(VLOOKUP(E:E,'（居民）工资表-6月'!E:AF,28,0)+VLOOKUP(E:E,'（居民）工资表-6月'!E:AG,29,0),0)</f>
        <v>417.41</v>
      </c>
      <c r="AG13" s="102">
        <f t="shared" si="3"/>
        <v>145.14</v>
      </c>
      <c r="AH13" s="109">
        <f t="shared" si="4"/>
        <v>9692.74</v>
      </c>
      <c r="AI13" s="110"/>
      <c r="AJ13" s="109">
        <f t="shared" si="5"/>
        <v>9692.74</v>
      </c>
      <c r="AK13" s="111"/>
      <c r="AL13" s="109">
        <f t="shared" si="6"/>
        <v>9837.88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15420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L14+IFERROR(VLOOKUP($E:$E,'（居民）工资表-6月'!$E:$S,15,0),0)</f>
        <v>51529.57</v>
      </c>
      <c r="T14" s="98">
        <f>5000+IFERROR(VLOOKUP($E:$E,'（居民）工资表-6月'!$E:$T,16,0),0)</f>
        <v>20000</v>
      </c>
      <c r="U14" s="98">
        <f>Q14+IFERROR(VLOOKUP($E:$E,'（居民）工资表-6月'!$E:$U,17,0),0)</f>
        <v>2328.48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R14+IFERROR(VLOOKUP($E:$E,'（居民）工资表-6月'!$E:$AC,25,0),0)</f>
        <v>0</v>
      </c>
      <c r="AD14" s="100">
        <f t="shared" si="2"/>
        <v>29201.09</v>
      </c>
      <c r="AE14" s="101">
        <f>ROUND(MAX((AD14)*{0.03;0.1;0.2;0.25;0.3;0.35;0.45}-{0;2520;16920;31920;52920;85920;181920},0),2)</f>
        <v>876.03</v>
      </c>
      <c r="AF14" s="102">
        <f>IFERROR(VLOOKUP(E:E,'（居民）工资表-6月'!E:AF,28,0)+VLOOKUP(E:E,'（居民）工资表-6月'!E:AG,29,0),0)</f>
        <v>580.9</v>
      </c>
      <c r="AG14" s="102">
        <f t="shared" si="3"/>
        <v>295.13</v>
      </c>
      <c r="AH14" s="109">
        <f t="shared" si="4"/>
        <v>14542.75</v>
      </c>
      <c r="AI14" s="110"/>
      <c r="AJ14" s="109">
        <f t="shared" si="5"/>
        <v>14542.75</v>
      </c>
      <c r="AK14" s="111"/>
      <c r="AL14" s="109">
        <f t="shared" si="6"/>
        <v>14837.88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L15+IFERROR(VLOOKUP($E:$E,'（居民）工资表-6月'!$E:$S,15,0),0)</f>
        <v>30553.64</v>
      </c>
      <c r="T15" s="98">
        <f>5000+IFERROR(VLOOKUP($E:$E,'（居民）工资表-6月'!$E:$T,16,0),0)</f>
        <v>15000</v>
      </c>
      <c r="U15" s="98">
        <f>Q15+IFERROR(VLOOKUP($E:$E,'（居民）工资表-6月'!$E:$U,17,0),0)</f>
        <v>2307.04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R15+IFERROR(VLOOKUP($E:$E,'（居民）工资表-6月'!$E:$AC,25,0),0)</f>
        <v>0</v>
      </c>
      <c r="AD15" s="100">
        <f t="shared" si="2"/>
        <v>13246.6</v>
      </c>
      <c r="AE15" s="101">
        <f>ROUND(MAX((AD15)*{0.03;0.1;0.2;0.25;0.3;0.35;0.45}-{0;2520;16920;31920;52920;85920;181920},0),2)</f>
        <v>397.4</v>
      </c>
      <c r="AF15" s="102">
        <f>IFERROR(VLOOKUP(E:E,'（居民）工资表-6月'!E:AF,28,0)+VLOOKUP(E:E,'（居民）工资表-6月'!E:AG,29,0),0)</f>
        <v>210.1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L16+IFERROR(VLOOKUP($E:$E,'（居民）工资表-6月'!$E:$S,15,0),0)</f>
        <v>28740</v>
      </c>
      <c r="T16" s="98">
        <f>5000+IFERROR(VLOOKUP($E:$E,'（居民）工资表-6月'!$E:$T,16,0),0)</f>
        <v>15000</v>
      </c>
      <c r="U16" s="98">
        <f>Q16+IFERROR(VLOOKUP($E:$E,'（居民）工资表-6月'!$E:$U,17,0),0)</f>
        <v>2307.04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R16+IFERROR(VLOOKUP($E:$E,'（居民）工资表-6月'!$E:$AC,25,0),0)</f>
        <v>0</v>
      </c>
      <c r="AD16" s="100">
        <f t="shared" si="2"/>
        <v>11432.96</v>
      </c>
      <c r="AE16" s="101">
        <f>ROUND(MAX((AD16)*{0.03;0.1;0.2;0.25;0.3;0.35;0.45}-{0;2520;16920;31920;52920;85920;181920},0),2)</f>
        <v>342.99</v>
      </c>
      <c r="AF16" s="102">
        <f>IFERROR(VLOOKUP(E:E,'（居民）工资表-6月'!E:AF,28,0)+VLOOKUP(E:E,'（居民）工资表-6月'!E:AG,29,0),0)</f>
        <v>176.69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>IF(SUMPRODUCT(N(E$1:E$18=E16))&gt;1,"重复","不")</f>
        <v>不</v>
      </c>
      <c r="AT16" s="117" t="str">
        <f>IF(SUMPRODUCT(N(AO$1:AO$18=AO16))&gt;1,"重复","不")</f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L17+IFERROR(VLOOKUP($E:$E,'（居民）工资表-6月'!$E:$S,15,0),0)</f>
        <v>28740</v>
      </c>
      <c r="T17" s="98">
        <f>5000+IFERROR(VLOOKUP($E:$E,'（居民）工资表-6月'!$E:$T,16,0),0)</f>
        <v>15000</v>
      </c>
      <c r="U17" s="98">
        <f>Q17+IFERROR(VLOOKUP($E:$E,'（居民）工资表-6月'!$E:$U,17,0),0)</f>
        <v>2307.04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R17+IFERROR(VLOOKUP($E:$E,'（居民）工资表-6月'!$E:$AC,25,0),0)</f>
        <v>0</v>
      </c>
      <c r="AD17" s="100">
        <f t="shared" si="2"/>
        <v>11432.96</v>
      </c>
      <c r="AE17" s="101">
        <f>ROUND(MAX((AD17)*{0.03;0.1;0.2;0.25;0.3;0.35;0.45}-{0;2520;16920;31920;52920;85920;181920},0),2)</f>
        <v>342.99</v>
      </c>
      <c r="AF17" s="102">
        <f>IFERROR(VLOOKUP(E:E,'（居民）工资表-6月'!E:AF,28,0)+VLOOKUP(E:E,'（居民）工资表-6月'!E:AG,29,0),0)</f>
        <v>176.69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54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2363.63</v>
      </c>
      <c r="M18" s="76">
        <f>274.4*2</f>
        <v>548.8</v>
      </c>
      <c r="N18" s="76">
        <f>68.6*2</f>
        <v>137.2</v>
      </c>
      <c r="O18" s="76">
        <v>34.3</v>
      </c>
      <c r="P18" s="76">
        <f>82.5*2</f>
        <v>165</v>
      </c>
      <c r="Q18" s="96">
        <f t="shared" si="0"/>
        <v>885.3</v>
      </c>
      <c r="R18" s="78">
        <v>0</v>
      </c>
      <c r="S18" s="97">
        <f>L18+IFERROR(VLOOKUP($E:$E,'（居民）工资表-6月'!$E:$S,15,0),0)</f>
        <v>2363.63</v>
      </c>
      <c r="T18" s="98">
        <f>5000+IFERROR(VLOOKUP($E:$E,'（居民）工资表-6月'!$E:$T,16,0),0)</f>
        <v>5000</v>
      </c>
      <c r="U18" s="98">
        <f>Q18+IFERROR(VLOOKUP($E:$E,'（居民）工资表-6月'!$E:$U,17,0),0)</f>
        <v>885.3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R18+IFERROR(VLOOKUP($E:$E,'（居民）工资表-6月'!$E:$AC,25,0),0)</f>
        <v>0</v>
      </c>
      <c r="AD18" s="100">
        <f t="shared" si="2"/>
        <v>-3521.67</v>
      </c>
      <c r="AE18" s="101">
        <f>ROUND(MAX((AD18)*{0.03;0.1;0.2;0.25;0.3;0.35;0.45}-{0;2520;16920;31920;52920;85920;181920},0),2)</f>
        <v>0</v>
      </c>
      <c r="AF18" s="102">
        <f>IFERROR(VLOOKUP(E:E,'（居民）工资表-6月'!E:AF,28,0)+VLOOKUP(E:E,'（居民）工资表-6月'!E:AG,29,0),0)</f>
        <v>0</v>
      </c>
      <c r="AG18" s="102">
        <f t="shared" si="3"/>
        <v>0</v>
      </c>
      <c r="AH18" s="109">
        <f t="shared" si="4"/>
        <v>1478.33</v>
      </c>
      <c r="AI18" s="110"/>
      <c r="AJ18" s="109">
        <f t="shared" si="5"/>
        <v>1478.33</v>
      </c>
      <c r="AK18" s="111"/>
      <c r="AL18" s="109">
        <f t="shared" si="6"/>
        <v>1478.33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Q19" si="10">SUM(L4:L18)</f>
        <v>177213.63</v>
      </c>
      <c r="M19" s="81">
        <f t="shared" si="10"/>
        <v>4326.09</v>
      </c>
      <c r="N19" s="81">
        <f t="shared" si="10"/>
        <v>1171.64</v>
      </c>
      <c r="O19" s="81">
        <f t="shared" si="10"/>
        <v>187.88</v>
      </c>
      <c r="P19" s="81">
        <f t="shared" si="10"/>
        <v>3161.56</v>
      </c>
      <c r="Q19" s="81">
        <f t="shared" si="10"/>
        <v>8847.17</v>
      </c>
      <c r="R19" s="81">
        <f t="shared" ref="R19:AL19" si="11">SUM(R4:R18)</f>
        <v>0</v>
      </c>
      <c r="S19" s="81">
        <f t="shared" si="11"/>
        <v>634481.14</v>
      </c>
      <c r="T19" s="81">
        <f t="shared" si="11"/>
        <v>270000</v>
      </c>
      <c r="U19" s="81">
        <f t="shared" si="11"/>
        <v>34521.14</v>
      </c>
      <c r="V19" s="81">
        <f t="shared" si="11"/>
        <v>7000</v>
      </c>
      <c r="W19" s="81">
        <f t="shared" si="11"/>
        <v>4000</v>
      </c>
      <c r="X19" s="81">
        <f t="shared" si="11"/>
        <v>19000</v>
      </c>
      <c r="Y19" s="81">
        <f t="shared" si="11"/>
        <v>16500</v>
      </c>
      <c r="Z19" s="81">
        <f t="shared" si="11"/>
        <v>4400</v>
      </c>
      <c r="AA19" s="81">
        <f t="shared" si="11"/>
        <v>0</v>
      </c>
      <c r="AB19" s="81">
        <f t="shared" si="11"/>
        <v>50900</v>
      </c>
      <c r="AC19" s="81">
        <f t="shared" si="11"/>
        <v>0</v>
      </c>
      <c r="AD19" s="81">
        <f t="shared" si="11"/>
        <v>279060</v>
      </c>
      <c r="AE19" s="81">
        <f t="shared" si="11"/>
        <v>9624.06</v>
      </c>
      <c r="AF19" s="81">
        <f t="shared" si="11"/>
        <v>6108</v>
      </c>
      <c r="AG19" s="81">
        <f t="shared" si="11"/>
        <v>3516.06</v>
      </c>
      <c r="AH19" s="81">
        <f t="shared" si="11"/>
        <v>164850.4</v>
      </c>
      <c r="AI19" s="138">
        <f t="shared" si="11"/>
        <v>0</v>
      </c>
      <c r="AJ19" s="81">
        <f t="shared" si="11"/>
        <v>164850.4</v>
      </c>
      <c r="AK19" s="81">
        <f t="shared" si="11"/>
        <v>0</v>
      </c>
      <c r="AL19" s="81">
        <f t="shared" si="11"/>
        <v>168366.46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0">
      <c r="B23" s="52" t="s">
        <v>127</v>
      </c>
      <c r="C23" s="52" t="s">
        <v>178</v>
      </c>
      <c r="D23" s="52" t="s">
        <v>57</v>
      </c>
      <c r="E23" s="52" t="s">
        <v>58</v>
      </c>
      <c r="AD23" s="10"/>
    </row>
    <row r="24" ht="18.75" customHeight="1" spans="2:5">
      <c r="B24" s="53">
        <f>AJ19</f>
        <v>164850.4</v>
      </c>
      <c r="C24" s="53">
        <f>AG19</f>
        <v>3516.06</v>
      </c>
      <c r="D24" s="53">
        <f>AK19</f>
        <v>0</v>
      </c>
      <c r="E24" s="53">
        <f>B24+C24+D24</f>
        <v>168366.46</v>
      </c>
    </row>
    <row r="25" spans="2:5">
      <c r="B25" s="54"/>
      <c r="C25" s="54"/>
      <c r="D25" s="54"/>
      <c r="E25" s="54" t="e">
        <f>#REF!</f>
        <v>#REF!</v>
      </c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422.72</v>
      </c>
      <c r="N4" s="76">
        <v>66</v>
      </c>
      <c r="O4" s="76">
        <v>15.82</v>
      </c>
      <c r="P4" s="76">
        <v>180</v>
      </c>
      <c r="Q4" s="96">
        <f>ROUND(SUM(M4:P4),2)</f>
        <v>684.54</v>
      </c>
      <c r="R4" s="78">
        <v>0</v>
      </c>
      <c r="S4" s="97">
        <f>L4+IFERROR(VLOOKUP($E:$E,'（居民）工资表-7月'!$E:$S,15,0),0)</f>
        <v>52830</v>
      </c>
      <c r="T4" s="98">
        <f>5000+IFERROR(VLOOKUP($E:$E,'（居民）工资表-7月'!$E:$T,16,0),0)</f>
        <v>25000</v>
      </c>
      <c r="U4" s="98">
        <f>Q4+IFERROR(VLOOKUP($E:$E,'（居民）工资表-7月'!$E:$U,17,0),0)</f>
        <v>2764.14</v>
      </c>
      <c r="V4" s="78">
        <v>8000</v>
      </c>
      <c r="W4" s="78"/>
      <c r="X4" s="78">
        <v>8000</v>
      </c>
      <c r="Y4" s="78"/>
      <c r="Z4" s="78">
        <v>3200</v>
      </c>
      <c r="AA4" s="78"/>
      <c r="AB4" s="97">
        <f>ROUND(SUM(V4:AA4),2)</f>
        <v>19200</v>
      </c>
      <c r="AC4" s="97">
        <f>R4+IFERROR(VLOOKUP($E:$E,'（居民）工资表-7月'!$E:$AC,25,0),0)</f>
        <v>0</v>
      </c>
      <c r="AD4" s="100">
        <f>ROUND(S4-T4-U4-AB4-AC4,2)</f>
        <v>5865.86</v>
      </c>
      <c r="AE4" s="101">
        <f>ROUND(MAX((AD4)*{0.03;0.1;0.2;0.25;0.3;0.35;0.45}-{0;2520;16920;31920;52920;85920;181920},0),2)</f>
        <v>175.98</v>
      </c>
      <c r="AF4" s="102">
        <f>IFERROR(VLOOKUP(E:E,'（居民）工资表-7月'!E:AF,28,0)+VLOOKUP(E:E,'（居民）工资表-7月'!E:AG,29,0),0)</f>
        <v>101.71</v>
      </c>
      <c r="AG4" s="102">
        <f>IF((AE4-AF4)&lt;0,0,AE4-AF4)</f>
        <v>74.27</v>
      </c>
      <c r="AH4" s="109">
        <f>ROUND(IF((L4-Q4-AG4)&lt;0,0,(L4-Q4-AG4)),2)</f>
        <v>9801.19</v>
      </c>
      <c r="AI4" s="110"/>
      <c r="AJ4" s="109">
        <f>AH4+AI4</f>
        <v>9801.19</v>
      </c>
      <c r="AK4" s="111"/>
      <c r="AL4" s="109">
        <f>AJ4+AG4+AK4</f>
        <v>9875.46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L5+IFERROR(VLOOKUP($E:$E,'（居民）工资表-7月'!$E:$S,15,0),0)</f>
        <v>35000</v>
      </c>
      <c r="T5" s="98">
        <f>5000+IFERROR(VLOOKUP($E:$E,'（居民）工资表-7月'!$E:$T,16,0),0)</f>
        <v>25000</v>
      </c>
      <c r="U5" s="98">
        <f>Q5+IFERROR(VLOOKUP($E:$E,'（居民）工资表-7月'!$E:$U,17,0),0)</f>
        <v>2206.75</v>
      </c>
      <c r="V5" s="78"/>
      <c r="W5" s="78"/>
      <c r="X5" s="78">
        <v>8000</v>
      </c>
      <c r="Y5" s="78"/>
      <c r="Z5" s="78"/>
      <c r="AA5" s="78"/>
      <c r="AB5" s="97">
        <f>ROUND(SUM(V5:AA5),2)</f>
        <v>8000</v>
      </c>
      <c r="AC5" s="97">
        <f>R5+IFERROR(VLOOKUP($E:$E,'（居民）工资表-7月'!$E:$AC,25,0),0)</f>
        <v>0</v>
      </c>
      <c r="AD5" s="100">
        <f>ROUND(S5-T5-U5-AB5-AC5,2)</f>
        <v>-206.75</v>
      </c>
      <c r="AE5" s="101">
        <f>ROUND(MAX((AD5)*{0.03;0.1;0.2;0.25;0.3;0.35;0.45}-{0;2520;16920;31920;52920;85920;181920},0),2)</f>
        <v>0</v>
      </c>
      <c r="AF5" s="102">
        <f>IFERROR(VLOOKUP(E:E,'（居民）工资表-7月'!E:AF,28,0)+VLOOKUP(E:E,'（居民）工资表-7月'!E:AG,29,0),0)</f>
        <v>0</v>
      </c>
      <c r="AG5" s="102">
        <f>IF((AE5-AF5)&lt;0,0,AE5-AF5)</f>
        <v>0</v>
      </c>
      <c r="AH5" s="109">
        <f>ROUND(IF((L5-Q5-AG5)&lt;0,0,(L5-Q5-AG5)),2)</f>
        <v>6567.05</v>
      </c>
      <c r="AI5" s="110"/>
      <c r="AJ5" s="109">
        <f>AH5+AI5</f>
        <v>6567.05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153.42</v>
      </c>
      <c r="O6" s="76">
        <v>4.6</v>
      </c>
      <c r="P6" s="76">
        <v>115</v>
      </c>
      <c r="Q6" s="96">
        <f t="shared" ref="Q6:Q19" si="0">ROUND(SUM(M6:P6),2)</f>
        <v>640.06</v>
      </c>
      <c r="R6" s="78">
        <v>0</v>
      </c>
      <c r="S6" s="97">
        <f>L6+IFERROR(VLOOKUP($E:$E,'（居民）工资表-7月'!$E:$S,15,0),0)</f>
        <v>28500</v>
      </c>
      <c r="T6" s="98">
        <f>5000+IFERROR(VLOOKUP($E:$E,'（居民）工资表-7月'!$E:$T,16,0),0)</f>
        <v>25000</v>
      </c>
      <c r="U6" s="98">
        <f>Q6+IFERROR(VLOOKUP($E:$E,'（居民）工资表-7月'!$E:$U,17,0),0)</f>
        <v>3127.18</v>
      </c>
      <c r="V6" s="78"/>
      <c r="W6" s="78"/>
      <c r="X6" s="78"/>
      <c r="Y6" s="78">
        <v>12000</v>
      </c>
      <c r="Z6" s="78"/>
      <c r="AA6" s="78"/>
      <c r="AB6" s="97">
        <f t="shared" ref="AB6:AB19" si="1">ROUND(SUM(V6:AA6),2)</f>
        <v>12000</v>
      </c>
      <c r="AC6" s="97">
        <f>R6+IFERROR(VLOOKUP($E:$E,'（居民）工资表-7月'!$E:$AC,25,0),0)</f>
        <v>0</v>
      </c>
      <c r="AD6" s="100">
        <f t="shared" ref="AD6:AD19" si="2">ROUND(S6-T6-U6-AB6-AC6,2)</f>
        <v>-11627.18</v>
      </c>
      <c r="AE6" s="101">
        <f>ROUND(MAX((AD6)*{0.03;0.1;0.2;0.25;0.3;0.35;0.45}-{0;2520;16920;31920;52920;85920;181920},0),2)</f>
        <v>0</v>
      </c>
      <c r="AF6" s="102">
        <f>IFERROR(VLOOKUP(E:E,'（居民）工资表-7月'!E:AF,28,0)+VLOOKUP(E:E,'（居民）工资表-7月'!E:AG,29,0),0)</f>
        <v>0</v>
      </c>
      <c r="AG6" s="102">
        <f t="shared" ref="AG6:AG19" si="3">IF((AE6-AF6)&lt;0,0,AE6-AF6)</f>
        <v>0</v>
      </c>
      <c r="AH6" s="109">
        <f t="shared" ref="AH6:AH19" si="4">ROUND(IF((L6-Q6-AG6)&lt;0,0,(L6-Q6-AG6)),2)</f>
        <v>5059.94</v>
      </c>
      <c r="AI6" s="110"/>
      <c r="AJ6" s="109">
        <f t="shared" ref="AJ6:AJ19" si="5">AH6+AI6</f>
        <v>5059.94</v>
      </c>
      <c r="AK6" s="111"/>
      <c r="AL6" s="109">
        <f t="shared" ref="AL6:AL19" si="6">AJ6+AG6+AK6</f>
        <v>5059.94</v>
      </c>
      <c r="AM6" s="111"/>
      <c r="AN6" s="111"/>
      <c r="AO6" s="111"/>
      <c r="AP6" s="111"/>
      <c r="AQ6" s="111"/>
      <c r="AR6" s="117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 t="shared" ref="AS6:AS16" si="8">IF(SUMPRODUCT(N(E$1:E$18=E6))&gt;1,"重复","不")</f>
        <v>不</v>
      </c>
      <c r="AT6" s="117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309.52</v>
      </c>
      <c r="N7" s="76">
        <v>77.38</v>
      </c>
      <c r="O7" s="76">
        <v>11.61</v>
      </c>
      <c r="P7" s="76">
        <v>254.32</v>
      </c>
      <c r="Q7" s="96">
        <f t="shared" si="0"/>
        <v>652.83</v>
      </c>
      <c r="R7" s="78">
        <v>0</v>
      </c>
      <c r="S7" s="97">
        <f>L7+IFERROR(VLOOKUP($E:$E,'（居民）工资表-7月'!$E:$S,15,0),0)</f>
        <v>71900</v>
      </c>
      <c r="T7" s="98">
        <f>5000+IFERROR(VLOOKUP($E:$E,'（居民）工资表-7月'!$E:$T,16,0),0)</f>
        <v>25000</v>
      </c>
      <c r="U7" s="98">
        <f>Q7+IFERROR(VLOOKUP($E:$E,'（居民）工资表-7月'!$E:$U,17,0),0)</f>
        <v>2981.31</v>
      </c>
      <c r="V7" s="78"/>
      <c r="W7" s="78"/>
      <c r="Y7" s="78"/>
      <c r="Z7" s="78"/>
      <c r="AA7" s="78"/>
      <c r="AB7" s="97">
        <f t="shared" si="1"/>
        <v>0</v>
      </c>
      <c r="AC7" s="97">
        <f>R7+IFERROR(VLOOKUP($E:$E,'（居民）工资表-7月'!$E:$AC,25,0),0)</f>
        <v>0</v>
      </c>
      <c r="AD7" s="100">
        <f t="shared" si="2"/>
        <v>43918.69</v>
      </c>
      <c r="AE7" s="101">
        <f>ROUND(MAX((AD7)*{0.03;0.1;0.2;0.25;0.3;0.35;0.45}-{0;2520;16920;31920;52920;85920;181920},0),2)</f>
        <v>1871.87</v>
      </c>
      <c r="AF7" s="102">
        <f>IFERROR(VLOOKUP(E:E,'（居民）工资表-7月'!E:AF,28,0)+VLOOKUP(E:E,'（居民）工资表-7月'!E:AG,29,0),0)</f>
        <v>907.55</v>
      </c>
      <c r="AG7" s="102">
        <f t="shared" si="3"/>
        <v>964.32</v>
      </c>
      <c r="AH7" s="109">
        <f t="shared" si="4"/>
        <v>12702.85</v>
      </c>
      <c r="AI7" s="110"/>
      <c r="AJ7" s="109">
        <f t="shared" si="5"/>
        <v>12702.85</v>
      </c>
      <c r="AK7" s="111"/>
      <c r="AL7" s="109">
        <f t="shared" si="6"/>
        <v>13667.17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 t="shared" si="8"/>
        <v>不</v>
      </c>
      <c r="AT7" s="117" t="str">
        <f t="shared" si="9"/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309.52</v>
      </c>
      <c r="N8" s="76">
        <v>77.38</v>
      </c>
      <c r="O8" s="76">
        <v>11.61</v>
      </c>
      <c r="P8" s="76">
        <v>254.32</v>
      </c>
      <c r="Q8" s="96">
        <f t="shared" si="0"/>
        <v>652.83</v>
      </c>
      <c r="R8" s="78">
        <v>0</v>
      </c>
      <c r="S8" s="97">
        <f>L8+IFERROR(VLOOKUP($E:$E,'（居民）工资表-7月'!$E:$S,15,0),0)</f>
        <v>73700</v>
      </c>
      <c r="T8" s="98">
        <f>5000+IFERROR(VLOOKUP($E:$E,'（居民）工资表-7月'!$E:$T,16,0),0)</f>
        <v>25000</v>
      </c>
      <c r="U8" s="98">
        <f>Q8+IFERROR(VLOOKUP($E:$E,'（居民）工资表-7月'!$E:$U,17,0),0)</f>
        <v>2981.31</v>
      </c>
      <c r="V8" s="78"/>
      <c r="W8" s="78"/>
      <c r="X8" s="78">
        <v>5000</v>
      </c>
      <c r="Y8" s="78"/>
      <c r="Z8" s="78"/>
      <c r="AA8" s="78"/>
      <c r="AB8" s="97">
        <f t="shared" si="1"/>
        <v>5000</v>
      </c>
      <c r="AC8" s="97">
        <f>R8+IFERROR(VLOOKUP($E:$E,'（居民）工资表-7月'!$E:$AC,25,0),0)</f>
        <v>0</v>
      </c>
      <c r="AD8" s="100">
        <f t="shared" si="2"/>
        <v>40718.69</v>
      </c>
      <c r="AE8" s="101">
        <f>ROUND(MAX((AD8)*{0.03;0.1;0.2;0.25;0.3;0.35;0.45}-{0;2520;16920;31920;52920;85920;181920},0),2)</f>
        <v>1551.87</v>
      </c>
      <c r="AF8" s="102">
        <f>IFERROR(VLOOKUP(E:E,'（居民）工资表-7月'!E:AF,28,0)+VLOOKUP(E:E,'（居民）工资表-7月'!E:AG,29,0),0)</f>
        <v>1155.15</v>
      </c>
      <c r="AG8" s="102">
        <f t="shared" si="3"/>
        <v>396.72</v>
      </c>
      <c r="AH8" s="109">
        <f t="shared" si="4"/>
        <v>13570.45</v>
      </c>
      <c r="AI8" s="110"/>
      <c r="AJ8" s="109">
        <f t="shared" si="5"/>
        <v>13570.45</v>
      </c>
      <c r="AK8" s="111"/>
      <c r="AL8" s="109">
        <f t="shared" si="6"/>
        <v>13967.17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309.52</v>
      </c>
      <c r="N9" s="76">
        <v>77.38</v>
      </c>
      <c r="O9" s="76">
        <v>11.61</v>
      </c>
      <c r="P9" s="76">
        <v>254.32</v>
      </c>
      <c r="Q9" s="96">
        <f t="shared" si="0"/>
        <v>652.83</v>
      </c>
      <c r="R9" s="78">
        <v>0</v>
      </c>
      <c r="S9" s="97">
        <f>L9+IFERROR(VLOOKUP($E:$E,'（居民）工资表-7月'!$E:$S,15,0),0)</f>
        <v>61200</v>
      </c>
      <c r="T9" s="98">
        <f>5000+IFERROR(VLOOKUP($E:$E,'（居民）工资表-7月'!$E:$T,16,0),0)</f>
        <v>25000</v>
      </c>
      <c r="U9" s="98">
        <f>Q9+IFERROR(VLOOKUP($E:$E,'（居民）工资表-7月'!$E:$U,17,0),0)</f>
        <v>2981.31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R9+IFERROR(VLOOKUP($E:$E,'（居民）工资表-7月'!$E:$AC,25,0),0)</f>
        <v>0</v>
      </c>
      <c r="AD9" s="100">
        <f t="shared" si="2"/>
        <v>33218.69</v>
      </c>
      <c r="AE9" s="101">
        <f>ROUND(MAX((AD9)*{0.03;0.1;0.2;0.25;0.3;0.35;0.45}-{0;2520;16920;31920;52920;85920;181920},0),2)</f>
        <v>996.56</v>
      </c>
      <c r="AF9" s="102">
        <f>IFERROR(VLOOKUP(E:E,'（居民）工资表-7月'!E:AF,28,0)+VLOOKUP(E:E,'（居民）工资表-7月'!E:AG,29,0),0)</f>
        <v>802.55</v>
      </c>
      <c r="AG9" s="102">
        <f t="shared" si="3"/>
        <v>194.01</v>
      </c>
      <c r="AH9" s="109">
        <f t="shared" si="4"/>
        <v>11273.16</v>
      </c>
      <c r="AI9" s="110"/>
      <c r="AJ9" s="109">
        <f t="shared" si="5"/>
        <v>11273.16</v>
      </c>
      <c r="AK9" s="111"/>
      <c r="AL9" s="109">
        <f t="shared" si="6"/>
        <v>11467.17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309.52</v>
      </c>
      <c r="N10" s="76">
        <v>77.38</v>
      </c>
      <c r="O10" s="76">
        <v>11.61</v>
      </c>
      <c r="P10" s="76">
        <v>254.32</v>
      </c>
      <c r="Q10" s="96">
        <f t="shared" si="0"/>
        <v>652.83</v>
      </c>
      <c r="R10" s="78">
        <v>0</v>
      </c>
      <c r="S10" s="97">
        <f>L10+IFERROR(VLOOKUP($E:$E,'（居民）工资表-7月'!$E:$S,15,0),0)</f>
        <v>86794.74</v>
      </c>
      <c r="T10" s="98">
        <f>5000+IFERROR(VLOOKUP($E:$E,'（居民）工资表-7月'!$E:$T,16,0),0)</f>
        <v>25000</v>
      </c>
      <c r="U10" s="98">
        <f>Q10+IFERROR(VLOOKUP($E:$E,'（居民）工资表-7月'!$E:$U,17,0),0)</f>
        <v>3563.43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R10+IFERROR(VLOOKUP($E:$E,'（居民）工资表-7月'!$E:$AC,25,0),0)</f>
        <v>0</v>
      </c>
      <c r="AD10" s="100">
        <f t="shared" si="2"/>
        <v>58231.31</v>
      </c>
      <c r="AE10" s="101">
        <f>ROUND(MAX((AD10)*{0.03;0.1;0.2;0.25;0.3;0.35;0.45}-{0;2520;16920;31920;52920;85920;181920},0),2)</f>
        <v>3303.13</v>
      </c>
      <c r="AF10" s="102">
        <f>IFERROR(VLOOKUP(E:E,'（居民）工资表-7月'!E:AF,28,0)+VLOOKUP(E:E,'（居民）工资表-7月'!E:AG,29,0),0)</f>
        <v>2156.41</v>
      </c>
      <c r="AG10" s="102">
        <f t="shared" si="3"/>
        <v>1146.72</v>
      </c>
      <c r="AH10" s="109">
        <f t="shared" si="4"/>
        <v>15320.45</v>
      </c>
      <c r="AI10" s="110"/>
      <c r="AJ10" s="109">
        <f t="shared" si="5"/>
        <v>15320.45</v>
      </c>
      <c r="AK10" s="111"/>
      <c r="AL10" s="109">
        <f t="shared" si="6"/>
        <v>16467.17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309.52</v>
      </c>
      <c r="N11" s="76">
        <v>77.38</v>
      </c>
      <c r="O11" s="76">
        <v>11.61</v>
      </c>
      <c r="P11" s="76">
        <v>254.32</v>
      </c>
      <c r="Q11" s="96">
        <f t="shared" si="0"/>
        <v>652.83</v>
      </c>
      <c r="R11" s="78">
        <v>0</v>
      </c>
      <c r="S11" s="97">
        <f>L11+IFERROR(VLOOKUP($E:$E,'（居民）工资表-7月'!$E:$S,15,0),0)</f>
        <v>89097.39</v>
      </c>
      <c r="T11" s="98">
        <f>5000+IFERROR(VLOOKUP($E:$E,'（居民）工资表-7月'!$E:$T,16,0),0)</f>
        <v>25000</v>
      </c>
      <c r="U11" s="98">
        <f>Q11+IFERROR(VLOOKUP($E:$E,'（居民）工资表-7月'!$E:$U,17,0),0)</f>
        <v>3563.43</v>
      </c>
      <c r="V11" s="78"/>
      <c r="W11" s="78">
        <v>5000</v>
      </c>
      <c r="X11" s="78"/>
      <c r="Y11" s="78">
        <v>7500</v>
      </c>
      <c r="Z11" s="78">
        <v>2000</v>
      </c>
      <c r="AA11" s="78"/>
      <c r="AB11" s="97">
        <f t="shared" si="1"/>
        <v>14500</v>
      </c>
      <c r="AC11" s="97">
        <f>R11+IFERROR(VLOOKUP($E:$E,'（居民）工资表-7月'!$E:$AC,25,0),0)</f>
        <v>0</v>
      </c>
      <c r="AD11" s="100">
        <f t="shared" si="2"/>
        <v>46033.96</v>
      </c>
      <c r="AE11" s="101">
        <f>ROUND(MAX((AD11)*{0.03;0.1;0.2;0.25;0.3;0.35;0.45}-{0;2520;16920;31920;52920;85920;181920},0),2)</f>
        <v>2083.4</v>
      </c>
      <c r="AF11" s="102">
        <f>IFERROR(VLOOKUP(E:E,'（居民）工资表-7月'!E:AF,28,0)+VLOOKUP(E:E,'（居民）工资表-7月'!E:AG,29,0),0)</f>
        <v>1096.68</v>
      </c>
      <c r="AG11" s="102">
        <f t="shared" si="3"/>
        <v>986.72</v>
      </c>
      <c r="AH11" s="109">
        <f t="shared" si="4"/>
        <v>16780.45</v>
      </c>
      <c r="AI11" s="110"/>
      <c r="AJ11" s="109">
        <f t="shared" si="5"/>
        <v>16780.45</v>
      </c>
      <c r="AK11" s="111"/>
      <c r="AL11" s="109">
        <f t="shared" si="6"/>
        <v>17767.17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309.52</v>
      </c>
      <c r="N12" s="76">
        <v>77.38</v>
      </c>
      <c r="O12" s="76">
        <v>11.61</v>
      </c>
      <c r="P12" s="76">
        <v>254.32</v>
      </c>
      <c r="Q12" s="96">
        <f t="shared" si="0"/>
        <v>652.83</v>
      </c>
      <c r="R12" s="78">
        <v>0</v>
      </c>
      <c r="S12" s="97">
        <f>L12+IFERROR(VLOOKUP($E:$E,'（居民）工资表-7月'!$E:$S,15,0),0)</f>
        <v>65932.17</v>
      </c>
      <c r="T12" s="98">
        <f>5000+IFERROR(VLOOKUP($E:$E,'（居民）工资表-7月'!$E:$T,16,0),0)</f>
        <v>25000</v>
      </c>
      <c r="U12" s="98">
        <f>Q12+IFERROR(VLOOKUP($E:$E,'（居民）工资表-7月'!$E:$U,17,0),0)</f>
        <v>3563.43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R12+IFERROR(VLOOKUP($E:$E,'（居民）工资表-7月'!$E:$AC,25,0),0)</f>
        <v>0</v>
      </c>
      <c r="AD12" s="100">
        <f t="shared" si="2"/>
        <v>37368.74</v>
      </c>
      <c r="AE12" s="101">
        <f>ROUND(MAX((AD12)*{0.03;0.1;0.2;0.25;0.3;0.35;0.45}-{0;2520;16920;31920;52920;85920;181920},0),2)</f>
        <v>1216.87</v>
      </c>
      <c r="AF12" s="102">
        <f>IFERROR(VLOOKUP(E:E,'（居民）工资表-7月'!E:AF,28,0)+VLOOKUP(E:E,'（居民）工资表-7月'!E:AG,29,0),0)</f>
        <v>882.05</v>
      </c>
      <c r="AG12" s="102">
        <f t="shared" si="3"/>
        <v>334.82</v>
      </c>
      <c r="AH12" s="109">
        <f t="shared" si="4"/>
        <v>12632.35</v>
      </c>
      <c r="AI12" s="110"/>
      <c r="AJ12" s="109">
        <f t="shared" si="5"/>
        <v>12632.35</v>
      </c>
      <c r="AK12" s="111"/>
      <c r="AL12" s="109">
        <f t="shared" si="6"/>
        <v>12967.17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309.52</v>
      </c>
      <c r="N13" s="76">
        <v>77.38</v>
      </c>
      <c r="O13" s="76">
        <v>11.61</v>
      </c>
      <c r="P13" s="76">
        <v>254.32</v>
      </c>
      <c r="Q13" s="96">
        <f t="shared" si="0"/>
        <v>652.83</v>
      </c>
      <c r="R13" s="78">
        <v>0</v>
      </c>
      <c r="S13" s="97">
        <f>L13+IFERROR(VLOOKUP($E:$E,'（居民）工资表-7月'!$E:$S,15,0),0)</f>
        <v>51200</v>
      </c>
      <c r="T13" s="98">
        <f>5000+IFERROR(VLOOKUP($E:$E,'（居民）工资表-7月'!$E:$T,16,0),0)</f>
        <v>25000</v>
      </c>
      <c r="U13" s="98">
        <f>Q13+IFERROR(VLOOKUP($E:$E,'（居民）工资表-7月'!$E:$U,17,0),0)</f>
        <v>2981.31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R13+IFERROR(VLOOKUP($E:$E,'（居民）工资表-7月'!$E:$AC,25,0),0)</f>
        <v>0</v>
      </c>
      <c r="AD13" s="100">
        <f t="shared" si="2"/>
        <v>23218.69</v>
      </c>
      <c r="AE13" s="101">
        <f>ROUND(MAX((AD13)*{0.03;0.1;0.2;0.25;0.3;0.35;0.45}-{0;2520;16920;31920;52920;85920;181920},0),2)</f>
        <v>696.56</v>
      </c>
      <c r="AF13" s="102">
        <f>IFERROR(VLOOKUP(E:E,'（居民）工资表-7月'!E:AF,28,0)+VLOOKUP(E:E,'（居民）工资表-7月'!E:AG,29,0),0)</f>
        <v>562.55</v>
      </c>
      <c r="AG13" s="102">
        <f t="shared" si="3"/>
        <v>134.01</v>
      </c>
      <c r="AH13" s="109">
        <f t="shared" si="4"/>
        <v>9333.16</v>
      </c>
      <c r="AI13" s="110"/>
      <c r="AJ13" s="109">
        <f t="shared" si="5"/>
        <v>9333.16</v>
      </c>
      <c r="AK13" s="111"/>
      <c r="AL13" s="109">
        <f t="shared" si="6"/>
        <v>9467.17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309.52</v>
      </c>
      <c r="N14" s="76">
        <v>77.38</v>
      </c>
      <c r="O14" s="76">
        <v>11.61</v>
      </c>
      <c r="P14" s="76">
        <v>254.32</v>
      </c>
      <c r="Q14" s="96">
        <f t="shared" si="0"/>
        <v>652.83</v>
      </c>
      <c r="R14" s="78">
        <v>0</v>
      </c>
      <c r="S14" s="97">
        <f>L14+IFERROR(VLOOKUP($E:$E,'（居民）工资表-7月'!$E:$S,15,0),0)</f>
        <v>66649.57</v>
      </c>
      <c r="T14" s="98">
        <f>5000+IFERROR(VLOOKUP($E:$E,'（居民）工资表-7月'!$E:$T,16,0),0)</f>
        <v>25000</v>
      </c>
      <c r="U14" s="98">
        <f>Q14+IFERROR(VLOOKUP($E:$E,'（居民）工资表-7月'!$E:$U,17,0),0)</f>
        <v>2981.31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R14+IFERROR(VLOOKUP($E:$E,'（居民）工资表-7月'!$E:$AC,25,0),0)</f>
        <v>0</v>
      </c>
      <c r="AD14" s="100">
        <f t="shared" si="2"/>
        <v>38668.26</v>
      </c>
      <c r="AE14" s="101">
        <f>ROUND(MAX((AD14)*{0.03;0.1;0.2;0.25;0.3;0.35;0.45}-{0;2520;16920;31920;52920;85920;181920},0),2)</f>
        <v>1346.83</v>
      </c>
      <c r="AF14" s="102">
        <f>IFERROR(VLOOKUP(E:E,'（居民）工资表-7月'!E:AF,28,0)+VLOOKUP(E:E,'（居民）工资表-7月'!E:AG,29,0),0)</f>
        <v>876.03</v>
      </c>
      <c r="AG14" s="102">
        <f t="shared" si="3"/>
        <v>470.8</v>
      </c>
      <c r="AH14" s="109">
        <f t="shared" si="4"/>
        <v>13996.37</v>
      </c>
      <c r="AI14" s="110"/>
      <c r="AJ14" s="109">
        <f t="shared" si="5"/>
        <v>13996.37</v>
      </c>
      <c r="AK14" s="111"/>
      <c r="AL14" s="109">
        <f t="shared" si="6"/>
        <v>14467.17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11141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L15+IFERROR(VLOOKUP($E:$E,'（居民）工资表-7月'!$E:$S,15,0),0)</f>
        <v>41694.64</v>
      </c>
      <c r="T15" s="98">
        <f>5000+IFERROR(VLOOKUP($E:$E,'（居民）工资表-7月'!$E:$T,16,0),0)</f>
        <v>20000</v>
      </c>
      <c r="U15" s="98">
        <f>Q15+IFERROR(VLOOKUP($E:$E,'（居民）工资表-7月'!$E:$U,17,0),0)</f>
        <v>2883.8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R15+IFERROR(VLOOKUP($E:$E,'（居民）工资表-7月'!$E:$AC,25,0),0)</f>
        <v>0</v>
      </c>
      <c r="AD15" s="100">
        <f t="shared" si="2"/>
        <v>18810.84</v>
      </c>
      <c r="AE15" s="101">
        <f>ROUND(MAX((AD15)*{0.03;0.1;0.2;0.25;0.3;0.35;0.45}-{0;2520;16920;31920;52920;85920;181920},0),2)</f>
        <v>564.33</v>
      </c>
      <c r="AF15" s="102">
        <f>IFERROR(VLOOKUP(E:E,'（居民）工资表-7月'!E:AF,28,0)+VLOOKUP(E:E,'（居民）工资表-7月'!E:AG,29,0),0)</f>
        <v>397.4</v>
      </c>
      <c r="AG15" s="102">
        <f t="shared" si="3"/>
        <v>166.93</v>
      </c>
      <c r="AH15" s="109">
        <f t="shared" si="4"/>
        <v>10397.31</v>
      </c>
      <c r="AI15" s="110"/>
      <c r="AJ15" s="109">
        <f t="shared" si="5"/>
        <v>10397.31</v>
      </c>
      <c r="AK15" s="111"/>
      <c r="AL15" s="109">
        <f t="shared" si="6"/>
        <v>10564.24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L16+IFERROR(VLOOKUP($E:$E,'（居民）工资表-7月'!$E:$S,15,0),0)</f>
        <v>39860</v>
      </c>
      <c r="T16" s="98">
        <f>5000+IFERROR(VLOOKUP($E:$E,'（居民）工资表-7月'!$E:$T,16,0),0)</f>
        <v>20000</v>
      </c>
      <c r="U16" s="98">
        <f>Q16+IFERROR(VLOOKUP($E:$E,'（居民）工资表-7月'!$E:$U,17,0),0)</f>
        <v>2883.8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R16+IFERROR(VLOOKUP($E:$E,'（居民）工资表-7月'!$E:$AC,25,0),0)</f>
        <v>0</v>
      </c>
      <c r="AD16" s="100">
        <f t="shared" si="2"/>
        <v>16976.2</v>
      </c>
      <c r="AE16" s="101">
        <f>ROUND(MAX((AD16)*{0.03;0.1;0.2;0.25;0.3;0.35;0.45}-{0;2520;16920;31920;52920;85920;181920},0),2)</f>
        <v>509.29</v>
      </c>
      <c r="AF16" s="102">
        <f>IFERROR(VLOOKUP(E:E,'（居民）工资表-7月'!E:AF,28,0)+VLOOKUP(E:E,'（居民）工资表-7月'!E:AG,29,0),0)</f>
        <v>342.99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11799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L17+IFERROR(VLOOKUP($E:$E,'（居民）工资表-7月'!$E:$S,15,0),0)</f>
        <v>40539</v>
      </c>
      <c r="T17" s="98">
        <f>5000+IFERROR(VLOOKUP($E:$E,'（居民）工资表-7月'!$E:$T,16,0),0)</f>
        <v>20000</v>
      </c>
      <c r="U17" s="98">
        <f>Q17+IFERROR(VLOOKUP($E:$E,'（居民）工资表-7月'!$E:$U,17,0),0)</f>
        <v>2883.8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R17+IFERROR(VLOOKUP($E:$E,'（居民）工资表-7月'!$E:$AC,25,0),0)</f>
        <v>0</v>
      </c>
      <c r="AD17" s="100">
        <f t="shared" si="2"/>
        <v>17655.2</v>
      </c>
      <c r="AE17" s="101">
        <f>ROUND(MAX((AD17)*{0.03;0.1;0.2;0.25;0.3;0.35;0.45}-{0;2520;16920;31920;52920;85920;181920},0),2)</f>
        <v>529.66</v>
      </c>
      <c r="AF17" s="102">
        <f>IFERROR(VLOOKUP(E:E,'（居民）工资表-7月'!E:AF,28,0)+VLOOKUP(E:E,'（居民）工资表-7月'!E:AG,29,0),0)</f>
        <v>342.99</v>
      </c>
      <c r="AG17" s="102">
        <f t="shared" si="3"/>
        <v>186.67</v>
      </c>
      <c r="AH17" s="109">
        <f t="shared" si="4"/>
        <v>11035.57</v>
      </c>
      <c r="AI17" s="110"/>
      <c r="AJ17" s="109">
        <f t="shared" si="5"/>
        <v>11035.57</v>
      </c>
      <c r="AK17" s="111"/>
      <c r="AL17" s="109">
        <f t="shared" si="6"/>
        <v>11222.24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54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4844</v>
      </c>
      <c r="M18" s="76">
        <v>274.4</v>
      </c>
      <c r="N18" s="76">
        <v>68.6</v>
      </c>
      <c r="O18" s="76">
        <v>17.15</v>
      </c>
      <c r="P18" s="76">
        <v>82.5</v>
      </c>
      <c r="Q18" s="96">
        <f t="shared" si="0"/>
        <v>442.65</v>
      </c>
      <c r="R18" s="78">
        <v>0</v>
      </c>
      <c r="S18" s="97">
        <f>L18+IFERROR(VLOOKUP($E:$E,'（居民）工资表-7月'!$E:$S,15,0),0)</f>
        <v>7207.63</v>
      </c>
      <c r="T18" s="98">
        <f>5000+IFERROR(VLOOKUP($E:$E,'（居民）工资表-7月'!$E:$T,16,0),0)</f>
        <v>10000</v>
      </c>
      <c r="U18" s="98">
        <f>Q18+IFERROR(VLOOKUP($E:$E,'（居民）工资表-7月'!$E:$U,17,0),0)</f>
        <v>1327.95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R18+IFERROR(VLOOKUP($E:$E,'（居民）工资表-7月'!$E:$AC,25,0),0)</f>
        <v>0</v>
      </c>
      <c r="AD18" s="100">
        <f t="shared" si="2"/>
        <v>-4120.32</v>
      </c>
      <c r="AE18" s="101">
        <f>ROUND(MAX((AD18)*{0.03;0.1;0.2;0.25;0.3;0.35;0.45}-{0;2520;16920;31920;52920;85920;181920},0),2)</f>
        <v>0</v>
      </c>
      <c r="AF18" s="102">
        <f>IFERROR(VLOOKUP(E:E,'（居民）工资表-7月'!E:AF,28,0)+VLOOKUP(E:E,'（居民）工资表-7月'!E:AG,29,0),0)</f>
        <v>0</v>
      </c>
      <c r="AG18" s="102">
        <f t="shared" si="3"/>
        <v>0</v>
      </c>
      <c r="AH18" s="109">
        <f t="shared" si="4"/>
        <v>4401.35</v>
      </c>
      <c r="AI18" s="110"/>
      <c r="AJ18" s="109">
        <f t="shared" si="5"/>
        <v>4401.35</v>
      </c>
      <c r="AK18" s="111"/>
      <c r="AL18" s="109">
        <f t="shared" si="6"/>
        <v>4401.35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2" customFormat="1" ht="18" customHeight="1" spans="1:46">
      <c r="A19" s="36">
        <v>15</v>
      </c>
      <c r="B19" s="37" t="s">
        <v>146</v>
      </c>
      <c r="C19" s="37" t="s">
        <v>192</v>
      </c>
      <c r="D19" s="37" t="s">
        <v>147</v>
      </c>
      <c r="E19" s="354" t="s">
        <v>193</v>
      </c>
      <c r="F19" s="38" t="s">
        <v>148</v>
      </c>
      <c r="G19" s="45" t="s">
        <v>194</v>
      </c>
      <c r="H19" s="40"/>
      <c r="I19" s="40"/>
      <c r="J19" s="74"/>
      <c r="K19" s="40"/>
      <c r="L19" s="78">
        <v>228.57</v>
      </c>
      <c r="M19" s="76">
        <v>228.57</v>
      </c>
      <c r="N19" s="76">
        <v>0</v>
      </c>
      <c r="O19" s="76">
        <v>0</v>
      </c>
      <c r="P19" s="76">
        <v>0</v>
      </c>
      <c r="Q19" s="96">
        <f t="shared" si="0"/>
        <v>228.57</v>
      </c>
      <c r="R19" s="78">
        <v>0</v>
      </c>
      <c r="S19" s="97">
        <f>L19+IFERROR(VLOOKUP($E:$E,'（居民）工资表-7月'!$E:$S,15,0),0)</f>
        <v>228.57</v>
      </c>
      <c r="T19" s="98">
        <f>5000+IFERROR(VLOOKUP($E:$E,'（居民）工资表-7月'!$E:$T,16,0),0)</f>
        <v>5000</v>
      </c>
      <c r="U19" s="98">
        <f>Q19+IFERROR(VLOOKUP($E:$E,'（居民）工资表-7月'!$E:$U,17,0),0)</f>
        <v>228.57</v>
      </c>
      <c r="V19" s="78"/>
      <c r="W19" s="78"/>
      <c r="X19" s="78"/>
      <c r="Y19" s="78"/>
      <c r="Z19" s="78"/>
      <c r="AA19" s="78"/>
      <c r="AB19" s="97">
        <f t="shared" si="1"/>
        <v>0</v>
      </c>
      <c r="AC19" s="97">
        <f>R19+IFERROR(VLOOKUP($E:$E,'（居民）工资表-7月'!$E:$AC,25,0),0)</f>
        <v>0</v>
      </c>
      <c r="AD19" s="100">
        <f t="shared" si="2"/>
        <v>-5000</v>
      </c>
      <c r="AE19" s="101">
        <f>ROUND(MAX((AD19)*{0.03;0.1;0.2;0.25;0.3;0.35;0.45}-{0;2520;16920;31920;52920;85920;181920},0),2)</f>
        <v>0</v>
      </c>
      <c r="AF19" s="102">
        <f>IFERROR(VLOOKUP(E:E,'（居民）工资表-7月'!E:AF,28,0)+VLOOKUP(E:E,'（居民）工资表-7月'!E:AG,29,0),0)</f>
        <v>0</v>
      </c>
      <c r="AG19" s="102">
        <f t="shared" si="3"/>
        <v>0</v>
      </c>
      <c r="AH19" s="109">
        <f t="shared" si="4"/>
        <v>0</v>
      </c>
      <c r="AI19" s="110"/>
      <c r="AJ19" s="109">
        <f t="shared" si="5"/>
        <v>0</v>
      </c>
      <c r="AK19" s="111"/>
      <c r="AL19" s="109">
        <f t="shared" si="6"/>
        <v>0</v>
      </c>
      <c r="AM19" s="111"/>
      <c r="AN19" s="111"/>
      <c r="AO19" s="111"/>
      <c r="AP19" s="111"/>
      <c r="AQ19" s="111"/>
      <c r="AR19" s="117" t="str">
        <f t="shared" si="7"/>
        <v>正确</v>
      </c>
      <c r="AS19" s="117" t="str">
        <f>IF(SUMPRODUCT(N(E$1:E$18=E19))&gt;1,"重复","不")</f>
        <v>不</v>
      </c>
      <c r="AT19" s="117" t="str">
        <f>IF(SUMPRODUCT(N(AO$1:AO$18=AO19))&gt;1,"重复","不")</f>
        <v>重复</v>
      </c>
    </row>
    <row r="20" s="13" customFormat="1" ht="18" customHeight="1" spans="1:46">
      <c r="A20" s="46"/>
      <c r="B20" s="47" t="s">
        <v>177</v>
      </c>
      <c r="C20" s="47"/>
      <c r="D20" s="48"/>
      <c r="E20" s="49"/>
      <c r="F20" s="50"/>
      <c r="G20" s="51"/>
      <c r="H20" s="50"/>
      <c r="I20" s="79"/>
      <c r="J20" s="80"/>
      <c r="K20" s="79"/>
      <c r="L20" s="81">
        <f>SUM(L4:L19)</f>
        <v>177852.57</v>
      </c>
      <c r="M20" s="81">
        <f t="shared" ref="M20:AL20" si="10">SUM(M4:M19)</f>
        <v>4880.58</v>
      </c>
      <c r="N20" s="81">
        <f t="shared" si="10"/>
        <v>1228.84</v>
      </c>
      <c r="O20" s="81">
        <f t="shared" si="10"/>
        <v>193.21</v>
      </c>
      <c r="P20" s="81">
        <f t="shared" si="10"/>
        <v>3079.06</v>
      </c>
      <c r="Q20" s="81">
        <f t="shared" si="10"/>
        <v>9381.69</v>
      </c>
      <c r="R20" s="81">
        <f t="shared" si="10"/>
        <v>0</v>
      </c>
      <c r="S20" s="81">
        <f t="shared" si="10"/>
        <v>812333.71</v>
      </c>
      <c r="T20" s="81">
        <f t="shared" si="10"/>
        <v>350000</v>
      </c>
      <c r="U20" s="81">
        <f t="shared" si="10"/>
        <v>43902.83</v>
      </c>
      <c r="V20" s="81">
        <f t="shared" si="10"/>
        <v>8000</v>
      </c>
      <c r="W20" s="81">
        <f t="shared" si="10"/>
        <v>5000</v>
      </c>
      <c r="X20" s="81">
        <f t="shared" si="10"/>
        <v>21000</v>
      </c>
      <c r="Y20" s="81">
        <f t="shared" si="10"/>
        <v>19500</v>
      </c>
      <c r="Z20" s="81">
        <f t="shared" si="10"/>
        <v>5200</v>
      </c>
      <c r="AA20" s="81">
        <f t="shared" si="10"/>
        <v>0</v>
      </c>
      <c r="AB20" s="81">
        <f t="shared" si="10"/>
        <v>58700</v>
      </c>
      <c r="AC20" s="81">
        <f t="shared" si="10"/>
        <v>0</v>
      </c>
      <c r="AD20" s="81">
        <f t="shared" si="10"/>
        <v>359730.88</v>
      </c>
      <c r="AE20" s="81">
        <f t="shared" si="10"/>
        <v>14846.35</v>
      </c>
      <c r="AF20" s="81">
        <f t="shared" si="10"/>
        <v>9624.06</v>
      </c>
      <c r="AG20" s="81">
        <f t="shared" si="10"/>
        <v>5222.29</v>
      </c>
      <c r="AH20" s="81">
        <f t="shared" si="10"/>
        <v>163248.59</v>
      </c>
      <c r="AI20" s="81">
        <f t="shared" si="10"/>
        <v>0</v>
      </c>
      <c r="AJ20" s="81">
        <f t="shared" si="10"/>
        <v>163248.59</v>
      </c>
      <c r="AK20" s="81">
        <f t="shared" si="10"/>
        <v>0</v>
      </c>
      <c r="AL20" s="81">
        <f t="shared" si="10"/>
        <v>168470.88</v>
      </c>
      <c r="AM20" s="112"/>
      <c r="AN20" s="112"/>
      <c r="AO20" s="112"/>
      <c r="AP20" s="112"/>
      <c r="AQ20" s="112"/>
      <c r="AR20" s="50"/>
      <c r="AS20" s="50"/>
      <c r="AT20" s="118"/>
    </row>
    <row r="23" spans="30:30">
      <c r="AD23" s="103"/>
    </row>
    <row r="24" ht="18.75" customHeight="1" spans="2:30">
      <c r="B24" s="52" t="s">
        <v>127</v>
      </c>
      <c r="C24" s="52" t="s">
        <v>178</v>
      </c>
      <c r="D24" s="52" t="s">
        <v>57</v>
      </c>
      <c r="E24" s="52" t="s">
        <v>58</v>
      </c>
      <c r="AD24" s="10"/>
    </row>
    <row r="25" ht="18.75" customHeight="1" spans="2:5">
      <c r="B25" s="53">
        <f>AJ20</f>
        <v>163248.59</v>
      </c>
      <c r="C25" s="53">
        <f>AG20</f>
        <v>5222.29</v>
      </c>
      <c r="D25" s="53">
        <f>AK20</f>
        <v>0</v>
      </c>
      <c r="E25" s="53">
        <f>B25+C25+D25</f>
        <v>168470.88</v>
      </c>
    </row>
    <row r="26" spans="2:5">
      <c r="B26" s="54"/>
      <c r="C26" s="54"/>
      <c r="D26" s="54"/>
      <c r="E26" s="54"/>
    </row>
    <row r="27" s="14" customFormat="1" spans="1:35">
      <c r="A27" s="55" t="s">
        <v>179</v>
      </c>
      <c r="B27" s="56" t="s">
        <v>180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9"/>
      <c r="B28" s="60" t="s">
        <v>181</v>
      </c>
      <c r="C28" s="57"/>
      <c r="D28" s="57"/>
      <c r="E28" s="57"/>
      <c r="G28" s="58"/>
      <c r="J28" s="82"/>
      <c r="M28" s="83"/>
      <c r="AI28" s="113"/>
    </row>
    <row r="29" s="14" customFormat="1" spans="1:35">
      <c r="A29" s="56"/>
      <c r="B29" s="60" t="s">
        <v>182</v>
      </c>
      <c r="C29" s="61"/>
      <c r="D29" s="61"/>
      <c r="E29" s="61"/>
      <c r="F29" s="61"/>
      <c r="G29" s="61"/>
      <c r="H29" s="61"/>
      <c r="I29" s="61"/>
      <c r="J29" s="84"/>
      <c r="K29" s="61"/>
      <c r="L29" s="61"/>
      <c r="M29" s="85"/>
      <c r="N29" s="61"/>
      <c r="O29" s="61"/>
      <c r="P29" s="61"/>
      <c r="AI29" s="113"/>
    </row>
    <row r="30" s="14" customFormat="1" customHeight="1" spans="1:35">
      <c r="A30" s="60"/>
      <c r="B30" s="60" t="s">
        <v>183</v>
      </c>
      <c r="C30" s="62"/>
      <c r="D30" s="62"/>
      <c r="E30" s="62"/>
      <c r="F30" s="62"/>
      <c r="G30" s="62"/>
      <c r="H30" s="62"/>
      <c r="I30" s="86"/>
      <c r="J30" s="87"/>
      <c r="K30" s="86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184</v>
      </c>
      <c r="C31" s="62"/>
      <c r="D31" s="62"/>
      <c r="E31" s="62"/>
      <c r="F31" s="62"/>
      <c r="G31" s="62"/>
      <c r="H31" s="62"/>
      <c r="I31" s="62"/>
      <c r="J31" s="89"/>
      <c r="K31" s="62"/>
      <c r="L31" s="86"/>
      <c r="M31" s="88"/>
      <c r="N31" s="86"/>
      <c r="O31" s="86"/>
      <c r="P31" s="86"/>
      <c r="AI31" s="113"/>
    </row>
    <row r="32" s="14" customFormat="1" customHeight="1" spans="1:35">
      <c r="A32" s="60"/>
      <c r="B32" s="60" t="s">
        <v>185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4" ht="11.25" customHeight="1" spans="2:2">
      <c r="B34" s="63" t="s">
        <v>186</v>
      </c>
    </row>
    <row r="35" spans="2:2">
      <c r="B35" s="64" t="s">
        <v>187</v>
      </c>
    </row>
    <row r="36" spans="2:2">
      <c r="B36" s="64" t="s">
        <v>188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283.84</v>
      </c>
      <c r="N4" s="76">
        <v>66</v>
      </c>
      <c r="O4" s="76">
        <v>10.64</v>
      </c>
      <c r="P4" s="76">
        <v>180</v>
      </c>
      <c r="Q4" s="96">
        <f t="shared" ref="Q4:Q11" si="0">ROUND(SUM(M4:P4),2)</f>
        <v>540.48</v>
      </c>
      <c r="R4" s="78">
        <v>0</v>
      </c>
      <c r="S4" s="97">
        <f>L4+IFERROR(VLOOKUP($E:$E,'（居民）工资表-8月'!$E:$S,15,0),0)</f>
        <v>63390</v>
      </c>
      <c r="T4" s="98">
        <f>5000+IFERROR(VLOOKUP($E:$E,'（居民）工资表-8月'!$E:$T,16,0),0)</f>
        <v>30000</v>
      </c>
      <c r="U4" s="98">
        <f>Q4+IFERROR(VLOOKUP($E:$E,'（居民）工资表-8月'!$E:$U,17,0),0)</f>
        <v>3304.62</v>
      </c>
      <c r="V4" s="78">
        <v>9000</v>
      </c>
      <c r="X4" s="78"/>
      <c r="Y4" s="78">
        <v>9000</v>
      </c>
      <c r="Z4" s="78">
        <v>3600</v>
      </c>
      <c r="AA4" s="78"/>
      <c r="AB4" s="97">
        <f t="shared" ref="AB4:AB11" si="1">ROUND(SUM(V4:AA4),2)</f>
        <v>21600</v>
      </c>
      <c r="AC4" s="97">
        <f>R4+IFERROR(VLOOKUP($E:$E,'（居民）工资表-8月'!$E:$AC,25,0),0)</f>
        <v>0</v>
      </c>
      <c r="AD4" s="100">
        <f t="shared" ref="AD4:AD11" si="2">ROUND(S4-T4-U4-AB4-AC4,2)</f>
        <v>8485.38</v>
      </c>
      <c r="AE4" s="101">
        <f>ROUND(MAX((AD4)*{0.03;0.1;0.2;0.25;0.3;0.35;0.45}-{0;2520;16920;31920;52920;85920;181920},0),2)</f>
        <v>254.56</v>
      </c>
      <c r="AF4" s="102">
        <f>IFERROR(VLOOKUP(E:E,'（居民）工资表-8月'!E:AF,28,0)+VLOOKUP(E:E,'（居民）工资表-8月'!E:AG,29,0),0)</f>
        <v>175.98</v>
      </c>
      <c r="AG4" s="102">
        <f>AE4-AF4</f>
        <v>78.58</v>
      </c>
      <c r="AH4" s="109">
        <f t="shared" ref="AH4:AH11" si="3">ROUND(IF((L4-Q4-AG4)&lt;0,0,(L4-Q4-AG4)),2)</f>
        <v>9940.94</v>
      </c>
      <c r="AI4" s="110"/>
      <c r="AJ4" s="109">
        <f t="shared" ref="AJ4:AJ11" si="4">AH4+AI4</f>
        <v>9940.94</v>
      </c>
      <c r="AK4" s="111"/>
      <c r="AL4" s="109">
        <f t="shared" ref="AL4:AL11" si="5">AJ4+AG4+AK4</f>
        <v>10019.52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L5+IFERROR(VLOOKUP($E:$E,'（居民）工资表-8月'!$E:$S,15,0),0)</f>
        <v>42000</v>
      </c>
      <c r="T5" s="98">
        <f>5000+IFERROR(VLOOKUP($E:$E,'（居民）工资表-8月'!$E:$T,16,0),0)</f>
        <v>30000</v>
      </c>
      <c r="U5" s="98">
        <f>Q5+IFERROR(VLOOKUP($E:$E,'（居民）工资表-8月'!$E:$U,17,0),0)</f>
        <v>2639.7</v>
      </c>
      <c r="V5" s="78"/>
      <c r="W5" s="78"/>
      <c r="X5" s="78"/>
      <c r="Y5" s="78"/>
      <c r="Z5" s="78"/>
      <c r="AA5" s="78"/>
      <c r="AB5" s="97">
        <f t="shared" si="1"/>
        <v>0</v>
      </c>
      <c r="AC5" s="97">
        <f>R5+IFERROR(VLOOKUP($E:$E,'（居民）工资表-8月'!$E:$AC,25,0),0)</f>
        <v>0</v>
      </c>
      <c r="AD5" s="100">
        <f t="shared" si="2"/>
        <v>9360.3</v>
      </c>
      <c r="AE5" s="101">
        <f>ROUND(MAX((AD5)*{0.03;0.1;0.2;0.25;0.3;0.35;0.45}-{0;2520;16920;31920;52920;85920;181920},0),2)</f>
        <v>280.81</v>
      </c>
      <c r="AF5" s="102">
        <f>IFERROR(VLOOKUP(E:E,'（居民）工资表-8月'!E:AF,28,0)+VLOOKUP(E:E,'（居民）工资表-8月'!E:AG,29,0),0)</f>
        <v>0</v>
      </c>
      <c r="AG5" s="102">
        <f t="shared" ref="AG5:AG11" si="6">AE5-AF5</f>
        <v>280.81</v>
      </c>
      <c r="AH5" s="109">
        <f t="shared" si="3"/>
        <v>6286.24</v>
      </c>
      <c r="AI5" s="110"/>
      <c r="AJ5" s="109">
        <f t="shared" si="4"/>
        <v>6286.24</v>
      </c>
      <c r="AK5" s="111"/>
      <c r="AL5" s="109">
        <f t="shared" si="5"/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7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144.28</v>
      </c>
      <c r="O6" s="76">
        <v>4.6</v>
      </c>
      <c r="P6" s="76">
        <v>115</v>
      </c>
      <c r="Q6" s="96">
        <f t="shared" si="0"/>
        <v>630.92</v>
      </c>
      <c r="R6" s="78">
        <v>0</v>
      </c>
      <c r="S6" s="97">
        <f>L6+IFERROR(VLOOKUP($E:$E,'（居民）工资表-8月'!$E:$S,15,0),0)</f>
        <v>34200</v>
      </c>
      <c r="T6" s="98">
        <f>5000+IFERROR(VLOOKUP($E:$E,'（居民）工资表-8月'!$E:$T,16,0),0)</f>
        <v>30000</v>
      </c>
      <c r="U6" s="98">
        <f>Q6+IFERROR(VLOOKUP($E:$E,'（居民）工资表-8月'!$E:$U,17,0),0)</f>
        <v>3758.1</v>
      </c>
      <c r="V6" s="78"/>
      <c r="W6" s="78"/>
      <c r="X6" s="78"/>
      <c r="Y6" s="78"/>
      <c r="Z6" s="78"/>
      <c r="AA6" s="78"/>
      <c r="AB6" s="97">
        <f t="shared" si="1"/>
        <v>0</v>
      </c>
      <c r="AC6" s="97">
        <f>R6+IFERROR(VLOOKUP($E:$E,'（居民）工资表-8月'!$E:$AC,25,0),0)</f>
        <v>0</v>
      </c>
      <c r="AD6" s="100">
        <f t="shared" si="2"/>
        <v>441.9</v>
      </c>
      <c r="AE6" s="101">
        <f>ROUND(MAX((AD6)*{0.03;0.1;0.2;0.25;0.3;0.35;0.45}-{0;2520;16920;31920;52920;85920;181920},0),2)</f>
        <v>13.26</v>
      </c>
      <c r="AF6" s="102">
        <f>IFERROR(VLOOKUP(E:E,'（居民）工资表-8月'!E:AF,28,0)+VLOOKUP(E:E,'（居民）工资表-8月'!E:AG,29,0),0)</f>
        <v>0</v>
      </c>
      <c r="AG6" s="102">
        <f t="shared" si="6"/>
        <v>13.26</v>
      </c>
      <c r="AH6" s="109">
        <f t="shared" si="3"/>
        <v>5055.82</v>
      </c>
      <c r="AI6" s="110"/>
      <c r="AJ6" s="109">
        <f t="shared" si="4"/>
        <v>5055.82</v>
      </c>
      <c r="AK6" s="111"/>
      <c r="AL6" s="109">
        <f t="shared" si="5"/>
        <v>5069.08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9" customHeight="1" spans="1:46">
      <c r="A7" s="36">
        <v>4</v>
      </c>
      <c r="B7" s="37" t="s">
        <v>146</v>
      </c>
      <c r="C7" s="37" t="s">
        <v>189</v>
      </c>
      <c r="D7" s="37" t="s">
        <v>147</v>
      </c>
      <c r="E7" s="354" t="s">
        <v>190</v>
      </c>
      <c r="F7" s="38" t="s">
        <v>148</v>
      </c>
      <c r="G7" s="45" t="s">
        <v>191</v>
      </c>
      <c r="H7" s="40"/>
      <c r="I7" s="40"/>
      <c r="J7" s="74"/>
      <c r="K7" s="40"/>
      <c r="L7" s="78">
        <v>4069.57</v>
      </c>
      <c r="M7" s="76">
        <v>0</v>
      </c>
      <c r="N7" s="76">
        <v>0</v>
      </c>
      <c r="O7" s="76">
        <v>0</v>
      </c>
      <c r="P7" s="76">
        <v>0</v>
      </c>
      <c r="Q7" s="96">
        <f t="shared" si="0"/>
        <v>0</v>
      </c>
      <c r="R7" s="78">
        <v>0</v>
      </c>
      <c r="S7" s="97">
        <f>L7+IFERROR(VLOOKUP($E:$E,'（居民）工资表-8月'!$E:$S,15,0),0)</f>
        <v>11277.2</v>
      </c>
      <c r="T7" s="98">
        <f>5000+IFERROR(VLOOKUP($E:$E,'（居民）工资表-8月'!$E:$T,16,0),0)</f>
        <v>15000</v>
      </c>
      <c r="U7" s="98">
        <f>Q7+IFERROR(VLOOKUP($E:$E,'（居民）工资表-8月'!$E:$U,17,0),0)</f>
        <v>1327.95</v>
      </c>
      <c r="V7" s="78"/>
      <c r="W7" s="78"/>
      <c r="X7" s="78"/>
      <c r="Y7" s="78"/>
      <c r="Z7" s="78"/>
      <c r="AA7" s="78"/>
      <c r="AB7" s="97">
        <f t="shared" si="1"/>
        <v>0</v>
      </c>
      <c r="AC7" s="97">
        <f>R7+IFERROR(VLOOKUP($E:$E,'（居民）工资表-8月'!$E:$AC,25,0),0)</f>
        <v>0</v>
      </c>
      <c r="AD7" s="100">
        <f t="shared" si="2"/>
        <v>-5050.75</v>
      </c>
      <c r="AE7" s="101">
        <f>ROUND(MAX((AD7)*{0.03;0.1;0.2;0.25;0.3;0.35;0.45}-{0;2520;16920;31920;52920;85920;181920},0),2)</f>
        <v>0</v>
      </c>
      <c r="AF7" s="102">
        <f>IFERROR(VLOOKUP(E:E,'（居民）工资表-8月'!E:AF,28,0)+VLOOKUP(E:E,'（居民）工资表-8月'!E:AG,29,0),0)</f>
        <v>0</v>
      </c>
      <c r="AG7" s="102">
        <f t="shared" si="6"/>
        <v>0</v>
      </c>
      <c r="AH7" s="109">
        <f t="shared" si="3"/>
        <v>4069.57</v>
      </c>
      <c r="AI7" s="110"/>
      <c r="AJ7" s="109">
        <f t="shared" si="4"/>
        <v>4069.57</v>
      </c>
      <c r="AK7" s="111"/>
      <c r="AL7" s="109">
        <f t="shared" si="5"/>
        <v>4069.57</v>
      </c>
      <c r="AM7" s="111"/>
      <c r="AN7" s="111"/>
      <c r="AO7" s="111"/>
      <c r="AP7" s="111"/>
      <c r="AQ7" s="111"/>
      <c r="AR7" s="117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9" customHeight="1" spans="1:46">
      <c r="A8" s="36">
        <v>5</v>
      </c>
      <c r="B8" s="37" t="s">
        <v>146</v>
      </c>
      <c r="C8" s="37" t="s">
        <v>192</v>
      </c>
      <c r="D8" s="37" t="s">
        <v>147</v>
      </c>
      <c r="E8" s="354" t="s">
        <v>193</v>
      </c>
      <c r="F8" s="38" t="s">
        <v>148</v>
      </c>
      <c r="G8" s="45" t="s">
        <v>194</v>
      </c>
      <c r="H8" s="40"/>
      <c r="I8" s="40"/>
      <c r="J8" s="74"/>
      <c r="K8" s="40"/>
      <c r="L8" s="78">
        <v>4142.27</v>
      </c>
      <c r="M8" s="76">
        <v>274.4</v>
      </c>
      <c r="N8" s="76">
        <v>76.6</v>
      </c>
      <c r="O8" s="76">
        <v>17.15</v>
      </c>
      <c r="P8" s="76">
        <v>75</v>
      </c>
      <c r="Q8" s="96">
        <f t="shared" si="0"/>
        <v>443.15</v>
      </c>
      <c r="R8" s="78">
        <v>0</v>
      </c>
      <c r="S8" s="97">
        <f>L8+IFERROR(VLOOKUP($E:$E,'（居民）工资表-8月'!$E:$S,15,0),0)</f>
        <v>4370.84</v>
      </c>
      <c r="T8" s="98">
        <f>5000+IFERROR(VLOOKUP($E:$E,'（居民）工资表-8月'!$E:$T,16,0),0)</f>
        <v>10000</v>
      </c>
      <c r="U8" s="98">
        <f>Q8+IFERROR(VLOOKUP($E:$E,'（居民）工资表-8月'!$E:$U,17,0),0)</f>
        <v>671.72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R8+IFERROR(VLOOKUP($E:$E,'（居民）工资表-8月'!$E:$AC,25,0),0)</f>
        <v>0</v>
      </c>
      <c r="AD8" s="100">
        <f t="shared" si="2"/>
        <v>-6300.88</v>
      </c>
      <c r="AE8" s="101">
        <f>ROUND(MAX((AD8)*{0.03;0.1;0.2;0.25;0.3;0.35;0.45}-{0;2520;16920;31920;52920;85920;181920},0),2)</f>
        <v>0</v>
      </c>
      <c r="AF8" s="102">
        <f>IFERROR(VLOOKUP(E:E,'（居民）工资表-8月'!E:AF,28,0)+VLOOKUP(E:E,'（居民）工资表-8月'!E:AG,29,0),0)</f>
        <v>0</v>
      </c>
      <c r="AG8" s="102">
        <f t="shared" si="6"/>
        <v>0</v>
      </c>
      <c r="AH8" s="109">
        <f t="shared" si="3"/>
        <v>3699.12</v>
      </c>
      <c r="AI8" s="110"/>
      <c r="AJ8" s="109">
        <f t="shared" si="4"/>
        <v>3699.12</v>
      </c>
      <c r="AK8" s="111"/>
      <c r="AL8" s="109">
        <f t="shared" si="5"/>
        <v>3699.12</v>
      </c>
      <c r="AM8" s="111"/>
      <c r="AN8" s="111"/>
      <c r="AO8" s="111"/>
      <c r="AP8" s="111"/>
      <c r="AQ8" s="111"/>
      <c r="AR8" s="117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2" customFormat="1" ht="19" customHeight="1" spans="1:46">
      <c r="A9" s="36">
        <v>6</v>
      </c>
      <c r="B9" s="37" t="s">
        <v>146</v>
      </c>
      <c r="C9" s="37" t="s">
        <v>195</v>
      </c>
      <c r="D9" s="37" t="s">
        <v>147</v>
      </c>
      <c r="E9" s="354" t="s">
        <v>196</v>
      </c>
      <c r="F9" s="38" t="s">
        <v>148</v>
      </c>
      <c r="G9" s="45">
        <v>19356875630</v>
      </c>
      <c r="H9" s="40"/>
      <c r="I9" s="40"/>
      <c r="J9" s="74"/>
      <c r="K9" s="40"/>
      <c r="L9" s="78">
        <v>4973.92</v>
      </c>
      <c r="M9" s="76">
        <v>823.2</v>
      </c>
      <c r="N9" s="76">
        <v>223.8</v>
      </c>
      <c r="O9" s="76">
        <v>51.45</v>
      </c>
      <c r="P9" s="76">
        <v>510</v>
      </c>
      <c r="Q9" s="96">
        <f t="shared" si="0"/>
        <v>1608.45</v>
      </c>
      <c r="R9" s="78">
        <v>0</v>
      </c>
      <c r="S9" s="97">
        <f>L9+IFERROR(VLOOKUP($E:$E,'（居民）工资表-8月'!$E:$S,15,0),0)</f>
        <v>4973.92</v>
      </c>
      <c r="T9" s="98">
        <f>5000+IFERROR(VLOOKUP($E:$E,'（居民）工资表-8月'!$E:$T,16,0),0)</f>
        <v>5000</v>
      </c>
      <c r="U9" s="98">
        <f>Q9+IFERROR(VLOOKUP($E:$E,'（居民）工资表-8月'!$E:$U,17,0),0)</f>
        <v>1608.45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R9+IFERROR(VLOOKUP($E:$E,'（居民）工资表-8月'!$E:$AC,25,0),0)</f>
        <v>0</v>
      </c>
      <c r="AD9" s="100">
        <f t="shared" si="2"/>
        <v>-1634.53</v>
      </c>
      <c r="AE9" s="101">
        <f>ROUND(MAX((AD9)*{0.03;0.1;0.2;0.25;0.3;0.35;0.45}-{0;2520;16920;31920;52920;85920;181920},0),2)</f>
        <v>0</v>
      </c>
      <c r="AF9" s="102">
        <f>IFERROR(VLOOKUP(E:E,'（居民）工资表-8月'!E:AF,28,0)+VLOOKUP(E:E,'（居民）工资表-8月'!E:AG,29,0),0)</f>
        <v>0</v>
      </c>
      <c r="AG9" s="102">
        <f t="shared" si="6"/>
        <v>0</v>
      </c>
      <c r="AH9" s="109">
        <f t="shared" si="3"/>
        <v>3365.47</v>
      </c>
      <c r="AI9" s="110"/>
      <c r="AJ9" s="109">
        <f t="shared" si="4"/>
        <v>3365.47</v>
      </c>
      <c r="AK9" s="111"/>
      <c r="AL9" s="109">
        <f t="shared" si="5"/>
        <v>3365.47</v>
      </c>
      <c r="AM9" s="111"/>
      <c r="AN9" s="111"/>
      <c r="AO9" s="111"/>
      <c r="AP9" s="111"/>
      <c r="AQ9" s="111"/>
      <c r="AR9" s="117"/>
      <c r="AS9" s="117"/>
      <c r="AT9" s="117"/>
    </row>
    <row r="10" s="12" customFormat="1" ht="19" customHeight="1" spans="1:46">
      <c r="A10" s="36">
        <v>7</v>
      </c>
      <c r="B10" s="37" t="s">
        <v>146</v>
      </c>
      <c r="C10" s="37" t="s">
        <v>197</v>
      </c>
      <c r="D10" s="37" t="s">
        <v>147</v>
      </c>
      <c r="E10" s="354" t="s">
        <v>198</v>
      </c>
      <c r="F10" s="38" t="s">
        <v>148</v>
      </c>
      <c r="G10" s="45">
        <v>13973652684</v>
      </c>
      <c r="H10" s="40"/>
      <c r="I10" s="40"/>
      <c r="J10" s="74"/>
      <c r="K10" s="40"/>
      <c r="L10" s="78">
        <v>3617.39</v>
      </c>
      <c r="M10" s="76">
        <v>576.64</v>
      </c>
      <c r="N10" s="76">
        <v>147.04</v>
      </c>
      <c r="O10" s="76">
        <v>21.62</v>
      </c>
      <c r="P10" s="76">
        <v>200</v>
      </c>
      <c r="Q10" s="96">
        <f t="shared" si="0"/>
        <v>945.3</v>
      </c>
      <c r="R10" s="78">
        <v>0</v>
      </c>
      <c r="S10" s="97">
        <f>L10+IFERROR(VLOOKUP($E:$E,'（居民）工资表-8月'!$E:$S,15,0),0)</f>
        <v>3617.39</v>
      </c>
      <c r="T10" s="98">
        <f>5000+IFERROR(VLOOKUP($E:$E,'（居民）工资表-8月'!$E:$T,16,0),0)</f>
        <v>5000</v>
      </c>
      <c r="U10" s="98">
        <f>Q10+IFERROR(VLOOKUP($E:$E,'（居民）工资表-8月'!$E:$U,17,0),0)</f>
        <v>945.3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R10+IFERROR(VLOOKUP($E:$E,'（居民）工资表-8月'!$E:$AC,25,0),0)</f>
        <v>0</v>
      </c>
      <c r="AD10" s="100">
        <f t="shared" si="2"/>
        <v>-2327.91</v>
      </c>
      <c r="AE10" s="101">
        <f>ROUND(MAX((AD10)*{0.03;0.1;0.2;0.25;0.3;0.35;0.45}-{0;2520;16920;31920;52920;85920;181920},0),2)</f>
        <v>0</v>
      </c>
      <c r="AF10" s="102">
        <f>IFERROR(VLOOKUP(E:E,'（居民）工资表-8月'!E:AF,28,0)+VLOOKUP(E:E,'（居民）工资表-8月'!E:AG,29,0),0)</f>
        <v>0</v>
      </c>
      <c r="AG10" s="102">
        <f t="shared" si="6"/>
        <v>0</v>
      </c>
      <c r="AH10" s="109">
        <f t="shared" si="3"/>
        <v>2672.09</v>
      </c>
      <c r="AI10" s="110"/>
      <c r="AJ10" s="109">
        <f t="shared" si="4"/>
        <v>2672.09</v>
      </c>
      <c r="AK10" s="111"/>
      <c r="AL10" s="109">
        <f t="shared" si="5"/>
        <v>2672.09</v>
      </c>
      <c r="AM10" s="111"/>
      <c r="AN10" s="111"/>
      <c r="AO10" s="111"/>
      <c r="AP10" s="111"/>
      <c r="AQ10" s="111"/>
      <c r="AR10" s="117"/>
      <c r="AS10" s="117"/>
      <c r="AT10" s="117"/>
    </row>
    <row r="11" s="12" customFormat="1" ht="19" customHeight="1" spans="1:46">
      <c r="A11" s="36">
        <v>8</v>
      </c>
      <c r="B11" s="37" t="s">
        <v>146</v>
      </c>
      <c r="C11" s="37" t="s">
        <v>199</v>
      </c>
      <c r="D11" s="37" t="s">
        <v>147</v>
      </c>
      <c r="E11" s="354" t="s">
        <v>200</v>
      </c>
      <c r="F11" s="38" t="s">
        <v>148</v>
      </c>
      <c r="G11" s="45" t="s">
        <v>201</v>
      </c>
      <c r="H11" s="40"/>
      <c r="I11" s="40"/>
      <c r="J11" s="74"/>
      <c r="K11" s="40"/>
      <c r="L11" s="78">
        <v>19565.22</v>
      </c>
      <c r="M11" s="76">
        <v>1043.2</v>
      </c>
      <c r="N11" s="76">
        <v>260.8</v>
      </c>
      <c r="O11" s="76">
        <v>65.2</v>
      </c>
      <c r="P11" s="76">
        <v>362.6</v>
      </c>
      <c r="Q11" s="96">
        <f t="shared" si="0"/>
        <v>1731.8</v>
      </c>
      <c r="R11" s="78">
        <v>0</v>
      </c>
      <c r="S11" s="97">
        <f>L11+IFERROR(VLOOKUP($E:$E,'（居民）工资表-8月'!$E:$S,15,0),0)</f>
        <v>19565.22</v>
      </c>
      <c r="T11" s="98">
        <f>5000+IFERROR(VLOOKUP($E:$E,'（居民）工资表-8月'!$E:$T,16,0),0)</f>
        <v>5000</v>
      </c>
      <c r="U11" s="98">
        <f>Q11+IFERROR(VLOOKUP($E:$E,'（居民）工资表-8月'!$E:$U,17,0),0)</f>
        <v>1731.8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R11+IFERROR(VLOOKUP($E:$E,'（居民）工资表-8月'!$E:$AC,25,0),0)</f>
        <v>0</v>
      </c>
      <c r="AD11" s="100">
        <f t="shared" si="2"/>
        <v>12833.42</v>
      </c>
      <c r="AE11" s="101">
        <f>ROUND(MAX((AD11)*{0.03;0.1;0.2;0.25;0.3;0.35;0.45}-{0;2520;16920;31920;52920;85920;181920},0),2)</f>
        <v>385</v>
      </c>
      <c r="AF11" s="102">
        <f>IFERROR(VLOOKUP(E:E,'（居民）工资表-8月'!E:AF,28,0)+VLOOKUP(E:E,'（居民）工资表-8月'!E:AG,29,0),0)</f>
        <v>0</v>
      </c>
      <c r="AG11" s="102">
        <f t="shared" si="6"/>
        <v>385</v>
      </c>
      <c r="AH11" s="109">
        <f t="shared" si="3"/>
        <v>17448.42</v>
      </c>
      <c r="AI11" s="110"/>
      <c r="AJ11" s="109">
        <f t="shared" si="4"/>
        <v>17448.42</v>
      </c>
      <c r="AK11" s="111"/>
      <c r="AL11" s="109">
        <f t="shared" si="5"/>
        <v>17833.42</v>
      </c>
      <c r="AM11" s="111"/>
      <c r="AN11" s="111"/>
      <c r="AO11" s="111"/>
      <c r="AP11" s="111"/>
      <c r="AQ11" s="111"/>
      <c r="AR11" s="117"/>
      <c r="AS11" s="117"/>
      <c r="AT11" s="117"/>
    </row>
    <row r="12" s="12" customFormat="1" ht="19" customHeight="1" spans="1:46">
      <c r="A12" s="36"/>
      <c r="B12" s="37"/>
      <c r="C12" s="37"/>
      <c r="D12" s="37"/>
      <c r="E12" s="37"/>
      <c r="F12" s="38"/>
      <c r="G12" s="45"/>
      <c r="H12" s="40"/>
      <c r="I12" s="40"/>
      <c r="J12" s="74"/>
      <c r="K12" s="40"/>
      <c r="L12" s="78"/>
      <c r="M12" s="76"/>
      <c r="N12" s="76"/>
      <c r="O12" s="76"/>
      <c r="P12" s="76"/>
      <c r="Q12" s="96"/>
      <c r="R12" s="78"/>
      <c r="S12" s="97"/>
      <c r="T12" s="98"/>
      <c r="U12" s="98"/>
      <c r="V12" s="78"/>
      <c r="W12" s="78"/>
      <c r="X12" s="78"/>
      <c r="Y12" s="78"/>
      <c r="Z12" s="78"/>
      <c r="AA12" s="78"/>
      <c r="AB12" s="97"/>
      <c r="AC12" s="97"/>
      <c r="AD12" s="100"/>
      <c r="AE12" s="101"/>
      <c r="AF12" s="102"/>
      <c r="AG12" s="102"/>
      <c r="AH12" s="109"/>
      <c r="AI12" s="110"/>
      <c r="AJ12" s="109"/>
      <c r="AK12" s="111"/>
      <c r="AL12" s="109"/>
      <c r="AM12" s="111"/>
      <c r="AN12" s="111"/>
      <c r="AO12" s="111"/>
      <c r="AP12" s="111"/>
      <c r="AQ12" s="111"/>
      <c r="AR12" s="117"/>
      <c r="AS12" s="117"/>
      <c r="AT12" s="117"/>
    </row>
    <row r="13" s="13" customFormat="1" ht="19" customHeight="1" spans="1:46">
      <c r="A13" s="46"/>
      <c r="B13" s="47" t="s">
        <v>177</v>
      </c>
      <c r="C13" s="47"/>
      <c r="D13" s="48"/>
      <c r="E13" s="49"/>
      <c r="F13" s="50"/>
      <c r="G13" s="51"/>
      <c r="H13" s="50"/>
      <c r="I13" s="79"/>
      <c r="J13" s="80"/>
      <c r="K13" s="79"/>
      <c r="L13" s="81">
        <f>SUM(L4:L12)</f>
        <v>59628.37</v>
      </c>
      <c r="M13" s="81">
        <f t="shared" ref="M13:AL13" si="7">SUM(M4:M12)</f>
        <v>3637.13</v>
      </c>
      <c r="N13" s="81">
        <f t="shared" si="7"/>
        <v>990.58</v>
      </c>
      <c r="O13" s="81">
        <f t="shared" si="7"/>
        <v>180.74</v>
      </c>
      <c r="P13" s="81">
        <f t="shared" si="7"/>
        <v>1524.6</v>
      </c>
      <c r="Q13" s="81">
        <f t="shared" si="7"/>
        <v>6333.05</v>
      </c>
      <c r="R13" s="81">
        <f t="shared" si="7"/>
        <v>0</v>
      </c>
      <c r="S13" s="81">
        <f t="shared" si="7"/>
        <v>183394.57</v>
      </c>
      <c r="T13" s="81">
        <f t="shared" si="7"/>
        <v>130000</v>
      </c>
      <c r="U13" s="81">
        <f t="shared" si="7"/>
        <v>15987.64</v>
      </c>
      <c r="V13" s="81">
        <f t="shared" si="7"/>
        <v>9000</v>
      </c>
      <c r="W13" s="81">
        <f t="shared" si="7"/>
        <v>0</v>
      </c>
      <c r="X13" s="81">
        <f t="shared" si="7"/>
        <v>0</v>
      </c>
      <c r="Y13" s="81">
        <f t="shared" si="7"/>
        <v>9000</v>
      </c>
      <c r="Z13" s="81">
        <f t="shared" si="7"/>
        <v>3600</v>
      </c>
      <c r="AA13" s="81">
        <f t="shared" si="7"/>
        <v>0</v>
      </c>
      <c r="AB13" s="81">
        <f t="shared" si="7"/>
        <v>21600</v>
      </c>
      <c r="AC13" s="81">
        <f t="shared" si="7"/>
        <v>0</v>
      </c>
      <c r="AD13" s="81">
        <f t="shared" si="7"/>
        <v>15806.93</v>
      </c>
      <c r="AE13" s="81">
        <f t="shared" si="7"/>
        <v>933.63</v>
      </c>
      <c r="AF13" s="81">
        <f t="shared" si="7"/>
        <v>175.98</v>
      </c>
      <c r="AG13" s="81">
        <f t="shared" si="7"/>
        <v>757.65</v>
      </c>
      <c r="AH13" s="81">
        <f t="shared" si="7"/>
        <v>52537.67</v>
      </c>
      <c r="AI13" s="81">
        <f t="shared" si="7"/>
        <v>0</v>
      </c>
      <c r="AJ13" s="81">
        <f t="shared" si="7"/>
        <v>52537.67</v>
      </c>
      <c r="AK13" s="81">
        <f t="shared" si="7"/>
        <v>0</v>
      </c>
      <c r="AL13" s="81">
        <f t="shared" si="7"/>
        <v>53295.32</v>
      </c>
      <c r="AM13" s="112"/>
      <c r="AN13" s="112"/>
      <c r="AO13" s="112"/>
      <c r="AP13" s="112"/>
      <c r="AQ13" s="112"/>
      <c r="AR13" s="50"/>
      <c r="AS13" s="50"/>
      <c r="AT13" s="118"/>
    </row>
    <row r="14" ht="19" customHeight="1"/>
    <row r="15" ht="19" customHeight="1"/>
    <row r="16" ht="19" customHeight="1" spans="30:30">
      <c r="AD16" s="103"/>
    </row>
    <row r="17" ht="19" customHeight="1" spans="2:30">
      <c r="B17" s="52" t="s">
        <v>127</v>
      </c>
      <c r="C17" s="52" t="s">
        <v>178</v>
      </c>
      <c r="D17" s="52" t="s">
        <v>57</v>
      </c>
      <c r="E17" s="52" t="s">
        <v>58</v>
      </c>
      <c r="AD17" s="10"/>
    </row>
    <row r="18" ht="19" customHeight="1" spans="2:5">
      <c r="B18" s="53">
        <f>AJ13</f>
        <v>52537.67</v>
      </c>
      <c r="C18" s="53">
        <f>AG13</f>
        <v>757.65</v>
      </c>
      <c r="D18" s="53">
        <f>AK13</f>
        <v>0</v>
      </c>
      <c r="E18" s="53">
        <f>B18+C18+D18</f>
        <v>53295.32</v>
      </c>
    </row>
    <row r="19" ht="19" customHeight="1" spans="2:5">
      <c r="B19" s="54"/>
      <c r="C19" s="54"/>
      <c r="D19" s="54"/>
      <c r="E19" s="54"/>
    </row>
    <row r="20" s="14" customFormat="1" ht="19" customHeight="1" spans="1:35">
      <c r="A20" s="55" t="s">
        <v>179</v>
      </c>
      <c r="B20" s="56" t="s">
        <v>180</v>
      </c>
      <c r="C20" s="57"/>
      <c r="D20" s="57"/>
      <c r="E20" s="57"/>
      <c r="G20" s="58"/>
      <c r="J20" s="82"/>
      <c r="M20" s="83"/>
      <c r="AI20" s="113"/>
    </row>
    <row r="21" s="14" customFormat="1" ht="19" customHeight="1" spans="1:35">
      <c r="A21" s="59"/>
      <c r="B21" s="60" t="s">
        <v>181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6"/>
      <c r="B22" s="60" t="s">
        <v>182</v>
      </c>
      <c r="C22" s="61"/>
      <c r="D22" s="61"/>
      <c r="E22" s="61"/>
      <c r="F22" s="61"/>
      <c r="G22" s="61"/>
      <c r="H22" s="61"/>
      <c r="I22" s="61"/>
      <c r="J22" s="84"/>
      <c r="K22" s="61"/>
      <c r="L22" s="61"/>
      <c r="M22" s="85"/>
      <c r="N22" s="61"/>
      <c r="O22" s="61"/>
      <c r="P22" s="61"/>
      <c r="AI22" s="113"/>
    </row>
    <row r="23" s="14" customFormat="1" customHeight="1" spans="1:35">
      <c r="A23" s="60"/>
      <c r="B23" s="60" t="s">
        <v>183</v>
      </c>
      <c r="C23" s="62"/>
      <c r="D23" s="62"/>
      <c r="E23" s="62"/>
      <c r="F23" s="62"/>
      <c r="G23" s="62"/>
      <c r="H23" s="62"/>
      <c r="I23" s="86"/>
      <c r="J23" s="87"/>
      <c r="K23" s="86"/>
      <c r="L23" s="86"/>
      <c r="M23" s="88"/>
      <c r="N23" s="86"/>
      <c r="O23" s="86"/>
      <c r="P23" s="86"/>
      <c r="AI23" s="113"/>
    </row>
    <row r="24" s="14" customFormat="1" customHeight="1" spans="1:35">
      <c r="A24" s="60"/>
      <c r="B24" s="60" t="s">
        <v>184</v>
      </c>
      <c r="C24" s="62"/>
      <c r="D24" s="62"/>
      <c r="E24" s="62"/>
      <c r="F24" s="62"/>
      <c r="G24" s="62"/>
      <c r="H24" s="62"/>
      <c r="I24" s="62"/>
      <c r="J24" s="89"/>
      <c r="K24" s="62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185</v>
      </c>
      <c r="C25" s="62"/>
      <c r="D25" s="62"/>
      <c r="E25" s="62"/>
      <c r="F25" s="62"/>
      <c r="G25" s="62"/>
      <c r="H25" s="62"/>
      <c r="I25" s="86"/>
      <c r="J25" s="87"/>
      <c r="K25" s="86"/>
      <c r="L25" s="86"/>
      <c r="M25" s="88"/>
      <c r="N25" s="86"/>
      <c r="O25" s="86"/>
      <c r="P25" s="86"/>
      <c r="AI25" s="113"/>
    </row>
    <row r="27" ht="11.25" customHeight="1" spans="2:2">
      <c r="B27" s="63" t="s">
        <v>186</v>
      </c>
    </row>
    <row r="28" spans="2:2">
      <c r="B28" s="64" t="s">
        <v>187</v>
      </c>
    </row>
    <row r="29" spans="2:2">
      <c r="B29" s="64" t="s">
        <v>188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L4+IFERROR(VLOOKUP($E:$E,'（居民）工资表-9月'!$E:$S,15,0),0)</f>
        <v>13980</v>
      </c>
      <c r="T4" s="98">
        <f>5000+IFERROR(VLOOKUP($E:$E,'（居民）工资表-9月'!$E:$T,16,0),0)</f>
        <v>5000</v>
      </c>
      <c r="U4" s="98">
        <f>Q4+IFERROR(VLOOKUP($E:$E,'（居民）工资表-9月'!$E:$U,17,0),0)</f>
        <v>1353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R4+IFERROR(VLOOKUP($E:$E,'（居民）工资表-9月'!$E:$AC,25,0),0)</f>
        <v>0</v>
      </c>
      <c r="AD4" s="100">
        <f>ROUND(S4-T4-U4-AB4-AC4,2)</f>
        <v>7627</v>
      </c>
      <c r="AE4" s="101">
        <f>ROUND(MAX((AD4)*{0.03;0.1;0.2;0.25;0.3;0.35;0.45}-{0;2520;16920;31920;52920;85920;181920},0),2)</f>
        <v>228.81</v>
      </c>
      <c r="AF4" s="102">
        <f>IFERROR(VLOOKUP(E:E,'（居民）工资表-9月'!E:AF,28,0)+VLOOKUP(E:E,'（居民）工资表-9月'!E:AG,29,0),0)</f>
        <v>0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13980</v>
      </c>
      <c r="T5" s="81">
        <f t="shared" si="0"/>
        <v>5000</v>
      </c>
      <c r="U5" s="81">
        <f t="shared" si="0"/>
        <v>1353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7627</v>
      </c>
      <c r="AE5" s="81">
        <f t="shared" si="0"/>
        <v>228.81</v>
      </c>
      <c r="AF5" s="81">
        <f t="shared" si="0"/>
        <v>0</v>
      </c>
      <c r="AG5" s="81">
        <f t="shared" si="0"/>
        <v>228.81</v>
      </c>
      <c r="AH5" s="81">
        <f t="shared" si="0"/>
        <v>12398.19</v>
      </c>
      <c r="AI5" s="81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"/>
  <sheetViews>
    <sheetView topLeftCell="J1" workbookViewId="0">
      <selection activeCell="L3" sqref="L3"/>
    </sheetView>
  </sheetViews>
  <sheetFormatPr defaultColWidth="9" defaultRowHeight="12" outlineLevelRow="2"/>
  <cols>
    <col min="1" max="1" width="4.875" style="141" hidden="1" customWidth="1"/>
    <col min="2" max="2" width="10.75" style="141" hidden="1" customWidth="1"/>
    <col min="3" max="3" width="10.625" style="141" hidden="1" customWidth="1"/>
    <col min="4" max="4" width="13.375" style="141" hidden="1" customWidth="1"/>
    <col min="5" max="5" width="9.625" style="141" hidden="1" customWidth="1"/>
    <col min="6" max="6" width="9.125" style="141" hidden="1" customWidth="1"/>
    <col min="7" max="7" width="7.875" style="141" hidden="1" customWidth="1"/>
    <col min="8" max="9" width="5" style="141" hidden="1" customWidth="1"/>
    <col min="10" max="10" width="8" style="141" customWidth="1"/>
    <col min="11" max="11" width="20.5" style="141" customWidth="1"/>
    <col min="12" max="12" width="11.625" style="141" customWidth="1"/>
    <col min="13" max="13" width="6.625" style="141" customWidth="1"/>
    <col min="14" max="14" width="5.875" style="141" customWidth="1"/>
    <col min="15" max="15" width="5.625" style="141" customWidth="1"/>
    <col min="16" max="16" width="7.625" style="141" customWidth="1"/>
    <col min="17" max="17" width="9.75" style="141" customWidth="1"/>
    <col min="18" max="18" width="6.625" style="141" customWidth="1"/>
    <col min="19" max="19" width="9.875" style="141" customWidth="1"/>
    <col min="20" max="20" width="7.875" style="141" customWidth="1"/>
    <col min="21" max="21" width="10.5" style="141" customWidth="1"/>
    <col min="22" max="22" width="7.875" style="141" customWidth="1"/>
    <col min="23" max="23" width="8" style="141" customWidth="1"/>
    <col min="24" max="24" width="7.125" style="141" customWidth="1"/>
    <col min="25" max="25" width="7.375" style="141" customWidth="1"/>
    <col min="26" max="26" width="7.5" style="141" customWidth="1"/>
    <col min="27" max="27" width="9.75" style="141" customWidth="1"/>
    <col min="28" max="28" width="12.75" style="141" customWidth="1"/>
    <col min="29" max="29" width="10" style="141" customWidth="1"/>
    <col min="30" max="30" width="9" style="141"/>
    <col min="31" max="31" width="15" style="141" customWidth="1"/>
    <col min="32" max="32" width="19.625" style="141" customWidth="1"/>
    <col min="33" max="33" width="9.375" style="141" customWidth="1"/>
    <col min="34" max="34" width="12.375" style="141" customWidth="1"/>
    <col min="35" max="35" width="9" style="141"/>
    <col min="36" max="36" width="12.25" style="141" customWidth="1"/>
    <col min="37" max="37" width="18.5" style="141" customWidth="1"/>
    <col min="38" max="38" width="14.25" style="141" customWidth="1"/>
    <col min="39" max="39" width="11.5" style="141" customWidth="1"/>
    <col min="40" max="40" width="13.875" style="141" customWidth="1"/>
    <col min="41" max="41" width="13.625" style="141" customWidth="1"/>
    <col min="42" max="16384" width="9" style="141"/>
  </cols>
  <sheetData>
    <row r="1" s="139" customFormat="1" ht="16.5" customHeight="1" spans="1:41">
      <c r="A1" s="142" t="s">
        <v>18</v>
      </c>
      <c r="B1" s="142" t="s">
        <v>205</v>
      </c>
      <c r="C1" s="143" t="s">
        <v>39</v>
      </c>
      <c r="D1" s="142" t="s">
        <v>206</v>
      </c>
      <c r="E1" s="142" t="s">
        <v>207</v>
      </c>
      <c r="F1" s="144" t="s">
        <v>36</v>
      </c>
      <c r="G1" s="142" t="s">
        <v>208</v>
      </c>
      <c r="H1" s="142" t="s">
        <v>38</v>
      </c>
      <c r="I1" s="142" t="s">
        <v>209</v>
      </c>
      <c r="J1" s="144" t="s">
        <v>40</v>
      </c>
      <c r="K1" s="144" t="s">
        <v>210</v>
      </c>
      <c r="L1" s="144" t="s">
        <v>211</v>
      </c>
      <c r="M1" s="144" t="s">
        <v>212</v>
      </c>
      <c r="N1" s="144" t="s">
        <v>213</v>
      </c>
      <c r="O1" s="144" t="s">
        <v>214</v>
      </c>
      <c r="P1" s="144" t="s">
        <v>215</v>
      </c>
      <c r="Q1" s="144" t="s">
        <v>216</v>
      </c>
      <c r="R1" s="144" t="s">
        <v>217</v>
      </c>
      <c r="S1" s="153" t="s">
        <v>218</v>
      </c>
      <c r="T1" s="154" t="s">
        <v>219</v>
      </c>
      <c r="U1" s="154"/>
      <c r="V1" s="154"/>
      <c r="W1" s="154"/>
      <c r="X1" s="154"/>
      <c r="Y1" s="154"/>
      <c r="Z1" s="153" t="s">
        <v>220</v>
      </c>
      <c r="AA1" s="159" t="s">
        <v>221</v>
      </c>
      <c r="AB1" s="159"/>
      <c r="AC1" s="159"/>
      <c r="AD1" s="142" t="s">
        <v>222</v>
      </c>
      <c r="AE1" s="142" t="s">
        <v>223</v>
      </c>
      <c r="AF1" s="142" t="s">
        <v>224</v>
      </c>
      <c r="AG1" s="142" t="s">
        <v>225</v>
      </c>
      <c r="AH1" s="142" t="s">
        <v>226</v>
      </c>
      <c r="AI1" s="142" t="s">
        <v>227</v>
      </c>
      <c r="AJ1" s="142" t="s">
        <v>23</v>
      </c>
      <c r="AK1" s="161" t="s">
        <v>228</v>
      </c>
      <c r="AL1" s="162" t="s">
        <v>229</v>
      </c>
      <c r="AM1" s="162" t="s">
        <v>230</v>
      </c>
      <c r="AN1" s="163" t="s">
        <v>231</v>
      </c>
      <c r="AO1" s="163" t="s">
        <v>232</v>
      </c>
    </row>
    <row r="2" s="140" customFormat="1" ht="28.5" customHeight="1" spans="1:41">
      <c r="A2" s="145"/>
      <c r="B2" s="145"/>
      <c r="C2" s="143"/>
      <c r="D2" s="145"/>
      <c r="E2" s="145"/>
      <c r="F2" s="146"/>
      <c r="G2" s="147"/>
      <c r="H2" s="148"/>
      <c r="I2" s="148"/>
      <c r="J2" s="149"/>
      <c r="K2" s="149"/>
      <c r="L2" s="149"/>
      <c r="M2" s="149"/>
      <c r="N2" s="146"/>
      <c r="O2" s="146"/>
      <c r="P2" s="146"/>
      <c r="Q2" s="146"/>
      <c r="R2" s="146"/>
      <c r="S2" s="155"/>
      <c r="T2" s="154" t="s">
        <v>233</v>
      </c>
      <c r="U2" s="154" t="s">
        <v>234</v>
      </c>
      <c r="V2" s="154" t="s">
        <v>235</v>
      </c>
      <c r="W2" s="154" t="s">
        <v>236</v>
      </c>
      <c r="X2" s="154" t="s">
        <v>237</v>
      </c>
      <c r="Y2" s="154" t="s">
        <v>238</v>
      </c>
      <c r="Z2" s="155"/>
      <c r="AA2" s="154" t="s">
        <v>239</v>
      </c>
      <c r="AB2" s="154" t="s">
        <v>240</v>
      </c>
      <c r="AC2" s="154" t="s">
        <v>241</v>
      </c>
      <c r="AD2" s="145"/>
      <c r="AE2" s="145"/>
      <c r="AF2" s="145"/>
      <c r="AG2" s="145"/>
      <c r="AH2" s="145"/>
      <c r="AI2" s="145"/>
      <c r="AJ2" s="145"/>
      <c r="AK2" s="161"/>
      <c r="AL2" s="162"/>
      <c r="AM2" s="162"/>
      <c r="AN2" s="163"/>
      <c r="AO2" s="164"/>
    </row>
    <row r="3" s="141" customFormat="1" ht="14.25" spans="6:29">
      <c r="F3" s="141" t="s">
        <v>242</v>
      </c>
      <c r="J3" s="150" t="s">
        <v>192</v>
      </c>
      <c r="K3" s="355" t="s">
        <v>193</v>
      </c>
      <c r="L3" s="151" t="s">
        <v>194</v>
      </c>
      <c r="N3" s="141" t="s">
        <v>243</v>
      </c>
      <c r="O3" s="141" t="s">
        <v>244</v>
      </c>
      <c r="P3" s="152" t="s">
        <v>245</v>
      </c>
      <c r="Q3" s="156">
        <v>44765</v>
      </c>
      <c r="R3" s="141" t="s">
        <v>243</v>
      </c>
      <c r="S3" s="157" t="s">
        <v>246</v>
      </c>
      <c r="T3" s="141">
        <v>202208</v>
      </c>
      <c r="U3" s="158">
        <v>3430</v>
      </c>
      <c r="V3" s="158">
        <v>3430</v>
      </c>
      <c r="W3" s="158">
        <v>3430</v>
      </c>
      <c r="X3" s="158">
        <v>3430</v>
      </c>
      <c r="Z3" s="141" t="s">
        <v>246</v>
      </c>
      <c r="AA3" s="141">
        <v>202208</v>
      </c>
      <c r="AB3" s="160">
        <v>0.1</v>
      </c>
      <c r="AC3" s="158">
        <v>1700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dataValidations count="3">
    <dataValidation type="list" allowBlank="1" showInputMessage="1" showErrorMessage="1" sqref="P3">
      <formula1>"本地城镇,本地农村,外地城镇,外地农村"</formula1>
    </dataValidation>
    <dataValidation type="list" allowBlank="1" showInputMessage="1" showErrorMessage="1" sqref="S3 Z3">
      <formula1>"新参,调入"</formula1>
    </dataValidation>
    <dataValidation type="list" allowBlank="1" showInputMessage="1" showErrorMessage="1" sqref="H3:H64365">
      <formula1>#REF!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L4+IFERROR(VLOOKUP($E:$E,'（居民）工资表-10月'!$E:$S,15,0),0)</f>
        <v>27960</v>
      </c>
      <c r="T4" s="98">
        <f>5000+IFERROR(VLOOKUP($E:$E,'（居民）工资表-10月'!$E:$T,16,0),0)</f>
        <v>10000</v>
      </c>
      <c r="U4" s="98">
        <f>Q4+IFERROR(VLOOKUP($E:$E,'（居民）工资表-10月'!$E:$U,17,0),0)</f>
        <v>2706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R4+IFERROR(VLOOKUP($E:$E,'（居民）工资表-10月'!$E:$AC,25,0),0)</f>
        <v>0</v>
      </c>
      <c r="AD4" s="100">
        <f>ROUND(S4-T4-U4-AB4-AC4,2)</f>
        <v>15254</v>
      </c>
      <c r="AE4" s="101">
        <f>ROUND(MAX((AD4)*{0.03;0.1;0.2;0.25;0.3;0.35;0.45}-{0;2520;16920;31920;52920;85920;181920},0),2)</f>
        <v>457.62</v>
      </c>
      <c r="AF4" s="102">
        <f>IFERROR(VLOOKUP(E:E,'（居民）工资表-10月'!E:AF,28,0)+VLOOKUP(E:E,'（居民）工资表-10月'!E:AG,29,0),0)</f>
        <v>228.81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27960</v>
      </c>
      <c r="T5" s="81">
        <f t="shared" si="0"/>
        <v>10000</v>
      </c>
      <c r="U5" s="81">
        <f t="shared" si="0"/>
        <v>2706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15254</v>
      </c>
      <c r="AE5" s="81">
        <f t="shared" si="0"/>
        <v>457.62</v>
      </c>
      <c r="AF5" s="81">
        <f t="shared" si="0"/>
        <v>228.81</v>
      </c>
      <c r="AG5" s="81">
        <f t="shared" si="0"/>
        <v>228.81</v>
      </c>
      <c r="AH5" s="81">
        <f t="shared" si="0"/>
        <v>12398.19</v>
      </c>
      <c r="AI5" s="81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增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2023-02-27T07:43:17Z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2052-11.1.0.12980</vt:lpwstr>
  </property>
  <property fmtid="{D5CDD505-2E9C-101B-9397-08002B2CF9AE}" pid="4" name="ICV">
    <vt:lpwstr>F1A0CCEBD7C744A79DDECDEDB8F0F4BC</vt:lpwstr>
  </property>
  <property fmtid="{D5CDD505-2E9C-101B-9397-08002B2CF9AE}" pid="5" name="KSOReadingLayout">
    <vt:bool>true</vt:bool>
  </property>
</Properties>
</file>