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609" firstSheet="1" activeTab="1"/>
  </bookViews>
  <sheets>
    <sheet name="社保" sheetId="27" state="hidden" r:id="rId1"/>
    <sheet name="付款通知" sheetId="26" r:id="rId2"/>
    <sheet name="社保1" sheetId="28" r:id="rId3"/>
    <sheet name="（居民）工资表-7月" sheetId="20" state="hidden" r:id="rId4"/>
    <sheet name="（居民）工资表-5月" sheetId="18" state="hidden" r:id="rId5"/>
    <sheet name="（居民）工资表-6月" sheetId="19" state="hidden" r:id="rId6"/>
    <sheet name="（居民）工资表-8月" sheetId="21" state="hidden" r:id="rId7"/>
    <sheet name="（居民）工资表-9月" sheetId="22" state="hidden" r:id="rId8"/>
    <sheet name="（居民）工资表-10月" sheetId="23" r:id="rId9"/>
    <sheet name="（居民）工资表-11月" sheetId="24" state="hidden" r:id="rId10"/>
    <sheet name="（居民）工资表-1月" sheetId="1" state="hidden" r:id="rId11"/>
    <sheet name="（居民）工资表-12月" sheetId="25" state="hidden" r:id="rId12"/>
    <sheet name="（居民）工资表-2月" sheetId="15" state="hidden" r:id="rId13"/>
    <sheet name="（居民）工资表-3月" sheetId="16" state="hidden" r:id="rId14"/>
    <sheet name="（居民）工资表-4月" sheetId="17" state="hidden" r:id="rId15"/>
    <sheet name="Sheet1" sheetId="14" state="hidden" r:id="rId16"/>
  </sheets>
  <definedNames>
    <definedName name="_xlnm._FilterDatabase" localSheetId="3" hidden="1">'（居民）工资表-7月'!$A$3:$AL$20</definedName>
    <definedName name="_xlnm._FilterDatabase" localSheetId="4" hidden="1">'（居民）工资表-5月'!$A$3:$AT$20</definedName>
    <definedName name="_xlnm._FilterDatabase" localSheetId="7" hidden="1">'（居民）工资表-9月'!$A$3:$AT$21</definedName>
    <definedName name="_xlnm._FilterDatabase" localSheetId="8" hidden="1">'（居民）工资表-10月'!$A$3:$AT$21</definedName>
    <definedName name="_xlnm._FilterDatabase" localSheetId="9" hidden="1">'（居民）工资表-11月'!$A$3:$AT$13</definedName>
    <definedName name="_xlnm._FilterDatabase" localSheetId="11" hidden="1">'（居民）工资表-12月'!$A$3:$AT$17</definedName>
    <definedName name="_xlnm._FilterDatabase" localSheetId="12" hidden="1">'（居民）工资表-2月'!$A$3:$AT$22</definedName>
    <definedName name="_xlnm._FilterDatabase" localSheetId="13" hidden="1">'（居民）工资表-3月'!$A$3:$AT$21</definedName>
    <definedName name="_xlnm._FilterDatabase" localSheetId="14" hidden="1">'（居民）工资表-4月'!$A$3:$AT$20</definedName>
    <definedName name="_xlnm._FilterDatabase" localSheetId="6" hidden="1">'（居民）工资表-8月'!$A$3:$AV$20</definedName>
    <definedName name="_xlnm._FilterDatabase" localSheetId="5" hidden="1">'（居民）工资表-6月'!$A$3:$AV$18</definedName>
    <definedName name="_xlnm._FilterDatabase" localSheetId="10" hidden="1">'（居民）工资表-1月'!$A$3:$AV$20</definedName>
    <definedName name="_xlnm._FilterDatabase" localSheetId="2" hidden="1">社保1!$A$2:$BH$24</definedName>
    <definedName name="_xlnm.Print_Area" localSheetId="8">'（居民）工资表-10月'!$A$1:$AT$27</definedName>
    <definedName name="_xlnm.Print_Area" localSheetId="9">'（居民）工资表-11月'!$A$1:$AT$19</definedName>
    <definedName name="_xlnm.Print_Area" localSheetId="11">'（居民）工资表-12月'!$A$1:$AT$23</definedName>
    <definedName name="_xlnm.Print_Area" localSheetId="10">'（居民）工资表-1月'!$A$1:$AT$26</definedName>
    <definedName name="_xlnm.Print_Area" localSheetId="12">'（居民）工资表-2月'!$A$1:$AT$27</definedName>
    <definedName name="_xlnm.Print_Area" localSheetId="13">'（居民）工资表-3月'!$A$1:$AT$27</definedName>
    <definedName name="_xlnm.Print_Area" localSheetId="14">'（居民）工资表-4月'!$A$1:$AT$26</definedName>
    <definedName name="_xlnm.Print_Area" localSheetId="4">'（居民）工资表-5月'!$A$1:$AT$26</definedName>
    <definedName name="_xlnm.Print_Area" localSheetId="5">'（居民）工资表-6月'!$A$1:$AT$26</definedName>
    <definedName name="_xlnm.Print_Area" localSheetId="3">'（居民）工资表-7月'!$A$1:$AL$26</definedName>
    <definedName name="_xlnm.Print_Area" localSheetId="6">'（居民）工资表-8月'!$A$1:$AT$26</definedName>
    <definedName name="_xlnm.Print_Area" localSheetId="7">'（居民）工资表-9月'!$A$1:$AT$27</definedName>
  </definedNames>
  <calcPr calcId="144525"/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<sst xmlns="http://schemas.openxmlformats.org/spreadsheetml/2006/main" count="2584" uniqueCount="263">
  <si>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</si>
  <si>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</si>
  <si>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</si>
  <si>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</si>
  <si>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</si>
  <si>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</si>
  <si>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</si>
  <si>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</si>
  <si>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</si>
  <si>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</si>
  <si>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</si>
  <si>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</si>
  <si>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</si>
  <si>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</si>
  <si>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</si>
  <si>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</si>
  <si>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</si>
  <si>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</si>
  <si>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</si>
  <si>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</si>
  <si>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</si>
  <si>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</si>
  <si>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</si>
  <si>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</si>
  <si>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</si>
  <si>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</si>
  <si>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</si>
  <si>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</si>
  <si>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</si>
  <si>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</si>
  <si>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</si>
  <si>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</si>
  <si>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</si>
  <si>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</si>
  <si>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</si>
  <si>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</si>
  <si>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</si>
  <si>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</si>
  <si>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</si>
  <si>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</si>
  <si>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</si>
  <si>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</si>
  <si>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</si>
  <si>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</si>
  <si>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</si>
  <si>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</si>
  <si>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</si>
  <si>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</si>
  <si>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</si>
  <si>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</si>
  <si>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</si>
  <si>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</si>
  <si>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</si>
  <si>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</si>
  <si>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</si>
  <si>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</si>
  <si>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</si>
  <si>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</si>
  <si>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</si>
  <si>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</si>
  <si>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</si>
  <si>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</si>
  <si>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</si>
  <si>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</si>
  <si>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</si>
  <si>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</si>
  <si>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</si>
  <si>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</si>
  <si>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</si>
  <si>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根据贵公司与我公司所签订的服务协议，请贵公司在2023年10月2日之前按照下列表格内容支付相关款项.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</si>
  <si>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</si>
  <si>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</si>
  <si>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</si>
  <si>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</si>
  <si>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</si>
  <si>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</si>
  <si>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</si>
  <si>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</si>
  <si>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</si>
  <si>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</si>
  <si>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</si>
  <si>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</si>
  <si>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</si>
  <si>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</si>
  <si>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</si>
  <si>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</si>
  <si>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</si>
  <si>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</si>
  <si>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</si>
  <si>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</si>
  <si>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</si>
  <si>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</si>
  <si>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</si>
  <si>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</si>
  <si>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</si>
  <si>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</si>
  <si>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</si>
  <si>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</si>
  <si>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</si>
  <si>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>残障金</t>
  </si>
  <si>
    <t>202310</t>
  </si>
  <si>
    <t>梁敏霞</t>
  </si>
  <si>
    <t>440883199611084547</t>
  </si>
  <si>
    <t>202110</t>
  </si>
  <si>
    <t>上海</t>
  </si>
  <si>
    <t>冯玉</t>
  </si>
  <si>
    <t>370724197703022770</t>
  </si>
  <si>
    <t>202208</t>
  </si>
  <si>
    <t>蚌埠</t>
  </si>
  <si>
    <t>徐明龙</t>
  </si>
  <si>
    <t>340311199902251816</t>
  </si>
  <si>
    <t>202311</t>
  </si>
  <si>
    <t>根据安徽省人力资源和社会保障厅《关于发布2023年社会保险缴费基数上下限的通知》文件精神，现发布我省2023年社会保险缴费基数上下限并就有关工作通知如下：
一、我省2022年全口径城镇单位就业人员平均工资为6698.08元/月，以此核定2023年全省社会保险个人缴费基数上限为20094元/月，下限为4019元/月。
二、执行时间为2023年1月1日至12月31日</t>
  </si>
  <si>
    <t>周阳阳</t>
  </si>
  <si>
    <t>34031119950415085X</t>
  </si>
  <si>
    <t>202301</t>
  </si>
  <si>
    <t>阜阳</t>
  </si>
  <si>
    <t>陈佳文</t>
  </si>
  <si>
    <t>34122719960403561X</t>
  </si>
  <si>
    <t>任志伟</t>
  </si>
  <si>
    <t>341221199109161530</t>
  </si>
  <si>
    <t>杨旭</t>
  </si>
  <si>
    <t>341202199607081913</t>
  </si>
  <si>
    <t>芜湖</t>
  </si>
  <si>
    <t>朱必丰</t>
  </si>
  <si>
    <t>64222319950423161X</t>
  </si>
  <si>
    <t>汤祥文</t>
  </si>
  <si>
    <t>340222198505126017</t>
  </si>
  <si>
    <t>202301-202310</t>
  </si>
  <si>
    <t>补收基数差</t>
  </si>
  <si>
    <t>常德</t>
  </si>
  <si>
    <t>龙治旺</t>
  </si>
  <si>
    <t>43070219881009051X</t>
  </si>
  <si>
    <t>关于2023年度湖南省医疗保险缴费基数上下限调整通知
一、主要内容：
1、缴费基准值：2023年度全省职工基本医疗保险和生育保险月缴费基准值为6284元/月
2、缴费基数上下限：2023年度全省职工基本医疗保险和生育保险月缴费基数的上限为18852元/月（即6284*300%）,下限为3770元/月（即6284*60%）
三              3、调整时间：2023年9月1日
       4、政策依据：湘医保发〔2023〕42 号 《关于确定2023年度全省职工基本医疗保险和生育保险月缴费基准值的通知》   
       5、涉及地区：长沙、常德、益阳、邵阳、郴州、娄底、湘西州、永州、张家界、岳阳、湘潭、株洲、衡阳、怀化</t>
  </si>
  <si>
    <t>202309-202310</t>
  </si>
  <si>
    <t>重庆</t>
  </si>
  <si>
    <t>谭江月</t>
  </si>
  <si>
    <t>500228199607193387</t>
  </si>
  <si>
    <t>天津</t>
  </si>
  <si>
    <t>孙海娟</t>
  </si>
  <si>
    <t>150428198211155123</t>
  </si>
  <si>
    <t>202211</t>
  </si>
  <si>
    <t>益阳</t>
  </si>
  <si>
    <t>杨文</t>
  </si>
  <si>
    <t>430902198512287016</t>
  </si>
  <si>
    <t>补收基数差、比例差</t>
  </si>
  <si>
    <t>合肥</t>
  </si>
  <si>
    <t>张莉</t>
  </si>
  <si>
    <t>340122198910212909</t>
  </si>
  <si>
    <t>202305</t>
  </si>
  <si>
    <t>202305-202310</t>
  </si>
  <si>
    <t>武汉</t>
  </si>
  <si>
    <t>周兆平</t>
  </si>
  <si>
    <t>420625199902250033</t>
  </si>
  <si>
    <t>202306</t>
  </si>
  <si>
    <t>目前武汉五险2023年年度新基数已出具，上下限为4224-21120，医保自9月起按照新基数执行，医保不补差，养老三险自7月起按照新基数执行</t>
  </si>
  <si>
    <t>202307-202309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</si>
  <si>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</si>
  <si>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</si>
  <si>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</si>
  <si>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</si>
  <si>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</si>
  <si>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</si>
  <si>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</si>
  <si>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</si>
  <si>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</si>
  <si>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</si>
  <si>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</si>
  <si>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</si>
  <si>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</si>
  <si>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</si>
  <si>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</si>
  <si>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</si>
  <si>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</si>
  <si>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</si>
  <si>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</si>
  <si>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</si>
  <si>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</si>
  <si>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</si>
  <si>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</si>
  <si>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</si>
  <si>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</si>
  <si>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</si>
  <si>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</si>
  <si>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</si>
  <si>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</si>
  <si>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</si>
  <si>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</si>
  <si>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</si>
  <si>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</si>
  <si>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</si>
  <si>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</si>
  <si>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</si>
  <si>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</si>
  <si>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</si>
  <si>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</si>
  <si>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</si>
  <si>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</si>
  <si>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</si>
  <si>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</si>
  <si>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女</t>
  </si>
  <si>
    <t>13564614685</t>
  </si>
  <si>
    <t>傲云</t>
  </si>
  <si>
    <t>15255242118</t>
  </si>
  <si>
    <t>长沙</t>
  </si>
  <si>
    <t>18297976577</t>
  </si>
  <si>
    <t>重庆外商</t>
  </si>
  <si>
    <t>13875812115</t>
  </si>
  <si>
    <t>天津易铭天</t>
  </si>
  <si>
    <t>18409625963</t>
  </si>
  <si>
    <t>武汉乾通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</si>
  <si>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</si>
  <si>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</si>
  <si>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</si>
  <si>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</si>
  <si>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</si>
  <si>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</si>
  <si>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</si>
  <si>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</si>
  <si>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</si>
  <si>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</si>
  <si>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</si>
  <si>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</si>
  <si>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</si>
  <si>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</si>
  <si>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</si>
  <si>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</si>
  <si>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</si>
  <si>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</si>
  <si>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</si>
  <si>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</si>
  <si>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涂志伟</t>
  </si>
  <si>
    <t>南昌</t>
  </si>
  <si>
    <t>36010419751104107X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</si>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</sst>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xr9="http://schemas.microsoft.com/office/spreadsheetml/2016/revision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0.00;[Red]0.00"/>
    <numFmt numFmtId="183" formatCode="&quot;$&quot;0_ "/>
    <numFmt numFmtId="184" formatCode="&quot;$&quot;#,##0_ ;[Red]\-&quot;$&quot;#,##0_ "/>
    <numFmt numFmtId="185" formatCode="General\ &quot;年&quot;"/>
    <numFmt numFmtId="186" formatCode="0.00_);\(0.00\)"/>
  </numFmts>
  <fonts count="1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1" borderId="45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46" applyNumberFormat="0" applyFill="0" applyAlignment="0" applyProtection="0">
      <alignment vertical="center"/>
    </xf>
    <xf numFmtId="0" fontId="86" fillId="0" borderId="46" applyNumberFormat="0" applyFill="0" applyAlignment="0" applyProtection="0">
      <alignment vertical="center"/>
    </xf>
    <xf numFmtId="0" fontId="87" fillId="0" borderId="47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12" borderId="48" applyNumberFormat="0" applyAlignment="0" applyProtection="0">
      <alignment vertical="center"/>
    </xf>
    <xf numFmtId="0" fontId="89" fillId="13" borderId="49" applyNumberFormat="0" applyAlignment="0" applyProtection="0">
      <alignment vertical="center"/>
    </xf>
    <xf numFmtId="0" fontId="90" fillId="13" borderId="48" applyNumberFormat="0" applyAlignment="0" applyProtection="0">
      <alignment vertical="center"/>
    </xf>
    <xf numFmtId="0" fontId="91" fillId="14" borderId="50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8" fillId="19" borderId="0" applyNumberFormat="0" applyBorder="0" applyAlignment="0" applyProtection="0">
      <alignment vertical="center"/>
    </xf>
    <xf numFmtId="0" fontId="98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8" fillId="2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26" borderId="0" applyNumberFormat="0" applyBorder="0" applyAlignment="0" applyProtection="0">
      <alignment vertical="center"/>
    </xf>
    <xf numFmtId="0" fontId="98" fillId="27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8" fillId="31" borderId="0" applyNumberFormat="0" applyBorder="0" applyAlignment="0" applyProtection="0">
      <alignment vertical="center"/>
    </xf>
    <xf numFmtId="0" fontId="98" fillId="32" borderId="0" applyNumberFormat="0" applyBorder="0" applyAlignment="0" applyProtection="0">
      <alignment vertical="center"/>
    </xf>
    <xf numFmtId="0" fontId="97" fillId="33" borderId="0" applyNumberFormat="0" applyBorder="0" applyAlignment="0" applyProtection="0">
      <alignment vertical="center"/>
    </xf>
    <xf numFmtId="0" fontId="97" fillId="34" borderId="0" applyNumberFormat="0" applyBorder="0" applyAlignment="0" applyProtection="0">
      <alignment vertical="center"/>
    </xf>
    <xf numFmtId="0" fontId="98" fillId="35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7" fillId="36" borderId="0" applyNumberFormat="0" applyBorder="0" applyAlignment="0" applyProtection="0">
      <alignment vertical="center"/>
    </xf>
    <xf numFmtId="0" fontId="97" fillId="37" borderId="0" applyNumberFormat="0" applyBorder="0" applyAlignment="0" applyProtection="0">
      <alignment vertical="center"/>
    </xf>
    <xf numFmtId="0" fontId="98" fillId="38" borderId="0" applyNumberFormat="0" applyBorder="0" applyAlignment="0" applyProtection="0">
      <alignment vertical="center"/>
    </xf>
    <xf numFmtId="0" fontId="98" fillId="39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56" fillId="0" borderId="0">
      <alignment vertical="center"/>
    </xf>
    <xf numFmtId="0" fontId="101" fillId="0" borderId="54" applyNumberFormat="0" applyFill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0" borderId="0"/>
    <xf numFmtId="0" fontId="103" fillId="42" borderId="56" applyNumberFormat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99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4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5" fillId="0" borderId="0"/>
    <xf numFmtId="0" fontId="6" fillId="47" borderId="57" applyNumberFormat="0" applyFon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2" fillId="0" borderId="0">
      <alignment vertical="center"/>
    </xf>
    <xf numFmtId="0" fontId="6" fillId="47" borderId="57" applyNumberFormat="0" applyFon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2" fillId="0" borderId="0">
      <alignment vertical="center"/>
    </xf>
    <xf numFmtId="0" fontId="100" fillId="42" borderId="53" applyNumberFormat="0" applyAlignment="0" applyProtection="0">
      <alignment vertical="center"/>
    </xf>
    <xf numFmtId="0" fontId="102" fillId="0" borderId="0"/>
    <xf numFmtId="0" fontId="106" fillId="52" borderId="58" applyNumberForma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56" fillId="0" borderId="0"/>
    <xf numFmtId="0" fontId="6" fillId="46" borderId="0" applyNumberFormat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56" fillId="0" borderId="0"/>
    <xf numFmtId="0" fontId="108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56" fillId="0" borderId="0"/>
    <xf numFmtId="0" fontId="6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02" fillId="0" borderId="0">
      <alignment vertical="center"/>
    </xf>
    <xf numFmtId="0" fontId="109" fillId="54" borderId="0" applyNumberFormat="0" applyBorder="0" applyAlignment="0" applyProtection="0">
      <alignment vertical="center"/>
    </xf>
    <xf numFmtId="0" fontId="56" fillId="0" borderId="0"/>
    <xf numFmtId="0" fontId="6" fillId="43" borderId="0" applyNumberFormat="0" applyBorder="0" applyAlignment="0" applyProtection="0">
      <alignment vertical="center"/>
    </xf>
    <xf numFmtId="0" fontId="102" fillId="0" borderId="0"/>
    <xf numFmtId="0" fontId="99" fillId="5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/>
    <xf numFmtId="0" fontId="6" fillId="43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11" fillId="57" borderId="56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0" applyNumberFormat="0" applyBorder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2" fillId="0" borderId="0"/>
    <xf numFmtId="0" fontId="100" fillId="4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176" fontId="102" fillId="0" borderId="0"/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7" borderId="57" applyNumberFormat="0" applyFont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45" borderId="0" applyNumberFormat="0" applyBorder="0" applyAlignment="0" applyProtection="0">
      <alignment vertical="center"/>
    </xf>
    <xf numFmtId="0" fontId="10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102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177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09" fillId="54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15" fillId="0" borderId="0"/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2" fillId="0" borderId="0">
      <alignment vertical="center"/>
    </xf>
    <xf numFmtId="0" fontId="102" fillId="0" borderId="0"/>
    <xf numFmtId="0" fontId="102" fillId="0" borderId="0">
      <alignment vertical="center"/>
    </xf>
    <xf numFmtId="0" fontId="102" fillId="0" borderId="0">
      <alignment vertical="center"/>
    </xf>
    <xf numFmtId="0" fontId="6" fillId="0" borderId="0">
      <alignment vertical="center"/>
    </xf>
    <xf numFmtId="0" fontId="99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7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1" fillId="57" borderId="56" applyNumberFormat="0" applyAlignment="0" applyProtection="0">
      <alignment vertical="center"/>
    </xf>
    <xf numFmtId="0" fontId="102" fillId="0" borderId="0">
      <alignment vertical="center"/>
    </xf>
    <xf numFmtId="0" fontId="115" fillId="0" borderId="0"/>
    <xf numFmtId="0" fontId="111" fillId="57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1" fillId="57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99" fillId="50" borderId="0" applyNumberFormat="0" applyBorder="0" applyAlignment="0" applyProtection="0">
      <alignment vertical="center"/>
    </xf>
    <xf numFmtId="0" fontId="6" fillId="0" borderId="0"/>
    <xf numFmtId="0" fontId="99" fillId="50" borderId="0" applyNumberFormat="0" applyBorder="0" applyAlignment="0" applyProtection="0">
      <alignment vertical="center"/>
    </xf>
    <xf numFmtId="0" fontId="102" fillId="0" borderId="0"/>
    <xf numFmtId="0" fontId="99" fillId="50" borderId="0" applyNumberFormat="0" applyBorder="0" applyAlignment="0" applyProtection="0">
      <alignment vertical="center"/>
    </xf>
    <xf numFmtId="0" fontId="102" fillId="0" borderId="0"/>
    <xf numFmtId="0" fontId="99" fillId="50" borderId="0" applyNumberFormat="0" applyBorder="0" applyAlignment="0" applyProtection="0">
      <alignment vertical="center"/>
    </xf>
    <xf numFmtId="0" fontId="102" fillId="0" borderId="0"/>
    <xf numFmtId="0" fontId="6" fillId="0" borderId="0">
      <alignment vertical="center"/>
    </xf>
    <xf numFmtId="0" fontId="6" fillId="0" borderId="0">
      <alignment vertical="center"/>
    </xf>
    <xf numFmtId="0" fontId="107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102" fillId="0" borderId="0"/>
    <xf numFmtId="0" fontId="102" fillId="0" borderId="0"/>
    <xf numFmtId="0" fontId="6" fillId="0" borderId="0">
      <alignment vertical="center"/>
    </xf>
    <xf numFmtId="0" fontId="111" fillId="57" borderId="56" applyNumberFormat="0" applyAlignment="0" applyProtection="0">
      <alignment vertical="center"/>
    </xf>
    <xf numFmtId="0" fontId="102" fillId="0" borderId="0"/>
    <xf numFmtId="0" fontId="56" fillId="0" borderId="0">
      <alignment vertical="center"/>
    </xf>
    <xf numFmtId="0" fontId="9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02" fillId="0" borderId="0"/>
    <xf numFmtId="0" fontId="56" fillId="0" borderId="0"/>
    <xf numFmtId="0" fontId="67" fillId="0" borderId="55" applyNumberFormat="0" applyFill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115" fillId="0" borderId="0"/>
    <xf numFmtId="0" fontId="30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99" fillId="48" borderId="0" applyNumberFormat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105" fillId="0" borderId="0"/>
    <xf numFmtId="0" fontId="111" fillId="57" borderId="56" applyNumberFormat="0" applyAlignment="0" applyProtection="0">
      <alignment vertical="center"/>
    </xf>
    <xf numFmtId="0" fontId="105" fillId="0" borderId="0"/>
    <xf numFmtId="0" fontId="111" fillId="57" borderId="56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26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0" fontId="119" fillId="0" borderId="0"/>
    <xf numFmtId="0" fontId="56" fillId="0" borderId="0"/>
    <xf numFmtId="0" fontId="105" fillId="0" borderId="0"/>
    <xf numFmtId="0" fontId="105" fillId="0" borderId="0"/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</cellStyleXfs>
  <cellXfs count="38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0" fontId="6" fillId="0" borderId="7" xfId="312" applyNumberFormat="1" applyFill="1" applyBorder="1" applyAlignment="1">
      <alignment horizontal="center"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177" fontId="14" fillId="0" borderId="7" xfId="312" applyNumberFormat="1" applyFont="1" applyFill="1" applyBorder="1">
      <alignment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0" fontId="6" fillId="7" borderId="0" xfId="312" applyFill="1">
      <alignment vertical="center"/>
    </xf>
    <xf numFmtId="179" fontId="14" fillId="7" borderId="6" xfId="312" applyNumberFormat="1" applyFont="1" applyFill="1" applyBorder="1" applyAlignment="1" applyProtection="1">
      <alignment horizontal="center" vertical="center"/>
    </xf>
    <xf numFmtId="0" fontId="15" fillId="7" borderId="7" xfId="312" applyFont="1" applyFill="1" applyBorder="1" applyAlignment="1">
      <alignment horizontal="center" vertical="center" wrapText="1"/>
    </xf>
    <xf numFmtId="49" fontId="16" fillId="7" borderId="8" xfId="312" applyNumberFormat="1" applyFont="1" applyFill="1" applyBorder="1" applyAlignment="1">
      <alignment horizontal="center" vertical="center" wrapText="1"/>
    </xf>
    <xf numFmtId="0" fontId="6" fillId="7" borderId="7" xfId="312" applyNumberFormat="1" applyFill="1" applyBorder="1" applyAlignment="1">
      <alignment horizontal="center" vertical="center"/>
    </xf>
    <xf numFmtId="0" fontId="6" fillId="7" borderId="8" xfId="312" applyFill="1" applyBorder="1">
      <alignment vertical="center"/>
    </xf>
    <xf numFmtId="14" fontId="6" fillId="7" borderId="8" xfId="312" applyNumberFormat="1" applyFill="1" applyBorder="1">
      <alignment vertical="center"/>
    </xf>
    <xf numFmtId="177" fontId="14" fillId="7" borderId="7" xfId="312" applyNumberFormat="1" applyFont="1" applyFill="1" applyBorder="1">
      <alignment vertical="center"/>
    </xf>
    <xf numFmtId="177" fontId="14" fillId="7" borderId="7" xfId="312" applyNumberFormat="1" applyFont="1" applyFill="1" applyBorder="1" applyAlignment="1">
      <alignment horizontal="center" vertical="center"/>
    </xf>
    <xf numFmtId="177" fontId="14" fillId="7" borderId="10" xfId="312" applyNumberFormat="1" applyFont="1" applyFill="1" applyBorder="1" applyAlignment="1">
      <alignment horizontal="center" vertical="center"/>
    </xf>
    <xf numFmtId="177" fontId="14" fillId="7" borderId="10" xfId="312" applyNumberFormat="1" applyFont="1" applyFill="1" applyBorder="1">
      <alignment vertical="center"/>
    </xf>
    <xf numFmtId="180" fontId="14" fillId="7" borderId="10" xfId="312" applyNumberFormat="1" applyFont="1" applyFill="1" applyBorder="1" applyAlignment="1" applyProtection="1">
      <alignment horizontal="center" vertical="center"/>
    </xf>
    <xf numFmtId="178" fontId="20" fillId="7" borderId="7" xfId="292" applyNumberFormat="1" applyFont="1" applyFill="1" applyBorder="1" applyAlignment="1" applyProtection="1">
      <alignment horizontal="center" vertical="center"/>
    </xf>
    <xf numFmtId="178" fontId="25" fillId="7" borderId="7" xfId="407" applyNumberFormat="1" applyFont="1" applyFill="1" applyBorder="1" applyAlignment="1" applyProtection="1">
      <alignment horizontal="center" vertical="center"/>
    </xf>
    <xf numFmtId="180" fontId="14" fillId="7" borderId="7" xfId="312" applyNumberFormat="1" applyFont="1" applyFill="1" applyBorder="1" applyAlignment="1" applyProtection="1">
      <alignment horizontal="center" vertical="center"/>
    </xf>
    <xf numFmtId="178" fontId="16" fillId="7" borderId="7" xfId="312" applyNumberFormat="1" applyFont="1" applyFill="1" applyBorder="1" applyAlignment="1">
      <alignment horizontal="center" vertical="center" wrapText="1"/>
    </xf>
    <xf numFmtId="0" fontId="25" fillId="7" borderId="7" xfId="312" applyFont="1" applyFill="1" applyBorder="1" applyAlignment="1">
      <alignment horizontal="center" vertical="center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/>
    <xf numFmtId="0" fontId="21" fillId="8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49" fontId="32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33" fillId="3" borderId="7" xfId="0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center" vertical="center"/>
    </xf>
    <xf numFmtId="49" fontId="32" fillId="6" borderId="7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33" fillId="6" borderId="7" xfId="0" applyFont="1" applyFill="1" applyBorder="1" applyAlignment="1">
      <alignment horizontal="center" vertical="center"/>
    </xf>
    <xf numFmtId="49" fontId="34" fillId="6" borderId="7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/>
    </xf>
    <xf numFmtId="49" fontId="35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35" fillId="0" borderId="6" xfId="0" applyNumberFormat="1" applyFont="1" applyFill="1" applyBorder="1" applyAlignment="1">
      <alignment horizontal="center"/>
    </xf>
    <xf numFmtId="49" fontId="36" fillId="0" borderId="12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49" fontId="38" fillId="0" borderId="6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/>
    </xf>
    <xf numFmtId="0" fontId="19" fillId="8" borderId="13" xfId="0" applyFont="1" applyFill="1" applyBorder="1" applyAlignment="1">
      <alignment horizontal="left" vertical="center"/>
    </xf>
    <xf numFmtId="4" fontId="19" fillId="8" borderId="14" xfId="0" applyNumberFormat="1" applyFont="1" applyFill="1" applyBorder="1" applyAlignment="1">
      <alignment horizontal="right" vertical="center"/>
    </xf>
    <xf numFmtId="4" fontId="19" fillId="8" borderId="6" xfId="0" applyNumberFormat="1" applyFont="1" applyFill="1" applyBorder="1" applyAlignment="1">
      <alignment horizontal="right" vertical="center"/>
    </xf>
    <xf numFmtId="4" fontId="19" fillId="8" borderId="12" xfId="0" applyNumberFormat="1" applyFont="1" applyFill="1" applyBorder="1" applyAlignment="1">
      <alignment horizontal="right" vertical="center"/>
    </xf>
    <xf numFmtId="0" fontId="19" fillId="8" borderId="15" xfId="0" applyFont="1" applyFill="1" applyBorder="1" applyAlignment="1">
      <alignment horizontal="left" vertical="center"/>
    </xf>
    <xf numFmtId="4" fontId="19" fillId="8" borderId="16" xfId="0" applyNumberFormat="1" applyFont="1" applyFill="1" applyBorder="1" applyAlignment="1">
      <alignment horizontal="right" vertical="center"/>
    </xf>
    <xf numFmtId="4" fontId="19" fillId="8" borderId="17" xfId="0" applyNumberFormat="1" applyFont="1" applyFill="1" applyBorder="1" applyAlignment="1">
      <alignment horizontal="right" vertical="center"/>
    </xf>
    <xf numFmtId="4" fontId="19" fillId="8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37" fillId="0" borderId="0" xfId="0" applyFont="1" applyFill="1" applyAlignment="1">
      <alignment vertical="center"/>
    </xf>
    <xf numFmtId="0" fontId="22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178" fontId="32" fillId="0" borderId="7" xfId="0" applyNumberFormat="1" applyFont="1" applyFill="1" applyBorder="1" applyAlignment="1">
      <alignment horizontal="center" vertical="center"/>
    </xf>
    <xf numFmtId="10" fontId="32" fillId="0" borderId="7" xfId="0" applyNumberFormat="1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4" fontId="19" fillId="8" borderId="19" xfId="0" applyNumberFormat="1" applyFont="1" applyFill="1" applyBorder="1" applyAlignment="1">
      <alignment horizontal="right" vertical="center"/>
    </xf>
    <xf numFmtId="10" fontId="32" fillId="3" borderId="7" xfId="0" applyNumberFormat="1" applyFont="1" applyFill="1" applyBorder="1" applyAlignment="1">
      <alignment horizontal="center" vertical="center"/>
    </xf>
    <xf numFmtId="10" fontId="32" fillId="6" borderId="7" xfId="0" applyNumberFormat="1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2" fillId="0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vertical="center"/>
    </xf>
    <xf numFmtId="0" fontId="19" fillId="8" borderId="7" xfId="0" applyNumberFormat="1" applyFont="1" applyFill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182" fontId="39" fillId="0" borderId="7" xfId="0" applyNumberFormat="1" applyFont="1" applyFill="1" applyBorder="1" applyAlignment="1">
      <alignment horizontal="center" vertical="center"/>
    </xf>
    <xf numFmtId="182" fontId="39" fillId="3" borderId="7" xfId="0" applyNumberFormat="1" applyFont="1" applyFill="1" applyBorder="1" applyAlignment="1">
      <alignment horizontal="center" vertical="center"/>
    </xf>
    <xf numFmtId="0" fontId="32" fillId="3" borderId="7" xfId="0" applyNumberFormat="1" applyFont="1" applyFill="1" applyBorder="1" applyAlignment="1">
      <alignment horizontal="center" vertical="center"/>
    </xf>
    <xf numFmtId="178" fontId="39" fillId="0" borderId="7" xfId="0" applyNumberFormat="1" applyFont="1" applyFill="1" applyBorder="1" applyAlignment="1">
      <alignment horizontal="center" vertical="center"/>
    </xf>
    <xf numFmtId="182" fontId="39" fillId="6" borderId="7" xfId="0" applyNumberFormat="1" applyFont="1" applyFill="1" applyBorder="1" applyAlignment="1">
      <alignment horizontal="center" vertical="center"/>
    </xf>
    <xf numFmtId="0" fontId="32" fillId="6" borderId="7" xfId="0" applyNumberFormat="1" applyFont="1" applyFill="1" applyBorder="1" applyAlignment="1">
      <alignment horizontal="center" vertical="center"/>
    </xf>
    <xf numFmtId="49" fontId="35" fillId="0" borderId="12" xfId="0" applyNumberFormat="1" applyFont="1" applyFill="1" applyBorder="1" applyAlignment="1">
      <alignment horizontal="center" vertical="center"/>
    </xf>
    <xf numFmtId="182" fontId="40" fillId="0" borderId="12" xfId="0" applyNumberFormat="1" applyFont="1" applyFill="1" applyBorder="1" applyAlignment="1">
      <alignment horizontal="left" vertical="center"/>
    </xf>
    <xf numFmtId="0" fontId="35" fillId="0" borderId="12" xfId="0" applyNumberFormat="1" applyFont="1" applyFill="1" applyBorder="1" applyAlignment="1">
      <alignment horizontal="center"/>
    </xf>
    <xf numFmtId="0" fontId="19" fillId="8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41" fillId="8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 vertical="center" wrapText="1"/>
    </xf>
    <xf numFmtId="0" fontId="42" fillId="0" borderId="10" xfId="0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center" vertical="center" wrapText="1"/>
    </xf>
    <xf numFmtId="4" fontId="26" fillId="3" borderId="7" xfId="0" applyNumberFormat="1" applyFont="1" applyFill="1" applyBorder="1" applyAlignment="1">
      <alignment horizontal="center" vertical="center" wrapText="1"/>
    </xf>
    <xf numFmtId="0" fontId="26" fillId="3" borderId="7" xfId="0" applyNumberFormat="1" applyFont="1" applyFill="1" applyBorder="1" applyAlignment="1">
      <alignment horizontal="center" vertical="center" wrapText="1"/>
    </xf>
    <xf numFmtId="0" fontId="42" fillId="3" borderId="10" xfId="0" applyNumberFormat="1" applyFont="1" applyFill="1" applyBorder="1" applyAlignment="1">
      <alignment horizontal="center" vertical="center" wrapText="1"/>
    </xf>
    <xf numFmtId="4" fontId="26" fillId="6" borderId="7" xfId="0" applyNumberFormat="1" applyFont="1" applyFill="1" applyBorder="1" applyAlignment="1">
      <alignment horizontal="center" vertical="center" wrapText="1"/>
    </xf>
    <xf numFmtId="0" fontId="26" fillId="6" borderId="7" xfId="0" applyNumberFormat="1" applyFont="1" applyFill="1" applyBorder="1" applyAlignment="1">
      <alignment horizontal="center" vertical="center" wrapText="1"/>
    </xf>
    <xf numFmtId="0" fontId="42" fillId="6" borderId="10" xfId="0" applyNumberFormat="1" applyFont="1" applyFill="1" applyBorder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/>
    </xf>
    <xf numFmtId="4" fontId="41" fillId="8" borderId="7" xfId="0" applyNumberFormat="1" applyFont="1" applyFill="1" applyBorder="1" applyAlignment="1">
      <alignment horizontal="right" vertical="center"/>
    </xf>
    <xf numFmtId="4" fontId="19" fillId="8" borderId="12" xfId="0" applyNumberFormat="1" applyFont="1" applyFill="1" applyBorder="1" applyAlignment="1">
      <alignment horizontal="center" vertical="center"/>
    </xf>
    <xf numFmtId="4" fontId="41" fillId="8" borderId="4" xfId="0" applyNumberFormat="1" applyFont="1" applyFill="1" applyBorder="1" applyAlignment="1">
      <alignment horizontal="right" vertical="center"/>
    </xf>
    <xf numFmtId="0" fontId="31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32" fillId="0" borderId="20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45" fillId="9" borderId="0" xfId="472" applyFont="1" applyFill="1" applyBorder="1" applyAlignment="1">
      <alignment horizontal="center" vertical="center"/>
    </xf>
    <xf numFmtId="0" fontId="46" fillId="9" borderId="0" xfId="472" applyNumberFormat="1" applyFont="1" applyFill="1" applyBorder="1" applyAlignment="1" applyProtection="1">
      <alignment horizontal="center" vertical="center"/>
      <protection locked="0"/>
    </xf>
    <xf numFmtId="0" fontId="46" fillId="9" borderId="0" xfId="472" applyNumberFormat="1" applyFont="1" applyFill="1" applyBorder="1" applyAlignment="1" applyProtection="1">
      <alignment horizontal="left" vertical="center"/>
      <protection locked="0"/>
    </xf>
    <xf numFmtId="0" fontId="47" fillId="9" borderId="0" xfId="472" applyNumberFormat="1" applyFont="1" applyFill="1" applyBorder="1" applyAlignment="1" applyProtection="1">
      <alignment horizontal="center" vertical="center"/>
      <protection locked="0"/>
    </xf>
    <xf numFmtId="0" fontId="48" fillId="9" borderId="0" xfId="472" applyNumberFormat="1" applyFont="1" applyFill="1" applyBorder="1" applyAlignment="1" applyProtection="1">
      <alignment horizontal="left" vertical="center"/>
      <protection locked="0"/>
    </xf>
    <xf numFmtId="0" fontId="26" fillId="9" borderId="0" xfId="0" applyFont="1" applyFill="1" applyBorder="1" applyAlignment="1" applyProtection="1">
      <alignment horizontal="right" vertical="center"/>
      <protection locked="0"/>
    </xf>
    <xf numFmtId="49" fontId="49" fillId="9" borderId="0" xfId="474" applyNumberFormat="1" applyFont="1" applyFill="1" applyBorder="1" applyAlignment="1" applyProtection="1">
      <alignment horizontal="left" vertical="center"/>
      <protection locked="0"/>
    </xf>
    <xf numFmtId="0" fontId="44" fillId="9" borderId="0" xfId="0" applyFont="1" applyFill="1" applyBorder="1" applyAlignment="1" applyProtection="1">
      <alignment horizontal="left" vertical="center"/>
      <protection locked="0"/>
    </xf>
    <xf numFmtId="0" fontId="50" fillId="9" borderId="0" xfId="472" applyFont="1" applyFill="1" applyBorder="1" applyAlignment="1">
      <alignment horizontal="right" vertical="center"/>
    </xf>
    <xf numFmtId="14" fontId="51" fillId="9" borderId="0" xfId="0" applyNumberFormat="1" applyFont="1" applyFill="1" applyBorder="1" applyAlignment="1" applyProtection="1">
      <alignment horizontal="left" vertical="center"/>
      <protection locked="0"/>
    </xf>
    <xf numFmtId="0" fontId="51" fillId="9" borderId="0" xfId="0" applyFont="1" applyFill="1" applyBorder="1" applyAlignment="1" applyProtection="1">
      <alignment horizontal="right" vertical="center"/>
      <protection locked="0"/>
    </xf>
    <xf numFmtId="0" fontId="52" fillId="9" borderId="0" xfId="0" applyFont="1" applyFill="1" applyBorder="1" applyAlignment="1">
      <alignment horizontal="left" vertical="center"/>
    </xf>
    <xf numFmtId="0" fontId="52" fillId="9" borderId="0" xfId="0" applyFont="1" applyFill="1" applyAlignment="1">
      <alignment horizontal="left" vertical="center"/>
    </xf>
    <xf numFmtId="0" fontId="48" fillId="9" borderId="0" xfId="472" applyNumberFormat="1" applyFont="1" applyFill="1" applyBorder="1" applyAlignment="1" applyProtection="1">
      <alignment horizontal="center" vertical="center"/>
      <protection locked="0"/>
    </xf>
    <xf numFmtId="0" fontId="52" fillId="9" borderId="0" xfId="0" applyFont="1" applyFill="1" applyBorder="1" applyAlignment="1" applyProtection="1">
      <alignment horizontal="left" vertical="center"/>
      <protection locked="0"/>
    </xf>
    <xf numFmtId="0" fontId="53" fillId="9" borderId="0" xfId="472" applyNumberFormat="1" applyFont="1" applyFill="1" applyBorder="1" applyAlignment="1" applyProtection="1">
      <alignment horizontal="center" vertical="center"/>
      <protection locked="0"/>
    </xf>
    <xf numFmtId="183" fontId="51" fillId="9" borderId="0" xfId="474" applyNumberFormat="1" applyFont="1" applyFill="1" applyBorder="1" applyAlignment="1" applyProtection="1">
      <alignment horizontal="left" vertical="center"/>
      <protection locked="0"/>
    </xf>
    <xf numFmtId="0" fontId="54" fillId="9" borderId="21" xfId="0" applyFont="1" applyFill="1" applyBorder="1" applyAlignment="1" applyProtection="1">
      <alignment horizontal="center" vertical="center"/>
      <protection locked="0"/>
    </xf>
    <xf numFmtId="0" fontId="54" fillId="9" borderId="22" xfId="0" applyFont="1" applyFill="1" applyBorder="1" applyAlignment="1" applyProtection="1">
      <alignment horizontal="center" vertical="center"/>
      <protection locked="0"/>
    </xf>
    <xf numFmtId="0" fontId="13" fillId="9" borderId="23" xfId="473" applyNumberFormat="1" applyFont="1" applyFill="1" applyBorder="1" applyAlignment="1" applyProtection="1">
      <alignment horizontal="left" vertical="center"/>
      <protection locked="0"/>
    </xf>
    <xf numFmtId="0" fontId="13" fillId="9" borderId="6" xfId="473" applyNumberFormat="1" applyFont="1" applyFill="1" applyBorder="1" applyAlignment="1" applyProtection="1">
      <alignment horizontal="left" vertical="center"/>
      <protection locked="0"/>
    </xf>
    <xf numFmtId="43" fontId="55" fillId="9" borderId="8" xfId="0" applyNumberFormat="1" applyFont="1" applyFill="1" applyBorder="1" applyAlignment="1" applyProtection="1">
      <alignment horizontal="left" vertical="center" shrinkToFit="1"/>
    </xf>
    <xf numFmtId="43" fontId="55" fillId="9" borderId="9" xfId="0" applyNumberFormat="1" applyFont="1" applyFill="1" applyBorder="1" applyAlignment="1" applyProtection="1">
      <alignment horizontal="left" vertical="center" shrinkToFit="1"/>
    </xf>
    <xf numFmtId="43" fontId="55" fillId="9" borderId="24" xfId="0" applyNumberFormat="1" applyFont="1" applyFill="1" applyBorder="1" applyAlignment="1" applyProtection="1">
      <alignment horizontal="left" vertical="center" shrinkToFit="1"/>
    </xf>
    <xf numFmtId="0" fontId="13" fillId="9" borderId="25" xfId="473" applyNumberFormat="1" applyFont="1" applyFill="1" applyBorder="1" applyAlignment="1" applyProtection="1">
      <alignment horizontal="left" vertical="center"/>
      <protection locked="0"/>
    </xf>
    <xf numFmtId="0" fontId="13" fillId="9" borderId="26" xfId="473" applyNumberFormat="1" applyFont="1" applyFill="1" applyBorder="1" applyAlignment="1" applyProtection="1">
      <alignment horizontal="left" vertical="center"/>
      <protection locked="0"/>
    </xf>
    <xf numFmtId="176" fontId="55" fillId="9" borderId="27" xfId="0" applyNumberFormat="1" applyFont="1" applyFill="1" applyBorder="1" applyAlignment="1" applyProtection="1">
      <alignment horizontal="right" vertical="center" shrinkToFit="1"/>
    </xf>
    <xf numFmtId="176" fontId="55" fillId="9" borderId="28" xfId="0" applyNumberFormat="1" applyFont="1" applyFill="1" applyBorder="1" applyAlignment="1" applyProtection="1">
      <alignment horizontal="right" vertical="center" shrinkToFit="1"/>
    </xf>
    <xf numFmtId="176" fontId="55" fillId="9" borderId="29" xfId="0" applyNumberFormat="1" applyFont="1" applyFill="1" applyBorder="1" applyAlignment="1" applyProtection="1">
      <alignment horizontal="right" vertical="center" shrinkToFit="1"/>
    </xf>
    <xf numFmtId="0" fontId="25" fillId="9" borderId="23" xfId="474" applyNumberFormat="1" applyFont="1" applyFill="1" applyBorder="1" applyAlignment="1" applyProtection="1">
      <alignment horizontal="left" vertical="center"/>
      <protection locked="0"/>
    </xf>
    <xf numFmtId="0" fontId="25" fillId="9" borderId="6" xfId="474" applyNumberFormat="1" applyFont="1" applyFill="1" applyBorder="1" applyAlignment="1" applyProtection="1">
      <alignment horizontal="left" vertical="center"/>
      <protection locked="0"/>
    </xf>
    <xf numFmtId="43" fontId="56" fillId="9" borderId="6" xfId="0" applyNumberFormat="1" applyFont="1" applyFill="1" applyBorder="1" applyAlignment="1" applyProtection="1">
      <alignment horizontal="left" vertical="center" shrinkToFit="1"/>
    </xf>
    <xf numFmtId="0" fontId="25" fillId="9" borderId="30" xfId="474" applyNumberFormat="1" applyFont="1" applyFill="1" applyBorder="1" applyAlignment="1" applyProtection="1">
      <alignment horizontal="left" vertical="center"/>
      <protection locked="0"/>
    </xf>
    <xf numFmtId="0" fontId="25" fillId="9" borderId="31" xfId="474" applyNumberFormat="1" applyFont="1" applyFill="1" applyBorder="1" applyAlignment="1" applyProtection="1">
      <alignment horizontal="left" vertical="center"/>
      <protection locked="0"/>
    </xf>
    <xf numFmtId="0" fontId="25" fillId="9" borderId="32" xfId="474" applyNumberFormat="1" applyFont="1" applyFill="1" applyBorder="1" applyAlignment="1" applyProtection="1">
      <alignment horizontal="left" vertical="center"/>
      <protection locked="0"/>
    </xf>
    <xf numFmtId="43" fontId="56" fillId="9" borderId="33" xfId="0" applyNumberFormat="1" applyFont="1" applyFill="1" applyBorder="1" applyAlignment="1" applyProtection="1">
      <alignment horizontal="left" vertical="center" shrinkToFit="1"/>
      <protection locked="0"/>
    </xf>
    <xf numFmtId="0" fontId="14" fillId="9" borderId="34" xfId="163" applyFont="1" applyFill="1" applyBorder="1" applyAlignment="1">
      <alignment vertical="center"/>
    </xf>
    <xf numFmtId="0" fontId="14" fillId="9" borderId="7" xfId="163" applyFont="1" applyFill="1" applyBorder="1" applyAlignment="1">
      <alignment vertical="center"/>
    </xf>
    <xf numFmtId="43" fontId="56" fillId="9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9" borderId="8" xfId="163" applyFont="1" applyFill="1" applyBorder="1" applyAlignment="1">
      <alignment horizontal="left" vertical="center"/>
    </xf>
    <xf numFmtId="0" fontId="14" fillId="9" borderId="9" xfId="163" applyFont="1" applyFill="1" applyBorder="1" applyAlignment="1">
      <alignment horizontal="left" vertical="center"/>
    </xf>
    <xf numFmtId="0" fontId="14" fillId="9" borderId="10" xfId="163" applyFont="1" applyFill="1" applyBorder="1" applyAlignment="1">
      <alignment horizontal="left" vertical="center"/>
    </xf>
    <xf numFmtId="43" fontId="56" fillId="9" borderId="35" xfId="0" applyNumberFormat="1" applyFont="1" applyFill="1" applyBorder="1" applyAlignment="1" applyProtection="1">
      <alignment horizontal="left" vertical="center" shrinkToFit="1"/>
      <protection locked="0"/>
    </xf>
    <xf numFmtId="0" fontId="14" fillId="9" borderId="36" xfId="163" applyFont="1" applyFill="1" applyBorder="1" applyAlignment="1">
      <alignment vertical="center"/>
    </xf>
    <xf numFmtId="0" fontId="14" fillId="9" borderId="37" xfId="163" applyFont="1" applyFill="1" applyBorder="1" applyAlignment="1">
      <alignment vertical="center"/>
    </xf>
    <xf numFmtId="43" fontId="56" fillId="9" borderId="37" xfId="474" applyNumberFormat="1" applyFont="1" applyFill="1" applyBorder="1" applyAlignment="1" applyProtection="1">
      <alignment horizontal="left" vertical="center" shrinkToFit="1"/>
      <protection locked="0"/>
    </xf>
    <xf numFmtId="184" fontId="25" fillId="9" borderId="38" xfId="474" applyNumberFormat="1" applyFont="1" applyFill="1" applyBorder="1" applyAlignment="1" applyProtection="1">
      <alignment horizontal="left" vertical="center"/>
      <protection locked="0"/>
    </xf>
    <xf numFmtId="184" fontId="25" fillId="9" borderId="39" xfId="474" applyNumberFormat="1" applyFont="1" applyFill="1" applyBorder="1" applyAlignment="1" applyProtection="1">
      <alignment horizontal="left" vertical="center"/>
      <protection locked="0"/>
    </xf>
    <xf numFmtId="184" fontId="25" fillId="9" borderId="40" xfId="474" applyNumberFormat="1" applyFont="1" applyFill="1" applyBorder="1" applyAlignment="1" applyProtection="1">
      <alignment horizontal="left" vertical="center"/>
      <protection locked="0"/>
    </xf>
    <xf numFmtId="43" fontId="56" fillId="9" borderId="41" xfId="474" applyNumberFormat="1" applyFont="1" applyFill="1" applyBorder="1" applyAlignment="1" applyProtection="1">
      <alignment horizontal="left" vertical="center" shrinkToFit="1"/>
      <protection locked="0"/>
    </xf>
    <xf numFmtId="185" fontId="57" fillId="9" borderId="0" xfId="474" applyNumberFormat="1" applyFont="1" applyFill="1" applyBorder="1" applyAlignment="1" applyProtection="1">
      <alignment horizontal="left" vertical="center"/>
      <protection locked="0"/>
    </xf>
    <xf numFmtId="0" fontId="58" fillId="0" borderId="21" xfId="403" applyFont="1" applyFill="1" applyBorder="1" applyAlignment="1">
      <alignment horizontal="center" vertical="center" wrapText="1"/>
    </xf>
    <xf numFmtId="0" fontId="58" fillId="0" borderId="42" xfId="403" applyFont="1" applyFill="1" applyBorder="1" applyAlignment="1">
      <alignment horizontal="center" vertical="center" wrapText="1"/>
    </xf>
    <xf numFmtId="181" fontId="58" fillId="0" borderId="42" xfId="403" applyNumberFormat="1" applyFont="1" applyFill="1" applyBorder="1" applyAlignment="1">
      <alignment horizontal="center" vertical="center" wrapText="1"/>
    </xf>
    <xf numFmtId="186" fontId="58" fillId="0" borderId="42" xfId="403" applyNumberFormat="1" applyFont="1" applyFill="1" applyBorder="1" applyAlignment="1">
      <alignment horizontal="center" vertical="center" wrapText="1"/>
    </xf>
    <xf numFmtId="0" fontId="58" fillId="0" borderId="43" xfId="403" applyFont="1" applyFill="1" applyBorder="1" applyAlignment="1">
      <alignment horizontal="center" vertical="center" wrapText="1"/>
    </xf>
    <xf numFmtId="0" fontId="42" fillId="0" borderId="3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6" fontId="42" fillId="0" borderId="7" xfId="403" applyNumberFormat="1" applyFont="1" applyFill="1" applyBorder="1" applyAlignment="1">
      <alignment horizontal="right" vertical="center"/>
    </xf>
    <xf numFmtId="0" fontId="42" fillId="0" borderId="3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35" xfId="403" applyFont="1" applyFill="1" applyBorder="1" applyAlignment="1">
      <alignment vertical="center" wrapText="1"/>
    </xf>
    <xf numFmtId="43" fontId="59" fillId="0" borderId="7" xfId="403" applyNumberFormat="1" applyFont="1" applyFill="1" applyBorder="1" applyAlignment="1">
      <alignment horizontal="center" vertical="center"/>
    </xf>
    <xf numFmtId="186" fontId="59" fillId="0" borderId="7" xfId="403" applyNumberFormat="1" applyFont="1" applyFill="1" applyBorder="1" applyAlignment="1">
      <alignment horizontal="right" vertical="center"/>
    </xf>
    <xf numFmtId="0" fontId="42" fillId="0" borderId="3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59" fillId="0" borderId="7" xfId="403" applyNumberFormat="1" applyFont="1" applyFill="1" applyBorder="1" applyAlignment="1">
      <alignment horizontal="center" vertical="center"/>
    </xf>
    <xf numFmtId="0" fontId="60" fillId="10" borderId="34" xfId="403" applyFont="1" applyFill="1" applyBorder="1" applyAlignment="1">
      <alignment horizontal="center" vertical="center"/>
    </xf>
    <xf numFmtId="0" fontId="60" fillId="10" borderId="7" xfId="403" applyFont="1" applyFill="1" applyBorder="1" applyAlignment="1">
      <alignment horizontal="center" vertical="center"/>
    </xf>
    <xf numFmtId="186" fontId="60" fillId="10" borderId="7" xfId="403" applyNumberFormat="1" applyFont="1" applyFill="1" applyBorder="1" applyAlignment="1">
      <alignment vertical="center"/>
    </xf>
    <xf numFmtId="0" fontId="42" fillId="10" borderId="35" xfId="403" applyFont="1" applyFill="1" applyBorder="1" applyAlignment="1">
      <alignment horizontal="left" vertical="center"/>
    </xf>
    <xf numFmtId="0" fontId="60" fillId="10" borderId="36" xfId="403" applyFont="1" applyFill="1" applyBorder="1" applyAlignment="1">
      <alignment horizontal="center" vertical="center"/>
    </xf>
    <xf numFmtId="0" fontId="60" fillId="10" borderId="37" xfId="403" applyFont="1" applyFill="1" applyBorder="1" applyAlignment="1">
      <alignment horizontal="center" vertical="center"/>
    </xf>
    <xf numFmtId="186" fontId="60" fillId="10" borderId="37" xfId="403" applyNumberFormat="1" applyFont="1" applyFill="1" applyBorder="1" applyAlignment="1">
      <alignment vertical="center"/>
    </xf>
    <xf numFmtId="0" fontId="42" fillId="10" borderId="41" xfId="403" applyFont="1" applyFill="1" applyBorder="1" applyAlignment="1">
      <alignment horizontal="left" vertical="center"/>
    </xf>
    <xf numFmtId="183" fontId="51" fillId="9" borderId="0" xfId="474" applyNumberFormat="1" applyFont="1" applyFill="1" applyBorder="1" applyAlignment="1" applyProtection="1">
      <alignment horizontal="right" vertical="center"/>
      <protection locked="0"/>
    </xf>
    <xf numFmtId="0" fontId="20" fillId="9" borderId="0" xfId="472" applyFont="1" applyFill="1" applyBorder="1" applyAlignment="1">
      <alignment horizontal="right" vertical="center"/>
    </xf>
    <xf numFmtId="14" fontId="49" fillId="9" borderId="0" xfId="0" applyNumberFormat="1" applyFont="1" applyFill="1" applyBorder="1" applyAlignment="1" applyProtection="1">
      <alignment horizontal="left" vertical="center"/>
      <protection locked="0"/>
    </xf>
    <xf numFmtId="0" fontId="61" fillId="9" borderId="0" xfId="472" applyNumberFormat="1" applyFont="1" applyFill="1" applyBorder="1" applyAlignment="1" applyProtection="1">
      <alignment horizontal="right" vertical="center"/>
      <protection locked="0"/>
    </xf>
    <xf numFmtId="0" fontId="62" fillId="9" borderId="0" xfId="472" applyNumberFormat="1" applyFont="1" applyFill="1" applyBorder="1" applyAlignment="1" applyProtection="1">
      <alignment horizontal="left" vertical="center"/>
      <protection locked="0"/>
    </xf>
    <xf numFmtId="0" fontId="63" fillId="9" borderId="0" xfId="472" applyNumberFormat="1" applyFont="1" applyFill="1" applyBorder="1" applyAlignment="1" applyProtection="1">
      <alignment horizontal="right" vertical="center"/>
      <protection locked="0"/>
    </xf>
    <xf numFmtId="0" fontId="64" fillId="9" borderId="0" xfId="472" applyNumberFormat="1" applyFont="1" applyFill="1" applyBorder="1" applyAlignment="1" applyProtection="1">
      <alignment horizontal="left" vertical="center"/>
      <protection locked="0"/>
    </xf>
    <xf numFmtId="0" fontId="65" fillId="9" borderId="0" xfId="472" applyNumberFormat="1" applyFont="1" applyFill="1" applyBorder="1" applyAlignment="1" applyProtection="1">
      <alignment horizontal="left" vertical="center"/>
      <protection locked="0"/>
    </xf>
    <xf numFmtId="0" fontId="66" fillId="9" borderId="0" xfId="472" applyNumberFormat="1" applyFont="1" applyFill="1" applyBorder="1" applyAlignment="1" applyProtection="1">
      <alignment horizontal="left" vertical="center"/>
      <protection locked="0"/>
    </xf>
    <xf numFmtId="0" fontId="67" fillId="9" borderId="0" xfId="472" applyNumberFormat="1" applyFont="1" applyFill="1" applyBorder="1" applyAlignment="1" applyProtection="1">
      <alignment horizontal="left" vertical="center"/>
      <protection locked="0"/>
    </xf>
    <xf numFmtId="0" fontId="52" fillId="9" borderId="0" xfId="144" applyFont="1" applyFill="1" applyBorder="1" applyAlignment="1">
      <alignment horizontal="left" vertical="center"/>
    </xf>
    <xf numFmtId="0" fontId="52" fillId="9" borderId="0" xfId="144" applyFont="1" applyFill="1" applyAlignment="1">
      <alignment horizontal="left" vertical="center"/>
    </xf>
    <xf numFmtId="0" fontId="66" fillId="9" borderId="0" xfId="472" applyNumberFormat="1" applyFont="1" applyFill="1" applyBorder="1" applyAlignment="1" applyProtection="1">
      <alignment horizontal="right" vertical="center"/>
      <protection locked="0"/>
    </xf>
    <xf numFmtId="0" fontId="52" fillId="9" borderId="0" xfId="144" applyFont="1" applyFill="1" applyBorder="1" applyAlignment="1">
      <alignment horizontal="left" vertical="center" wrapText="1"/>
    </xf>
    <xf numFmtId="0" fontId="52" fillId="9" borderId="0" xfId="144" applyFont="1" applyFill="1" applyAlignment="1">
      <alignment horizontal="left" vertical="center" wrapText="1"/>
    </xf>
    <xf numFmtId="49" fontId="68" fillId="9" borderId="0" xfId="472" applyNumberFormat="1" applyFont="1" applyFill="1" applyBorder="1" applyAlignment="1" applyProtection="1">
      <alignment horizontal="left" vertical="center"/>
      <protection locked="0"/>
    </xf>
    <xf numFmtId="0" fontId="69" fillId="9" borderId="0" xfId="0" applyFont="1" applyFill="1" applyBorder="1" applyAlignment="1">
      <alignment horizontal="left" vertical="center"/>
    </xf>
    <xf numFmtId="0" fontId="70" fillId="9" borderId="0" xfId="0" applyFont="1" applyFill="1" applyAlignment="1">
      <alignment vertical="center"/>
    </xf>
    <xf numFmtId="49" fontId="57" fillId="9" borderId="0" xfId="474" applyNumberFormat="1" applyFont="1" applyFill="1" applyBorder="1" applyAlignment="1" applyProtection="1">
      <alignment horizontal="left" vertical="center"/>
      <protection locked="0"/>
    </xf>
    <xf numFmtId="49" fontId="50" fillId="9" borderId="0" xfId="472" applyNumberFormat="1" applyFont="1" applyFill="1" applyBorder="1" applyAlignment="1" applyProtection="1">
      <alignment horizontal="left" vertical="center"/>
      <protection locked="0"/>
    </xf>
    <xf numFmtId="49" fontId="20" fillId="9" borderId="0" xfId="472" applyNumberFormat="1" applyFont="1" applyFill="1" applyBorder="1" applyAlignment="1" applyProtection="1">
      <alignment horizontal="left" vertical="center"/>
      <protection locked="0"/>
    </xf>
    <xf numFmtId="49" fontId="51" fillId="9" borderId="0" xfId="474" applyNumberFormat="1" applyFont="1" applyFill="1" applyBorder="1" applyAlignment="1" applyProtection="1">
      <alignment horizontal="left" vertical="center"/>
      <protection locked="0"/>
    </xf>
    <xf numFmtId="49" fontId="26" fillId="9" borderId="0" xfId="474" applyNumberFormat="1" applyFont="1" applyFill="1" applyBorder="1" applyAlignment="1" applyProtection="1">
      <alignment horizontal="left" vertical="center"/>
      <protection locked="0"/>
    </xf>
    <xf numFmtId="0" fontId="14" fillId="9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0" fontId="71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/>
    </xf>
    <xf numFmtId="0" fontId="72" fillId="0" borderId="7" xfId="0" applyFont="1" applyFill="1" applyBorder="1" applyAlignment="1">
      <alignment horizontal="center"/>
    </xf>
    <xf numFmtId="49" fontId="72" fillId="0" borderId="7" xfId="0" applyNumberFormat="1" applyFont="1" applyFill="1" applyBorder="1" applyAlignment="1">
      <alignment horizontal="center" vertical="center"/>
    </xf>
    <xf numFmtId="0" fontId="73" fillId="0" borderId="7" xfId="0" applyFont="1" applyFill="1" applyBorder="1" applyAlignment="1" applyProtection="1">
      <alignment horizontal="center" vertical="center"/>
      <protection locked="0"/>
    </xf>
    <xf numFmtId="49" fontId="72" fillId="0" borderId="7" xfId="0" applyNumberFormat="1" applyFont="1" applyFill="1" applyBorder="1" applyAlignment="1">
      <alignment horizontal="center"/>
    </xf>
    <xf numFmtId="0" fontId="74" fillId="0" borderId="7" xfId="0" applyFont="1" applyFill="1" applyBorder="1" applyAlignment="1">
      <alignment horizontal="center" vertical="center"/>
    </xf>
    <xf numFmtId="49" fontId="75" fillId="0" borderId="7" xfId="0" applyNumberFormat="1" applyFont="1" applyFill="1" applyBorder="1" applyAlignment="1">
      <alignment horizontal="center" vertical="center"/>
    </xf>
    <xf numFmtId="0" fontId="72" fillId="3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/>
    </xf>
    <xf numFmtId="0" fontId="71" fillId="0" borderId="7" xfId="0" applyFont="1" applyFill="1" applyBorder="1" applyAlignment="1">
      <alignment vertical="center"/>
    </xf>
    <xf numFmtId="182" fontId="39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2" fontId="76" fillId="0" borderId="7" xfId="0" applyNumberFormat="1" applyFont="1" applyFill="1" applyBorder="1" applyAlignment="1">
      <alignment horizontal="left" vertical="center"/>
    </xf>
    <xf numFmtId="0" fontId="72" fillId="0" borderId="7" xfId="0" applyNumberFormat="1" applyFont="1" applyFill="1" applyBorder="1" applyAlignment="1">
      <alignment horizontal="center"/>
    </xf>
    <xf numFmtId="49" fontId="42" fillId="0" borderId="10" xfId="0" applyNumberFormat="1" applyFont="1" applyFill="1" applyBorder="1" applyAlignment="1">
      <alignment horizontal="center"/>
    </xf>
    <xf numFmtId="4" fontId="77" fillId="0" borderId="7" xfId="0" applyNumberFormat="1" applyFont="1" applyFill="1" applyBorder="1" applyAlignment="1">
      <alignment horizontal="center" vertical="center" wrapText="1"/>
    </xf>
    <xf numFmtId="0" fontId="77" fillId="0" borderId="7" xfId="0" applyNumberFormat="1" applyFont="1" applyFill="1" applyBorder="1" applyAlignment="1">
      <alignment horizontal="center" vertical="center" wrapText="1"/>
    </xf>
    <xf numFmtId="49" fontId="78" fillId="0" borderId="10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44" xfId="0" applyFont="1" applyFill="1" applyBorder="1" applyAlignment="1">
      <alignment horizontal="center"/>
    </xf>
    <xf numFmtId="49" fontId="32" fillId="0" borderId="44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79" fillId="0" borderId="0" xfId="0" applyFont="1" applyFill="1" applyAlignment="1">
      <alignment vertical="center"/>
    </xf>
    <xf numFmtId="49" fontId="34" fillId="0" borderId="7" xfId="0" applyNumberFormat="1" applyFont="1" applyFill="1" applyBorder="1" applyAlignment="1" quotePrefix="1">
      <alignment horizontal="center" vertical="center"/>
    </xf>
    <xf numFmtId="49" fontId="75" fillId="0" borderId="7" xfId="0" applyNumberFormat="1" applyFont="1" applyFill="1" applyBorder="1" applyAlignment="1" quotePrefix="1">
      <alignment horizontal="center" vertical="center"/>
    </xf>
    <xf numFmtId="49" fontId="34" fillId="3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  <xf numFmtId="0" fontId="26" fillId="0" borderId="0" xfId="0" applyNumberFormat="1" applyFont="1" applyFill="1" applyBorder="1" applyAlignment="1" quotePrefix="1">
      <alignment horizontal="left" vertical="center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5"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155" customWidth="1"/>
    <col min="2" max="2" width="25" style="155" customWidth="1"/>
    <col min="3" max="3" width="7.36666666666667" style="155" customWidth="1"/>
    <col min="4" max="4" width="9.45" style="155" customWidth="1"/>
    <col min="5" max="5" width="8.26666666666667" style="155" customWidth="1"/>
    <col min="6" max="6" width="11.9083333333333" style="155" customWidth="1"/>
    <col min="7" max="7" width="16.3666666666667" style="155" customWidth="1"/>
    <col min="8" max="11" width="8.45" style="155" customWidth="1"/>
    <col min="12" max="12" width="9.09166666666667" style="155" customWidth="1"/>
    <col min="13" max="14" width="9.26666666666667" style="155" customWidth="1"/>
    <col min="15" max="15" width="7.45" style="155" customWidth="1"/>
    <col min="16" max="16" width="11.2666666666667" style="155" customWidth="1"/>
    <col min="17" max="17" width="9.09166666666667" style="155" customWidth="1"/>
    <col min="18" max="21" width="9.26666666666667" style="155" customWidth="1"/>
    <col min="22" max="22" width="9.09166666666667" style="155" customWidth="1"/>
    <col min="23" max="26" width="9.26666666666667" style="155" customWidth="1"/>
    <col min="27" max="28" width="9.09166666666667" style="155" customWidth="1"/>
    <col min="29" max="29" width="9" style="155" customWidth="1"/>
    <col min="30" max="30" width="9.09166666666667" style="155" customWidth="1"/>
    <col min="31" max="31" width="9.26666666666667" style="155" customWidth="1"/>
    <col min="32" max="32" width="8.90833333333333" style="155" customWidth="1"/>
    <col min="33" max="33" width="9.09166666666667" style="155" customWidth="1"/>
    <col min="34" max="34" width="9.26666666666667" style="155" customWidth="1"/>
    <col min="35" max="35" width="11.0916666666667" style="155" customWidth="1"/>
    <col min="36" max="36" width="9.26666666666667" style="155" customWidth="1"/>
    <col min="37" max="37" width="8.45" style="155" customWidth="1"/>
    <col min="38" max="38" width="9.09166666666667" style="155" hidden="1" customWidth="1"/>
    <col min="39" max="42" width="9.26666666666667" style="155" hidden="1" customWidth="1"/>
    <col min="43" max="43" width="9.90833333333333" style="155" customWidth="1"/>
    <col min="44" max="44" width="9.36666666666667" style="155" customWidth="1"/>
    <col min="45" max="45" width="10.2666666666667" style="156" customWidth="1"/>
    <col min="46" max="46" width="10" style="156" customWidth="1"/>
    <col min="47" max="49" width="9.26666666666667" style="156" customWidth="1"/>
    <col min="50" max="50" width="9.26666666666667" style="155" customWidth="1"/>
    <col min="51" max="51" width="5.90833333333333" style="155" customWidth="1"/>
    <col min="52" max="52" width="8.36666666666667" style="155" customWidth="1"/>
    <col min="53" max="53" width="5.90833333333333" style="155" customWidth="1"/>
    <col min="54" max="54" width="8.90833333333333" style="155" customWidth="1"/>
    <col min="55" max="55" width="10.9083333333333" style="155" customWidth="1"/>
    <col min="56" max="56" width="40.2666666666667" style="157" customWidth="1"/>
    <col min="57" max="57" width="10.6333333333333" style="155" customWidth="1"/>
    <col min="58" max="16384" width="9" style="155"/>
  </cols>
  <sheetData>
    <row r="1" s="148" customFormat="1" ht="22.5" customHeight="1" spans="1:56">
      <c r="A1" s="158" t="s">
        <v>0</v>
      </c>
      <c r="B1" s="159" t="s">
        <v>1</v>
      </c>
      <c r="C1" s="159" t="s">
        <v>2</v>
      </c>
      <c r="D1" s="158" t="s">
        <v>3</v>
      </c>
      <c r="E1" s="159" t="s">
        <v>4</v>
      </c>
      <c r="F1" s="159" t="s">
        <v>5</v>
      </c>
      <c r="G1" s="159" t="s">
        <v>6</v>
      </c>
      <c r="H1" s="159" t="s">
        <v>7</v>
      </c>
      <c r="I1" s="159" t="s">
        <v>8</v>
      </c>
      <c r="J1" s="159" t="s">
        <v>9</v>
      </c>
      <c r="K1" s="159" t="s">
        <v>10</v>
      </c>
      <c r="L1" s="194" t="s">
        <v>11</v>
      </c>
      <c r="M1" s="194"/>
      <c r="N1" s="194"/>
      <c r="O1" s="194"/>
      <c r="P1" s="194"/>
      <c r="Q1" s="194" t="s">
        <v>12</v>
      </c>
      <c r="R1" s="194"/>
      <c r="S1" s="194"/>
      <c r="T1" s="194"/>
      <c r="U1" s="194"/>
      <c r="V1" s="194" t="s">
        <v>13</v>
      </c>
      <c r="W1" s="194"/>
      <c r="X1" s="194"/>
      <c r="Y1" s="194"/>
      <c r="Z1" s="194"/>
      <c r="AA1" s="158" t="s">
        <v>14</v>
      </c>
      <c r="AB1" s="158"/>
      <c r="AC1" s="158"/>
      <c r="AD1" s="158" t="s">
        <v>15</v>
      </c>
      <c r="AE1" s="158"/>
      <c r="AF1" s="158"/>
      <c r="AG1" s="194" t="s">
        <v>16</v>
      </c>
      <c r="AH1" s="194"/>
      <c r="AI1" s="194"/>
      <c r="AJ1" s="194"/>
      <c r="AK1" s="194"/>
      <c r="AL1" s="158" t="s">
        <v>17</v>
      </c>
      <c r="AM1" s="158"/>
      <c r="AN1" s="158"/>
      <c r="AO1" s="158"/>
      <c r="AP1" s="158"/>
      <c r="AQ1" s="158" t="s">
        <v>18</v>
      </c>
      <c r="AR1" s="158"/>
      <c r="AS1" s="211" t="s">
        <v>19</v>
      </c>
      <c r="AT1" s="211"/>
      <c r="AU1" s="211"/>
      <c r="AV1" s="211"/>
      <c r="AW1" s="211"/>
      <c r="AX1" s="158" t="s">
        <v>20</v>
      </c>
      <c r="AY1" s="158"/>
      <c r="AZ1" s="158" t="s">
        <v>21</v>
      </c>
      <c r="BA1" s="158"/>
      <c r="BB1" s="158" t="s">
        <v>22</v>
      </c>
      <c r="BC1" s="158" t="s">
        <v>23</v>
      </c>
      <c r="BD1" s="224" t="s">
        <v>24</v>
      </c>
    </row>
    <row r="2" ht="22.5" customHeight="1" spans="1:56">
      <c r="A2" s="158"/>
      <c r="B2" s="160"/>
      <c r="C2" s="159"/>
      <c r="D2" s="158"/>
      <c r="E2" s="159"/>
      <c r="F2" s="161"/>
      <c r="G2" s="161"/>
      <c r="H2" s="159"/>
      <c r="I2" s="159"/>
      <c r="J2" s="159"/>
      <c r="K2" s="159"/>
      <c r="L2" s="195" t="s">
        <v>25</v>
      </c>
      <c r="M2" s="195" t="s">
        <v>26</v>
      </c>
      <c r="N2" s="195" t="s">
        <v>27</v>
      </c>
      <c r="O2" s="195" t="s">
        <v>28</v>
      </c>
      <c r="P2" s="195" t="s">
        <v>29</v>
      </c>
      <c r="Q2" s="195" t="s">
        <v>25</v>
      </c>
      <c r="R2" s="195" t="s">
        <v>26</v>
      </c>
      <c r="S2" s="195" t="s">
        <v>27</v>
      </c>
      <c r="T2" s="195" t="s">
        <v>28</v>
      </c>
      <c r="U2" s="195" t="s">
        <v>29</v>
      </c>
      <c r="V2" s="195" t="s">
        <v>25</v>
      </c>
      <c r="W2" s="195" t="s">
        <v>26</v>
      </c>
      <c r="X2" s="195" t="s">
        <v>27</v>
      </c>
      <c r="Y2" s="195" t="s">
        <v>28</v>
      </c>
      <c r="Z2" s="195" t="s">
        <v>29</v>
      </c>
      <c r="AA2" s="195" t="s">
        <v>25</v>
      </c>
      <c r="AB2" s="195" t="s">
        <v>30</v>
      </c>
      <c r="AC2" s="195" t="s">
        <v>31</v>
      </c>
      <c r="AD2" s="195" t="s">
        <v>25</v>
      </c>
      <c r="AE2" s="195" t="s">
        <v>30</v>
      </c>
      <c r="AF2" s="195" t="s">
        <v>31</v>
      </c>
      <c r="AG2" s="195" t="s">
        <v>25</v>
      </c>
      <c r="AH2" s="195" t="s">
        <v>26</v>
      </c>
      <c r="AI2" s="195" t="s">
        <v>27</v>
      </c>
      <c r="AJ2" s="195" t="s">
        <v>28</v>
      </c>
      <c r="AK2" s="195" t="s">
        <v>29</v>
      </c>
      <c r="AL2" s="195" t="s">
        <v>25</v>
      </c>
      <c r="AM2" s="195" t="s">
        <v>26</v>
      </c>
      <c r="AN2" s="195" t="s">
        <v>27</v>
      </c>
      <c r="AO2" s="195" t="s">
        <v>28</v>
      </c>
      <c r="AP2" s="195" t="s">
        <v>29</v>
      </c>
      <c r="AQ2" s="195" t="s">
        <v>32</v>
      </c>
      <c r="AR2" s="195" t="s">
        <v>33</v>
      </c>
      <c r="AS2" s="212" t="s">
        <v>34</v>
      </c>
      <c r="AT2" s="212" t="s">
        <v>35</v>
      </c>
      <c r="AU2" s="212" t="s">
        <v>36</v>
      </c>
      <c r="AV2" s="212" t="s">
        <v>37</v>
      </c>
      <c r="AW2" s="212" t="s">
        <v>38</v>
      </c>
      <c r="AX2" s="158"/>
      <c r="AY2" s="158"/>
      <c r="AZ2" s="158"/>
      <c r="BA2" s="158"/>
      <c r="BB2" s="158"/>
      <c r="BC2" s="158"/>
      <c r="BD2" s="224"/>
    </row>
    <row r="3" s="354" customFormat="1" ht="18" customHeight="1" spans="1:60">
      <c r="A3" s="356">
        <v>1</v>
      </c>
      <c r="B3" s="163" t="s">
        <v>39</v>
      </c>
      <c r="C3" s="164" t="s">
        <v>40</v>
      </c>
      <c r="D3" s="357" t="s">
        <v>41</v>
      </c>
      <c r="E3" s="163" t="s">
        <v>42</v>
      </c>
      <c r="F3" s="165" t="s">
        <v>43</v>
      </c>
      <c r="G3" s="166" t="s">
        <v>44</v>
      </c>
      <c r="H3" s="357" t="s">
        <v>45</v>
      </c>
      <c r="I3" s="357" t="s">
        <v>45</v>
      </c>
      <c r="J3" s="357" t="s">
        <v>46</v>
      </c>
      <c r="K3" s="357" t="s">
        <v>46</v>
      </c>
      <c r="L3" s="356">
        <v>3300</v>
      </c>
      <c r="M3" s="356">
        <v>0.16</v>
      </c>
      <c r="N3" s="356">
        <f t="shared" ref="N3:N8" si="0">ROUND(L3*M3,2)</f>
        <v>528</v>
      </c>
      <c r="O3" s="356">
        <v>0.08</v>
      </c>
      <c r="P3" s="356">
        <f t="shared" ref="P3:P8" si="1">ROUND(L3*O3,2)</f>
        <v>264</v>
      </c>
      <c r="Q3" s="356">
        <v>3300</v>
      </c>
      <c r="R3" s="356">
        <v>0.08</v>
      </c>
      <c r="S3" s="356">
        <f t="shared" ref="S3:S8" si="2">ROUND(Q3*R3,2)</f>
        <v>264</v>
      </c>
      <c r="T3" s="356">
        <v>0.02</v>
      </c>
      <c r="U3" s="356">
        <f t="shared" ref="U3:U8" si="3">ROUND(Q3*T3,2)</f>
        <v>66</v>
      </c>
      <c r="V3" s="356">
        <v>3300</v>
      </c>
      <c r="W3" s="356">
        <v>0.007</v>
      </c>
      <c r="X3" s="356">
        <f t="shared" ref="X3:X8" si="4">ROUND(V3*W3,2)</f>
        <v>23.1</v>
      </c>
      <c r="Y3" s="356">
        <v>0.003</v>
      </c>
      <c r="Z3" s="356">
        <f t="shared" ref="Z3:Z8" si="5">ROUND(V3*Y3,2)</f>
        <v>9.9</v>
      </c>
      <c r="AA3" s="356"/>
      <c r="AB3" s="356"/>
      <c r="AC3" s="356"/>
      <c r="AD3" s="356">
        <v>3300</v>
      </c>
      <c r="AE3" s="356">
        <v>0.002</v>
      </c>
      <c r="AF3" s="356">
        <f t="shared" ref="AF3:AF15" si="6">ROUND(AD3*AE3,2)</f>
        <v>6.6</v>
      </c>
      <c r="AG3" s="356">
        <v>3000</v>
      </c>
      <c r="AH3" s="356">
        <v>0.1</v>
      </c>
      <c r="AI3" s="356">
        <f>ROUND(AG3*AH3,2)</f>
        <v>300</v>
      </c>
      <c r="AJ3" s="356">
        <v>0.06</v>
      </c>
      <c r="AK3" s="356">
        <f>ROUND(AG3*AJ3,2)</f>
        <v>180</v>
      </c>
      <c r="AL3" s="365"/>
      <c r="AM3" s="356"/>
      <c r="AN3" s="356"/>
      <c r="AO3" s="356"/>
      <c r="AP3" s="163" t="s">
        <v>47</v>
      </c>
      <c r="AQ3" s="367">
        <v>5</v>
      </c>
      <c r="AR3" s="356"/>
      <c r="AS3" s="368">
        <f t="shared" ref="AS3:AS15" si="7">N3+S3+X3+AC3+AF3+AN3+AQ3</f>
        <v>826.7</v>
      </c>
      <c r="AT3" s="368">
        <f t="shared" ref="AT3:AT15" si="8">P3+U3+Z3</f>
        <v>339.9</v>
      </c>
      <c r="AU3" s="368">
        <f t="shared" ref="AU3:AU15" si="9">AI3</f>
        <v>300</v>
      </c>
      <c r="AV3" s="368">
        <f t="shared" ref="AV3:AV15" si="10">AK3</f>
        <v>180</v>
      </c>
      <c r="AW3" s="368">
        <f t="shared" ref="AW3:AW15" si="11">AV3+AS3+AT3+AU3</f>
        <v>1646.6</v>
      </c>
      <c r="AX3" s="225">
        <f t="shared" ref="AX3:AX15" si="12">AS3+AT3</f>
        <v>1166.6</v>
      </c>
      <c r="AY3" s="225"/>
      <c r="AZ3" s="225">
        <f t="shared" ref="AZ3:AZ8" si="13">AU3+AV3</f>
        <v>480</v>
      </c>
      <c r="BA3" s="225"/>
      <c r="BB3" s="226">
        <v>80</v>
      </c>
      <c r="BC3" s="225">
        <f t="shared" ref="BC3:BC15" si="14">AX3+AZ3+BB3</f>
        <v>1726.6</v>
      </c>
      <c r="BD3" s="371"/>
      <c r="BE3" s="375"/>
      <c r="BF3" s="376"/>
      <c r="BG3" s="376"/>
      <c r="BH3" s="377" t="s">
        <v>47</v>
      </c>
    </row>
    <row r="4" s="354" customFormat="1" ht="18" customHeight="1" spans="1:60">
      <c r="A4" s="356"/>
      <c r="B4" s="163" t="s">
        <v>39</v>
      </c>
      <c r="C4" s="164" t="s">
        <v>40</v>
      </c>
      <c r="D4" s="357" t="s">
        <v>41</v>
      </c>
      <c r="E4" s="163" t="s">
        <v>42</v>
      </c>
      <c r="F4" s="165" t="s">
        <v>43</v>
      </c>
      <c r="G4" s="166" t="s">
        <v>44</v>
      </c>
      <c r="H4" s="357" t="s">
        <v>45</v>
      </c>
      <c r="I4" s="357" t="s">
        <v>45</v>
      </c>
      <c r="J4" s="357" t="s">
        <v>48</v>
      </c>
      <c r="K4" s="357" t="s">
        <v>48</v>
      </c>
      <c r="L4" s="356">
        <v>3300</v>
      </c>
      <c r="M4" s="356">
        <v>0.16</v>
      </c>
      <c r="N4" s="356">
        <f t="shared" si="0"/>
        <v>528</v>
      </c>
      <c r="O4" s="356">
        <v>0.08</v>
      </c>
      <c r="P4" s="356">
        <f t="shared" si="1"/>
        <v>264</v>
      </c>
      <c r="Q4" s="356">
        <v>3300</v>
      </c>
      <c r="R4" s="356">
        <v>0.08</v>
      </c>
      <c r="S4" s="356">
        <f t="shared" si="2"/>
        <v>264</v>
      </c>
      <c r="T4" s="356">
        <v>0.02</v>
      </c>
      <c r="U4" s="356">
        <f t="shared" si="3"/>
        <v>66</v>
      </c>
      <c r="V4" s="356">
        <v>3300</v>
      </c>
      <c r="W4" s="356">
        <v>0.007</v>
      </c>
      <c r="X4" s="356">
        <f t="shared" si="4"/>
        <v>23.1</v>
      </c>
      <c r="Y4" s="356">
        <v>0.003</v>
      </c>
      <c r="Z4" s="356">
        <f t="shared" si="5"/>
        <v>9.9</v>
      </c>
      <c r="AA4" s="356"/>
      <c r="AB4" s="356"/>
      <c r="AC4" s="356"/>
      <c r="AD4" s="356">
        <v>3300</v>
      </c>
      <c r="AE4" s="356">
        <v>0.002</v>
      </c>
      <c r="AF4" s="356">
        <f t="shared" si="6"/>
        <v>6.6</v>
      </c>
      <c r="AG4" s="356">
        <v>3000</v>
      </c>
      <c r="AH4" s="356">
        <v>0.1</v>
      </c>
      <c r="AI4" s="356">
        <f>ROUND(AG4*AH4,2)</f>
        <v>300</v>
      </c>
      <c r="AJ4" s="356">
        <v>0.06</v>
      </c>
      <c r="AK4" s="356">
        <f>ROUND(AG4*AJ4,2)</f>
        <v>180</v>
      </c>
      <c r="AL4" s="365"/>
      <c r="AM4" s="356"/>
      <c r="AN4" s="356"/>
      <c r="AO4" s="356"/>
      <c r="AP4" s="163" t="s">
        <v>47</v>
      </c>
      <c r="AQ4" s="367">
        <v>5</v>
      </c>
      <c r="AR4" s="356"/>
      <c r="AS4" s="368">
        <f t="shared" si="7"/>
        <v>826.7</v>
      </c>
      <c r="AT4" s="368">
        <f t="shared" si="8"/>
        <v>339.9</v>
      </c>
      <c r="AU4" s="368">
        <f t="shared" si="9"/>
        <v>300</v>
      </c>
      <c r="AV4" s="368">
        <f t="shared" si="10"/>
        <v>180</v>
      </c>
      <c r="AW4" s="368">
        <f t="shared" si="11"/>
        <v>1646.6</v>
      </c>
      <c r="AX4" s="225">
        <f t="shared" si="12"/>
        <v>1166.6</v>
      </c>
      <c r="AY4" s="225"/>
      <c r="AZ4" s="225">
        <f t="shared" si="13"/>
        <v>480</v>
      </c>
      <c r="BA4" s="225"/>
      <c r="BB4" s="226">
        <v>80</v>
      </c>
      <c r="BC4" s="225">
        <f t="shared" si="14"/>
        <v>1726.6</v>
      </c>
      <c r="BD4" s="371"/>
      <c r="BE4" s="375"/>
      <c r="BF4" s="376"/>
      <c r="BG4" s="376"/>
      <c r="BH4" s="377" t="s">
        <v>47</v>
      </c>
    </row>
    <row r="5" s="354" customFormat="1" ht="18" customHeight="1" spans="1:60">
      <c r="A5" s="356"/>
      <c r="B5" s="163" t="s">
        <v>39</v>
      </c>
      <c r="C5" s="164" t="s">
        <v>40</v>
      </c>
      <c r="D5" s="357" t="s">
        <v>41</v>
      </c>
      <c r="E5" s="163" t="s">
        <v>42</v>
      </c>
      <c r="F5" s="165" t="s">
        <v>43</v>
      </c>
      <c r="G5" s="166" t="s">
        <v>44</v>
      </c>
      <c r="H5" s="357" t="s">
        <v>45</v>
      </c>
      <c r="I5" s="357" t="s">
        <v>45</v>
      </c>
      <c r="J5" s="357" t="s">
        <v>49</v>
      </c>
      <c r="K5" s="357" t="s">
        <v>49</v>
      </c>
      <c r="L5" s="356">
        <v>3300</v>
      </c>
      <c r="M5" s="356">
        <v>0.16</v>
      </c>
      <c r="N5" s="356">
        <f t="shared" si="0"/>
        <v>528</v>
      </c>
      <c r="O5" s="356">
        <v>0.08</v>
      </c>
      <c r="P5" s="356">
        <f t="shared" si="1"/>
        <v>264</v>
      </c>
      <c r="Q5" s="356">
        <v>3300</v>
      </c>
      <c r="R5" s="356">
        <v>0.08</v>
      </c>
      <c r="S5" s="356">
        <f t="shared" si="2"/>
        <v>264</v>
      </c>
      <c r="T5" s="356">
        <v>0.02</v>
      </c>
      <c r="U5" s="356">
        <f t="shared" si="3"/>
        <v>66</v>
      </c>
      <c r="V5" s="356">
        <v>3300</v>
      </c>
      <c r="W5" s="356">
        <v>0.007</v>
      </c>
      <c r="X5" s="356">
        <f t="shared" si="4"/>
        <v>23.1</v>
      </c>
      <c r="Y5" s="356">
        <v>0.003</v>
      </c>
      <c r="Z5" s="356">
        <f t="shared" si="5"/>
        <v>9.9</v>
      </c>
      <c r="AA5" s="356"/>
      <c r="AB5" s="356"/>
      <c r="AC5" s="356"/>
      <c r="AD5" s="356">
        <v>3300</v>
      </c>
      <c r="AE5" s="356">
        <v>0.002</v>
      </c>
      <c r="AF5" s="356">
        <f t="shared" si="6"/>
        <v>6.6</v>
      </c>
      <c r="AG5" s="356">
        <v>3000</v>
      </c>
      <c r="AH5" s="356">
        <v>0.1</v>
      </c>
      <c r="AI5" s="356">
        <f>ROUND(AG5*AH5,2)</f>
        <v>300</v>
      </c>
      <c r="AJ5" s="356">
        <v>0.06</v>
      </c>
      <c r="AK5" s="356">
        <f>ROUND(AG5*AJ5,2)</f>
        <v>180</v>
      </c>
      <c r="AL5" s="365"/>
      <c r="AM5" s="356"/>
      <c r="AN5" s="356"/>
      <c r="AO5" s="356"/>
      <c r="AP5" s="163" t="s">
        <v>47</v>
      </c>
      <c r="AQ5" s="367">
        <v>5</v>
      </c>
      <c r="AR5" s="356"/>
      <c r="AS5" s="368">
        <f t="shared" si="7"/>
        <v>826.7</v>
      </c>
      <c r="AT5" s="368">
        <f t="shared" si="8"/>
        <v>339.9</v>
      </c>
      <c r="AU5" s="368">
        <f t="shared" si="9"/>
        <v>300</v>
      </c>
      <c r="AV5" s="368">
        <f t="shared" si="10"/>
        <v>180</v>
      </c>
      <c r="AW5" s="368">
        <f t="shared" si="11"/>
        <v>1646.6</v>
      </c>
      <c r="AX5" s="225">
        <f t="shared" si="12"/>
        <v>1166.6</v>
      </c>
      <c r="AY5" s="225"/>
      <c r="AZ5" s="225">
        <f t="shared" si="13"/>
        <v>480</v>
      </c>
      <c r="BA5" s="225"/>
      <c r="BB5" s="226">
        <v>80</v>
      </c>
      <c r="BC5" s="225">
        <f t="shared" si="14"/>
        <v>1726.6</v>
      </c>
      <c r="BD5" s="371"/>
      <c r="BE5" s="375"/>
      <c r="BF5" s="376"/>
      <c r="BG5" s="376"/>
      <c r="BH5" s="377" t="s">
        <v>47</v>
      </c>
    </row>
    <row r="6" s="354" customFormat="1" ht="18" customHeight="1" spans="1:60">
      <c r="A6" s="356">
        <v>2</v>
      </c>
      <c r="B6" s="163" t="s">
        <v>39</v>
      </c>
      <c r="C6" s="164" t="s">
        <v>50</v>
      </c>
      <c r="D6" s="357" t="s">
        <v>41</v>
      </c>
      <c r="E6" s="163" t="s">
        <v>51</v>
      </c>
      <c r="F6" s="165" t="s">
        <v>52</v>
      </c>
      <c r="G6" s="380" t="s">
        <v>53</v>
      </c>
      <c r="H6" s="357" t="s">
        <v>45</v>
      </c>
      <c r="I6" s="357" t="s">
        <v>54</v>
      </c>
      <c r="J6" s="357" t="s">
        <v>46</v>
      </c>
      <c r="K6" s="357" t="s">
        <v>54</v>
      </c>
      <c r="L6" s="356">
        <v>3803</v>
      </c>
      <c r="M6" s="356">
        <v>0.14</v>
      </c>
      <c r="N6" s="356">
        <f t="shared" si="0"/>
        <v>532.42</v>
      </c>
      <c r="O6" s="356">
        <v>0.08</v>
      </c>
      <c r="P6" s="356">
        <f t="shared" si="1"/>
        <v>304.24</v>
      </c>
      <c r="Q6" s="356">
        <v>6175</v>
      </c>
      <c r="R6" s="356">
        <v>0.055</v>
      </c>
      <c r="S6" s="356">
        <f t="shared" si="2"/>
        <v>339.63</v>
      </c>
      <c r="T6" s="356">
        <v>0.02</v>
      </c>
      <c r="U6" s="356">
        <f t="shared" si="3"/>
        <v>123.5</v>
      </c>
      <c r="V6" s="356">
        <v>3803</v>
      </c>
      <c r="W6" s="356">
        <v>0.0032</v>
      </c>
      <c r="X6" s="356">
        <f t="shared" si="4"/>
        <v>12.17</v>
      </c>
      <c r="Y6" s="356">
        <v>0.002</v>
      </c>
      <c r="Z6" s="356">
        <f t="shared" si="5"/>
        <v>7.61</v>
      </c>
      <c r="AA6" s="356">
        <v>6175</v>
      </c>
      <c r="AB6" s="356">
        <v>0.0085</v>
      </c>
      <c r="AC6" s="356">
        <f t="shared" ref="AC6:AC8" si="15">ROUND(AA6*AB6,2)</f>
        <v>52.49</v>
      </c>
      <c r="AD6" s="356">
        <v>3803</v>
      </c>
      <c r="AE6" s="356">
        <v>0.0016</v>
      </c>
      <c r="AF6" s="356">
        <f t="shared" si="6"/>
        <v>6.08</v>
      </c>
      <c r="AG6" s="356"/>
      <c r="AH6" s="356"/>
      <c r="AI6" s="356"/>
      <c r="AJ6" s="356"/>
      <c r="AK6" s="356"/>
      <c r="AL6" s="365"/>
      <c r="AM6" s="356"/>
      <c r="AN6" s="356"/>
      <c r="AO6" s="356"/>
      <c r="AP6" s="163"/>
      <c r="AQ6" s="367">
        <v>26.76</v>
      </c>
      <c r="AR6" s="356"/>
      <c r="AS6" s="368">
        <f t="shared" si="7"/>
        <v>969.55</v>
      </c>
      <c r="AT6" s="368">
        <f t="shared" si="8"/>
        <v>435.35</v>
      </c>
      <c r="AU6" s="368">
        <f t="shared" si="9"/>
        <v>0</v>
      </c>
      <c r="AV6" s="368">
        <f t="shared" si="10"/>
        <v>0</v>
      </c>
      <c r="AW6" s="368">
        <f t="shared" si="11"/>
        <v>1404.9</v>
      </c>
      <c r="AX6" s="225">
        <f t="shared" si="12"/>
        <v>1404.9</v>
      </c>
      <c r="AY6" s="225"/>
      <c r="AZ6" s="225">
        <f t="shared" si="13"/>
        <v>0</v>
      </c>
      <c r="BA6" s="225"/>
      <c r="BB6" s="226">
        <v>80</v>
      </c>
      <c r="BC6" s="225">
        <f t="shared" si="14"/>
        <v>1484.9</v>
      </c>
      <c r="BD6" s="371"/>
      <c r="BE6" s="378"/>
      <c r="BF6" s="378"/>
      <c r="BG6" s="378"/>
      <c r="BH6" s="378"/>
    </row>
    <row r="7" s="354" customFormat="1" ht="18" customHeight="1" spans="1:60">
      <c r="A7" s="356"/>
      <c r="B7" s="163" t="s">
        <v>39</v>
      </c>
      <c r="C7" s="164" t="s">
        <v>50</v>
      </c>
      <c r="D7" s="357" t="s">
        <v>41</v>
      </c>
      <c r="E7" s="163" t="s">
        <v>51</v>
      </c>
      <c r="F7" s="165" t="s">
        <v>52</v>
      </c>
      <c r="G7" s="380" t="s">
        <v>53</v>
      </c>
      <c r="H7" s="357" t="s">
        <v>45</v>
      </c>
      <c r="I7" s="357" t="s">
        <v>54</v>
      </c>
      <c r="J7" s="357" t="s">
        <v>48</v>
      </c>
      <c r="K7" s="357" t="s">
        <v>54</v>
      </c>
      <c r="L7" s="356">
        <v>3803</v>
      </c>
      <c r="M7" s="356">
        <v>0.14</v>
      </c>
      <c r="N7" s="356">
        <f t="shared" si="0"/>
        <v>532.42</v>
      </c>
      <c r="O7" s="356">
        <v>0.08</v>
      </c>
      <c r="P7" s="356">
        <f t="shared" si="1"/>
        <v>304.24</v>
      </c>
      <c r="Q7" s="356">
        <v>6175</v>
      </c>
      <c r="R7" s="356">
        <v>0.055</v>
      </c>
      <c r="S7" s="356">
        <f t="shared" si="2"/>
        <v>339.63</v>
      </c>
      <c r="T7" s="356">
        <v>0.02</v>
      </c>
      <c r="U7" s="356">
        <f t="shared" si="3"/>
        <v>123.5</v>
      </c>
      <c r="V7" s="356">
        <v>3803</v>
      </c>
      <c r="W7" s="356">
        <v>0.0032</v>
      </c>
      <c r="X7" s="356">
        <f t="shared" si="4"/>
        <v>12.17</v>
      </c>
      <c r="Y7" s="356">
        <v>0.002</v>
      </c>
      <c r="Z7" s="356">
        <f t="shared" si="5"/>
        <v>7.61</v>
      </c>
      <c r="AA7" s="356">
        <v>6175</v>
      </c>
      <c r="AB7" s="356">
        <v>0.0085</v>
      </c>
      <c r="AC7" s="356">
        <f t="shared" si="15"/>
        <v>52.49</v>
      </c>
      <c r="AD7" s="356">
        <v>3803</v>
      </c>
      <c r="AE7" s="356">
        <v>0.0016</v>
      </c>
      <c r="AF7" s="356">
        <f t="shared" si="6"/>
        <v>6.08</v>
      </c>
      <c r="AG7" s="356"/>
      <c r="AH7" s="356"/>
      <c r="AI7" s="356"/>
      <c r="AJ7" s="356"/>
      <c r="AK7" s="356"/>
      <c r="AL7" s="365"/>
      <c r="AM7" s="356"/>
      <c r="AN7" s="356"/>
      <c r="AO7" s="356"/>
      <c r="AP7" s="163"/>
      <c r="AQ7" s="367">
        <v>26.76</v>
      </c>
      <c r="AR7" s="356"/>
      <c r="AS7" s="368">
        <f t="shared" si="7"/>
        <v>969.55</v>
      </c>
      <c r="AT7" s="368">
        <f t="shared" si="8"/>
        <v>435.35</v>
      </c>
      <c r="AU7" s="368">
        <f t="shared" si="9"/>
        <v>0</v>
      </c>
      <c r="AV7" s="368">
        <f t="shared" si="10"/>
        <v>0</v>
      </c>
      <c r="AW7" s="368">
        <f t="shared" si="11"/>
        <v>1404.9</v>
      </c>
      <c r="AX7" s="225">
        <f t="shared" si="12"/>
        <v>1404.9</v>
      </c>
      <c r="AY7" s="225"/>
      <c r="AZ7" s="225">
        <f t="shared" si="13"/>
        <v>0</v>
      </c>
      <c r="BA7" s="225"/>
      <c r="BB7" s="226">
        <v>80</v>
      </c>
      <c r="BC7" s="225">
        <f t="shared" si="14"/>
        <v>1484.9</v>
      </c>
      <c r="BD7" s="371"/>
      <c r="BE7" s="378"/>
      <c r="BF7" s="378"/>
      <c r="BG7" s="378"/>
      <c r="BH7" s="378"/>
    </row>
    <row r="8" s="354" customFormat="1" ht="18" customHeight="1" spans="1:60">
      <c r="A8" s="356"/>
      <c r="B8" s="163" t="s">
        <v>39</v>
      </c>
      <c r="C8" s="164" t="s">
        <v>50</v>
      </c>
      <c r="D8" s="357" t="s">
        <v>41</v>
      </c>
      <c r="E8" s="163" t="s">
        <v>51</v>
      </c>
      <c r="F8" s="165" t="s">
        <v>52</v>
      </c>
      <c r="G8" s="380" t="s">
        <v>53</v>
      </c>
      <c r="H8" s="357" t="s">
        <v>45</v>
      </c>
      <c r="I8" s="357" t="s">
        <v>54</v>
      </c>
      <c r="J8" s="357" t="s">
        <v>49</v>
      </c>
      <c r="K8" s="357" t="s">
        <v>54</v>
      </c>
      <c r="L8" s="356">
        <v>3803</v>
      </c>
      <c r="M8" s="356">
        <v>0.14</v>
      </c>
      <c r="N8" s="356">
        <f t="shared" si="0"/>
        <v>532.42</v>
      </c>
      <c r="O8" s="356">
        <v>0.08</v>
      </c>
      <c r="P8" s="356">
        <f t="shared" si="1"/>
        <v>304.24</v>
      </c>
      <c r="Q8" s="356">
        <v>6175</v>
      </c>
      <c r="R8" s="356">
        <v>0.055</v>
      </c>
      <c r="S8" s="356">
        <f t="shared" si="2"/>
        <v>339.63</v>
      </c>
      <c r="T8" s="356">
        <v>0.02</v>
      </c>
      <c r="U8" s="356">
        <f t="shared" si="3"/>
        <v>123.5</v>
      </c>
      <c r="V8" s="356">
        <v>3803</v>
      </c>
      <c r="W8" s="356">
        <v>0.0032</v>
      </c>
      <c r="X8" s="356">
        <f t="shared" si="4"/>
        <v>12.17</v>
      </c>
      <c r="Y8" s="356">
        <v>0.002</v>
      </c>
      <c r="Z8" s="356">
        <f t="shared" si="5"/>
        <v>7.61</v>
      </c>
      <c r="AA8" s="356">
        <v>6175</v>
      </c>
      <c r="AB8" s="356">
        <v>0.0085</v>
      </c>
      <c r="AC8" s="356">
        <f t="shared" si="15"/>
        <v>52.49</v>
      </c>
      <c r="AD8" s="356">
        <v>3803</v>
      </c>
      <c r="AE8" s="356">
        <v>0.0016</v>
      </c>
      <c r="AF8" s="356">
        <f t="shared" si="6"/>
        <v>6.08</v>
      </c>
      <c r="AG8" s="356"/>
      <c r="AH8" s="356"/>
      <c r="AI8" s="356"/>
      <c r="AJ8" s="356"/>
      <c r="AK8" s="356"/>
      <c r="AL8" s="365"/>
      <c r="AM8" s="356"/>
      <c r="AN8" s="356"/>
      <c r="AO8" s="356"/>
      <c r="AP8" s="163"/>
      <c r="AQ8" s="367">
        <v>26.76</v>
      </c>
      <c r="AR8" s="356"/>
      <c r="AS8" s="368">
        <f t="shared" si="7"/>
        <v>969.55</v>
      </c>
      <c r="AT8" s="368">
        <f t="shared" si="8"/>
        <v>435.35</v>
      </c>
      <c r="AU8" s="368">
        <f t="shared" si="9"/>
        <v>0</v>
      </c>
      <c r="AV8" s="368">
        <f t="shared" si="10"/>
        <v>0</v>
      </c>
      <c r="AW8" s="368">
        <f t="shared" si="11"/>
        <v>1404.9</v>
      </c>
      <c r="AX8" s="225">
        <f t="shared" si="12"/>
        <v>1404.9</v>
      </c>
      <c r="AY8" s="225"/>
      <c r="AZ8" s="225">
        <f t="shared" si="13"/>
        <v>0</v>
      </c>
      <c r="BA8" s="225"/>
      <c r="BB8" s="226">
        <v>80</v>
      </c>
      <c r="BC8" s="225">
        <f t="shared" si="14"/>
        <v>1484.9</v>
      </c>
      <c r="BD8" s="371"/>
      <c r="BE8" s="378"/>
      <c r="BF8" s="378"/>
      <c r="BG8" s="378"/>
      <c r="BH8" s="378"/>
    </row>
    <row r="9" s="355" customFormat="1" ht="18" customHeight="1" spans="1:60">
      <c r="A9" s="358" t="s">
        <v>55</v>
      </c>
      <c r="B9" s="359" t="s">
        <v>39</v>
      </c>
      <c r="C9" s="360" t="s">
        <v>50</v>
      </c>
      <c r="D9" s="361" t="s">
        <v>41</v>
      </c>
      <c r="E9" s="359" t="s">
        <v>51</v>
      </c>
      <c r="F9" s="362" t="s">
        <v>52</v>
      </c>
      <c r="G9" s="381" t="s">
        <v>53</v>
      </c>
      <c r="H9" s="361" t="s">
        <v>45</v>
      </c>
      <c r="I9" s="361" t="s">
        <v>54</v>
      </c>
      <c r="J9" s="361" t="s">
        <v>56</v>
      </c>
      <c r="K9" s="361" t="s">
        <v>54</v>
      </c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64">
        <f t="shared" ref="AD9:AD11" si="16">3803-3000</f>
        <v>803</v>
      </c>
      <c r="AE9" s="364">
        <v>0.0016</v>
      </c>
      <c r="AF9" s="364">
        <f t="shared" si="6"/>
        <v>1.28</v>
      </c>
      <c r="AG9" s="358"/>
      <c r="AH9" s="358"/>
      <c r="AI9" s="358"/>
      <c r="AJ9" s="358"/>
      <c r="AK9" s="358"/>
      <c r="AL9" s="366"/>
      <c r="AM9" s="358"/>
      <c r="AN9" s="358"/>
      <c r="AO9" s="358"/>
      <c r="AP9" s="359"/>
      <c r="AQ9" s="369"/>
      <c r="AR9" s="358"/>
      <c r="AS9" s="370">
        <f t="shared" si="7"/>
        <v>1.28</v>
      </c>
      <c r="AT9" s="370">
        <f t="shared" si="8"/>
        <v>0</v>
      </c>
      <c r="AU9" s="370">
        <f t="shared" si="9"/>
        <v>0</v>
      </c>
      <c r="AV9" s="370">
        <f t="shared" si="10"/>
        <v>0</v>
      </c>
      <c r="AW9" s="370">
        <f t="shared" si="11"/>
        <v>1.28</v>
      </c>
      <c r="AX9" s="372">
        <f t="shared" si="12"/>
        <v>1.28</v>
      </c>
      <c r="AY9" s="372"/>
      <c r="AZ9" s="372"/>
      <c r="BA9" s="372"/>
      <c r="BB9" s="373"/>
      <c r="BC9" s="372">
        <f t="shared" si="14"/>
        <v>1.28</v>
      </c>
      <c r="BD9" s="374" t="s">
        <v>57</v>
      </c>
      <c r="BE9" s="379"/>
      <c r="BF9" s="379"/>
      <c r="BG9" s="379"/>
      <c r="BH9" s="379"/>
    </row>
    <row r="10" s="355" customFormat="1" ht="18" customHeight="1" spans="1:60">
      <c r="A10" s="358" t="s">
        <v>55</v>
      </c>
      <c r="B10" s="359" t="s">
        <v>39</v>
      </c>
      <c r="C10" s="360" t="s">
        <v>50</v>
      </c>
      <c r="D10" s="361" t="s">
        <v>41</v>
      </c>
      <c r="E10" s="359" t="s">
        <v>51</v>
      </c>
      <c r="F10" s="362" t="s">
        <v>52</v>
      </c>
      <c r="G10" s="381" t="s">
        <v>53</v>
      </c>
      <c r="H10" s="361" t="s">
        <v>45</v>
      </c>
      <c r="I10" s="361" t="s">
        <v>54</v>
      </c>
      <c r="J10" s="361" t="s">
        <v>58</v>
      </c>
      <c r="K10" s="361" t="s">
        <v>54</v>
      </c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64">
        <f t="shared" si="16"/>
        <v>803</v>
      </c>
      <c r="AE10" s="364">
        <v>0.0016</v>
      </c>
      <c r="AF10" s="364">
        <f t="shared" si="6"/>
        <v>1.28</v>
      </c>
      <c r="AG10" s="358"/>
      <c r="AH10" s="358"/>
      <c r="AI10" s="358"/>
      <c r="AJ10" s="358"/>
      <c r="AK10" s="358"/>
      <c r="AL10" s="366"/>
      <c r="AM10" s="358"/>
      <c r="AN10" s="358"/>
      <c r="AO10" s="358"/>
      <c r="AP10" s="359"/>
      <c r="AQ10" s="369"/>
      <c r="AR10" s="358"/>
      <c r="AS10" s="370">
        <f t="shared" si="7"/>
        <v>1.28</v>
      </c>
      <c r="AT10" s="370">
        <f t="shared" si="8"/>
        <v>0</v>
      </c>
      <c r="AU10" s="370">
        <f t="shared" si="9"/>
        <v>0</v>
      </c>
      <c r="AV10" s="370">
        <f t="shared" si="10"/>
        <v>0</v>
      </c>
      <c r="AW10" s="370">
        <f t="shared" si="11"/>
        <v>1.28</v>
      </c>
      <c r="AX10" s="372">
        <f t="shared" si="12"/>
        <v>1.28</v>
      </c>
      <c r="AY10" s="372"/>
      <c r="AZ10" s="372"/>
      <c r="BA10" s="372"/>
      <c r="BB10" s="373"/>
      <c r="BC10" s="372">
        <f t="shared" si="14"/>
        <v>1.28</v>
      </c>
      <c r="BD10" s="374" t="s">
        <v>57</v>
      </c>
      <c r="BE10" s="379"/>
      <c r="BF10" s="379"/>
      <c r="BG10" s="379"/>
      <c r="BH10" s="379"/>
    </row>
    <row r="11" s="355" customFormat="1" ht="18" customHeight="1" spans="1:60">
      <c r="A11" s="358" t="s">
        <v>55</v>
      </c>
      <c r="B11" s="359" t="s">
        <v>39</v>
      </c>
      <c r="C11" s="360" t="s">
        <v>50</v>
      </c>
      <c r="D11" s="361" t="s">
        <v>41</v>
      </c>
      <c r="E11" s="359" t="s">
        <v>51</v>
      </c>
      <c r="F11" s="362" t="s">
        <v>52</v>
      </c>
      <c r="G11" s="381" t="s">
        <v>53</v>
      </c>
      <c r="H11" s="361" t="s">
        <v>45</v>
      </c>
      <c r="I11" s="361" t="s">
        <v>54</v>
      </c>
      <c r="J11" s="361" t="s">
        <v>59</v>
      </c>
      <c r="K11" s="361" t="s">
        <v>54</v>
      </c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64">
        <f t="shared" si="16"/>
        <v>803</v>
      </c>
      <c r="AE11" s="364">
        <v>0.0016</v>
      </c>
      <c r="AF11" s="364">
        <f t="shared" si="6"/>
        <v>1.28</v>
      </c>
      <c r="AG11" s="358"/>
      <c r="AH11" s="358"/>
      <c r="AI11" s="358"/>
      <c r="AJ11" s="358"/>
      <c r="AK11" s="358"/>
      <c r="AL11" s="366"/>
      <c r="AM11" s="358"/>
      <c r="AN11" s="358"/>
      <c r="AO11" s="358"/>
      <c r="AP11" s="359"/>
      <c r="AQ11" s="369"/>
      <c r="AR11" s="358"/>
      <c r="AS11" s="370">
        <f t="shared" si="7"/>
        <v>1.28</v>
      </c>
      <c r="AT11" s="370">
        <f t="shared" si="8"/>
        <v>0</v>
      </c>
      <c r="AU11" s="370">
        <f t="shared" si="9"/>
        <v>0</v>
      </c>
      <c r="AV11" s="370">
        <f t="shared" si="10"/>
        <v>0</v>
      </c>
      <c r="AW11" s="370">
        <f t="shared" si="11"/>
        <v>1.28</v>
      </c>
      <c r="AX11" s="372">
        <f t="shared" si="12"/>
        <v>1.28</v>
      </c>
      <c r="AY11" s="372"/>
      <c r="AZ11" s="372"/>
      <c r="BA11" s="372"/>
      <c r="BB11" s="373"/>
      <c r="BC11" s="372">
        <f t="shared" si="14"/>
        <v>1.28</v>
      </c>
      <c r="BD11" s="374" t="s">
        <v>57</v>
      </c>
      <c r="BE11" s="379"/>
      <c r="BF11" s="379"/>
      <c r="BG11" s="379"/>
      <c r="BH11" s="379"/>
    </row>
    <row r="12" s="354" customFormat="1" ht="18" customHeight="1" spans="1:60">
      <c r="A12" s="356">
        <v>3</v>
      </c>
      <c r="B12" s="163" t="s">
        <v>39</v>
      </c>
      <c r="C12" s="164" t="s">
        <v>60</v>
      </c>
      <c r="D12" s="357" t="s">
        <v>41</v>
      </c>
      <c r="E12" s="163" t="s">
        <v>51</v>
      </c>
      <c r="F12" s="165" t="s">
        <v>61</v>
      </c>
      <c r="G12" s="166" t="s">
        <v>62</v>
      </c>
      <c r="H12" s="357" t="s">
        <v>63</v>
      </c>
      <c r="I12" s="357" t="s">
        <v>63</v>
      </c>
      <c r="J12" s="357" t="s">
        <v>48</v>
      </c>
      <c r="K12" s="357" t="s">
        <v>48</v>
      </c>
      <c r="L12" s="356">
        <v>3053.05</v>
      </c>
      <c r="M12" s="356">
        <v>0.16</v>
      </c>
      <c r="N12" s="356">
        <f t="shared" ref="N12:N15" si="17">ROUND(L12*M12,2)</f>
        <v>488.49</v>
      </c>
      <c r="O12" s="356">
        <v>0.08</v>
      </c>
      <c r="P12" s="356">
        <f t="shared" ref="P12:P15" si="18">ROUND(L12*O12,2)</f>
        <v>244.24</v>
      </c>
      <c r="Q12" s="356">
        <v>3053.05</v>
      </c>
      <c r="R12" s="356">
        <v>0.06</v>
      </c>
      <c r="S12" s="356">
        <f t="shared" ref="S12:S15" si="19">ROUND(Q12*R12,2)</f>
        <v>183.18</v>
      </c>
      <c r="T12" s="356">
        <v>0.02</v>
      </c>
      <c r="U12" s="356">
        <f t="shared" ref="U12:U15" si="20">ROUND(Q12*T12,2)</f>
        <v>61.06</v>
      </c>
      <c r="V12" s="356">
        <v>3053.05</v>
      </c>
      <c r="W12" s="356">
        <v>0.007</v>
      </c>
      <c r="X12" s="356">
        <f t="shared" ref="X12:X15" si="21">ROUND(V12*W12,2)</f>
        <v>21.37</v>
      </c>
      <c r="Y12" s="356">
        <v>0.003</v>
      </c>
      <c r="Z12" s="356">
        <f t="shared" ref="Z12:Z15" si="22">ROUND(V12*Y12,2)</f>
        <v>9.16</v>
      </c>
      <c r="AA12" s="356">
        <v>3053.05</v>
      </c>
      <c r="AB12" s="356">
        <v>0.007</v>
      </c>
      <c r="AC12" s="356">
        <f t="shared" ref="AC12:AC15" si="23">ROUND(AA12*AB12,2)</f>
        <v>21.37</v>
      </c>
      <c r="AD12" s="356">
        <v>3053.05</v>
      </c>
      <c r="AE12" s="356">
        <v>0.002</v>
      </c>
      <c r="AF12" s="356">
        <f t="shared" si="6"/>
        <v>6.11</v>
      </c>
      <c r="AG12" s="356" t="s">
        <v>64</v>
      </c>
      <c r="AH12" s="356">
        <v>0.05</v>
      </c>
      <c r="AI12" s="356">
        <f t="shared" ref="AI12:AI15" si="24">ROUND(AG12*AH12,2)</f>
        <v>79</v>
      </c>
      <c r="AJ12" s="356">
        <v>0.05</v>
      </c>
      <c r="AK12" s="356">
        <f t="shared" ref="AK12:AK15" si="25">ROUND(AG12*AJ12,2)</f>
        <v>79</v>
      </c>
      <c r="AL12" s="365"/>
      <c r="AM12" s="356"/>
      <c r="AN12" s="356"/>
      <c r="AO12" s="356"/>
      <c r="AP12" s="163"/>
      <c r="AQ12" s="367"/>
      <c r="AR12" s="356">
        <v>96</v>
      </c>
      <c r="AS12" s="368">
        <f t="shared" si="7"/>
        <v>720.52</v>
      </c>
      <c r="AT12" s="368">
        <f t="shared" si="8"/>
        <v>314.46</v>
      </c>
      <c r="AU12" s="368">
        <f t="shared" si="9"/>
        <v>79</v>
      </c>
      <c r="AV12" s="368">
        <f t="shared" si="10"/>
        <v>79</v>
      </c>
      <c r="AW12" s="368">
        <f t="shared" si="11"/>
        <v>1192.98</v>
      </c>
      <c r="AX12" s="225">
        <f t="shared" si="12"/>
        <v>1034.98</v>
      </c>
      <c r="AY12" s="225"/>
      <c r="AZ12" s="225">
        <f t="shared" ref="AZ12:AZ15" si="26">AU12+AV12</f>
        <v>158</v>
      </c>
      <c r="BA12" s="225"/>
      <c r="BB12" s="226">
        <v>80</v>
      </c>
      <c r="BC12" s="225">
        <f t="shared" si="14"/>
        <v>1272.98</v>
      </c>
      <c r="BD12" s="371"/>
      <c r="BE12" s="378"/>
      <c r="BF12" s="378"/>
      <c r="BG12" s="378"/>
      <c r="BH12" s="378"/>
    </row>
    <row r="13" s="354" customFormat="1" ht="18" customHeight="1" spans="1:60">
      <c r="A13" s="356"/>
      <c r="B13" s="163" t="s">
        <v>39</v>
      </c>
      <c r="C13" s="164" t="s">
        <v>60</v>
      </c>
      <c r="D13" s="357" t="s">
        <v>41</v>
      </c>
      <c r="E13" s="163" t="s">
        <v>51</v>
      </c>
      <c r="F13" s="165" t="s">
        <v>61</v>
      </c>
      <c r="G13" s="166" t="s">
        <v>62</v>
      </c>
      <c r="H13" s="357" t="s">
        <v>63</v>
      </c>
      <c r="I13" s="357" t="s">
        <v>63</v>
      </c>
      <c r="J13" s="357" t="s">
        <v>49</v>
      </c>
      <c r="K13" s="357" t="s">
        <v>49</v>
      </c>
      <c r="L13" s="356">
        <v>3053.05</v>
      </c>
      <c r="M13" s="356">
        <v>0.16</v>
      </c>
      <c r="N13" s="356">
        <f t="shared" si="17"/>
        <v>488.49</v>
      </c>
      <c r="O13" s="356">
        <v>0.08</v>
      </c>
      <c r="P13" s="356">
        <f t="shared" si="18"/>
        <v>244.24</v>
      </c>
      <c r="Q13" s="356">
        <v>3053.05</v>
      </c>
      <c r="R13" s="356">
        <v>0.06</v>
      </c>
      <c r="S13" s="356">
        <f t="shared" si="19"/>
        <v>183.18</v>
      </c>
      <c r="T13" s="356">
        <v>0.02</v>
      </c>
      <c r="U13" s="356">
        <f t="shared" si="20"/>
        <v>61.06</v>
      </c>
      <c r="V13" s="356">
        <v>3053.05</v>
      </c>
      <c r="W13" s="356">
        <v>0.007</v>
      </c>
      <c r="X13" s="356">
        <f t="shared" si="21"/>
        <v>21.37</v>
      </c>
      <c r="Y13" s="356">
        <v>0.003</v>
      </c>
      <c r="Z13" s="356">
        <f t="shared" si="22"/>
        <v>9.16</v>
      </c>
      <c r="AA13" s="356">
        <v>3053.05</v>
      </c>
      <c r="AB13" s="356">
        <v>0.007</v>
      </c>
      <c r="AC13" s="356">
        <f t="shared" si="23"/>
        <v>21.37</v>
      </c>
      <c r="AD13" s="356">
        <v>3053.05</v>
      </c>
      <c r="AE13" s="356">
        <v>0.002</v>
      </c>
      <c r="AF13" s="356">
        <f t="shared" si="6"/>
        <v>6.11</v>
      </c>
      <c r="AG13" s="356" t="s">
        <v>64</v>
      </c>
      <c r="AH13" s="356">
        <v>0.05</v>
      </c>
      <c r="AI13" s="356">
        <f t="shared" si="24"/>
        <v>79</v>
      </c>
      <c r="AJ13" s="356">
        <v>0.05</v>
      </c>
      <c r="AK13" s="356">
        <f t="shared" si="25"/>
        <v>79</v>
      </c>
      <c r="AL13" s="365"/>
      <c r="AM13" s="356"/>
      <c r="AN13" s="356"/>
      <c r="AO13" s="356"/>
      <c r="AP13" s="163"/>
      <c r="AQ13" s="367"/>
      <c r="AR13" s="367"/>
      <c r="AS13" s="368">
        <f t="shared" si="7"/>
        <v>720.52</v>
      </c>
      <c r="AT13" s="368">
        <f t="shared" si="8"/>
        <v>314.46</v>
      </c>
      <c r="AU13" s="368">
        <f t="shared" si="9"/>
        <v>79</v>
      </c>
      <c r="AV13" s="368">
        <f t="shared" si="10"/>
        <v>79</v>
      </c>
      <c r="AW13" s="368">
        <f t="shared" si="11"/>
        <v>1192.98</v>
      </c>
      <c r="AX13" s="225">
        <f t="shared" si="12"/>
        <v>1034.98</v>
      </c>
      <c r="AY13" s="225"/>
      <c r="AZ13" s="225">
        <f t="shared" si="26"/>
        <v>158</v>
      </c>
      <c r="BA13" s="225"/>
      <c r="BB13" s="226">
        <v>80</v>
      </c>
      <c r="BC13" s="225">
        <f t="shared" si="14"/>
        <v>1272.98</v>
      </c>
      <c r="BD13" s="371"/>
      <c r="BE13" s="378"/>
      <c r="BF13" s="378"/>
      <c r="BG13" s="378"/>
      <c r="BH13" s="378"/>
    </row>
    <row r="14" s="354" customFormat="1" ht="18" customHeight="1" spans="1:60">
      <c r="A14" s="356"/>
      <c r="B14" s="163" t="s">
        <v>39</v>
      </c>
      <c r="C14" s="164" t="s">
        <v>60</v>
      </c>
      <c r="D14" s="357" t="s">
        <v>41</v>
      </c>
      <c r="E14" s="163" t="s">
        <v>51</v>
      </c>
      <c r="F14" s="165" t="s">
        <v>61</v>
      </c>
      <c r="G14" s="166" t="s">
        <v>62</v>
      </c>
      <c r="H14" s="357" t="s">
        <v>63</v>
      </c>
      <c r="I14" s="357" t="s">
        <v>63</v>
      </c>
      <c r="J14" s="357" t="s">
        <v>65</v>
      </c>
      <c r="K14" s="357" t="s">
        <v>65</v>
      </c>
      <c r="L14" s="356">
        <v>3053.05</v>
      </c>
      <c r="M14" s="356">
        <v>0.16</v>
      </c>
      <c r="N14" s="356">
        <f t="shared" si="17"/>
        <v>488.49</v>
      </c>
      <c r="O14" s="356">
        <v>0.08</v>
      </c>
      <c r="P14" s="356">
        <f t="shared" si="18"/>
        <v>244.24</v>
      </c>
      <c r="Q14" s="356">
        <v>3053.05</v>
      </c>
      <c r="R14" s="356">
        <v>0.06</v>
      </c>
      <c r="S14" s="356">
        <f t="shared" si="19"/>
        <v>183.18</v>
      </c>
      <c r="T14" s="356">
        <v>0.02</v>
      </c>
      <c r="U14" s="356">
        <f t="shared" si="20"/>
        <v>61.06</v>
      </c>
      <c r="V14" s="356">
        <v>3053.05</v>
      </c>
      <c r="W14" s="356">
        <v>0.007</v>
      </c>
      <c r="X14" s="356">
        <f t="shared" si="21"/>
        <v>21.37</v>
      </c>
      <c r="Y14" s="356">
        <v>0.003</v>
      </c>
      <c r="Z14" s="356">
        <f t="shared" si="22"/>
        <v>9.16</v>
      </c>
      <c r="AA14" s="356">
        <v>3053.05</v>
      </c>
      <c r="AB14" s="356">
        <v>0.007</v>
      </c>
      <c r="AC14" s="356">
        <f t="shared" si="23"/>
        <v>21.37</v>
      </c>
      <c r="AD14" s="356">
        <v>3053.05</v>
      </c>
      <c r="AE14" s="356">
        <v>0.002</v>
      </c>
      <c r="AF14" s="356">
        <f t="shared" si="6"/>
        <v>6.11</v>
      </c>
      <c r="AG14" s="356" t="s">
        <v>64</v>
      </c>
      <c r="AH14" s="356">
        <v>0.05</v>
      </c>
      <c r="AI14" s="356">
        <f t="shared" si="24"/>
        <v>79</v>
      </c>
      <c r="AJ14" s="356">
        <v>0.05</v>
      </c>
      <c r="AK14" s="356">
        <f t="shared" si="25"/>
        <v>79</v>
      </c>
      <c r="AL14" s="365"/>
      <c r="AM14" s="356"/>
      <c r="AN14" s="356"/>
      <c r="AO14" s="356"/>
      <c r="AP14" s="163"/>
      <c r="AQ14" s="367"/>
      <c r="AR14" s="367"/>
      <c r="AS14" s="368">
        <f t="shared" si="7"/>
        <v>720.52</v>
      </c>
      <c r="AT14" s="368">
        <f t="shared" si="8"/>
        <v>314.46</v>
      </c>
      <c r="AU14" s="368">
        <f t="shared" si="9"/>
        <v>79</v>
      </c>
      <c r="AV14" s="368">
        <f t="shared" si="10"/>
        <v>79</v>
      </c>
      <c r="AW14" s="368">
        <f t="shared" si="11"/>
        <v>1192.98</v>
      </c>
      <c r="AX14" s="225">
        <f t="shared" si="12"/>
        <v>1034.98</v>
      </c>
      <c r="AY14" s="225"/>
      <c r="AZ14" s="225">
        <f t="shared" si="26"/>
        <v>158</v>
      </c>
      <c r="BA14" s="225"/>
      <c r="BB14" s="226">
        <v>80</v>
      </c>
      <c r="BC14" s="225">
        <f t="shared" si="14"/>
        <v>1272.98</v>
      </c>
      <c r="BD14" s="371"/>
      <c r="BE14" s="378"/>
      <c r="BF14" s="378"/>
      <c r="BG14" s="378"/>
      <c r="BH14" s="378"/>
    </row>
    <row r="15" s="355" customFormat="1" ht="18" customHeight="1" spans="1:60">
      <c r="A15" s="358" t="s">
        <v>55</v>
      </c>
      <c r="B15" s="359" t="s">
        <v>39</v>
      </c>
      <c r="C15" s="360" t="s">
        <v>60</v>
      </c>
      <c r="D15" s="361" t="s">
        <v>41</v>
      </c>
      <c r="E15" s="359" t="s">
        <v>51</v>
      </c>
      <c r="F15" s="362" t="s">
        <v>61</v>
      </c>
      <c r="G15" s="363" t="s">
        <v>62</v>
      </c>
      <c r="H15" s="361" t="s">
        <v>63</v>
      </c>
      <c r="I15" s="361" t="s">
        <v>63</v>
      </c>
      <c r="J15" s="361" t="s">
        <v>63</v>
      </c>
      <c r="K15" s="361" t="s">
        <v>63</v>
      </c>
      <c r="L15" s="358">
        <v>3053.05</v>
      </c>
      <c r="M15" s="358">
        <v>0.16</v>
      </c>
      <c r="N15" s="358">
        <f t="shared" si="17"/>
        <v>488.49</v>
      </c>
      <c r="O15" s="358">
        <v>0.08</v>
      </c>
      <c r="P15" s="358">
        <f t="shared" si="18"/>
        <v>244.24</v>
      </c>
      <c r="Q15" s="358">
        <v>3053.05</v>
      </c>
      <c r="R15" s="358">
        <v>0.06</v>
      </c>
      <c r="S15" s="358">
        <f t="shared" si="19"/>
        <v>183.18</v>
      </c>
      <c r="T15" s="358">
        <v>0.02</v>
      </c>
      <c r="U15" s="358">
        <f t="shared" si="20"/>
        <v>61.06</v>
      </c>
      <c r="V15" s="358">
        <v>3053.05</v>
      </c>
      <c r="W15" s="358">
        <v>0.007</v>
      </c>
      <c r="X15" s="358">
        <f t="shared" si="21"/>
        <v>21.37</v>
      </c>
      <c r="Y15" s="358">
        <v>0.003</v>
      </c>
      <c r="Z15" s="358">
        <f t="shared" si="22"/>
        <v>9.16</v>
      </c>
      <c r="AA15" s="358">
        <v>3053.05</v>
      </c>
      <c r="AB15" s="358">
        <v>0.007</v>
      </c>
      <c r="AC15" s="358">
        <f t="shared" si="23"/>
        <v>21.37</v>
      </c>
      <c r="AD15" s="358">
        <v>3053.05</v>
      </c>
      <c r="AE15" s="358">
        <v>0.002</v>
      </c>
      <c r="AF15" s="358">
        <f t="shared" si="6"/>
        <v>6.11</v>
      </c>
      <c r="AG15" s="358" t="s">
        <v>64</v>
      </c>
      <c r="AH15" s="358">
        <v>0.05</v>
      </c>
      <c r="AI15" s="358">
        <f t="shared" si="24"/>
        <v>79</v>
      </c>
      <c r="AJ15" s="358">
        <v>0.05</v>
      </c>
      <c r="AK15" s="358">
        <f t="shared" si="25"/>
        <v>79</v>
      </c>
      <c r="AL15" s="366"/>
      <c r="AM15" s="358"/>
      <c r="AN15" s="358"/>
      <c r="AO15" s="358"/>
      <c r="AP15" s="359"/>
      <c r="AQ15" s="369"/>
      <c r="AR15" s="369"/>
      <c r="AS15" s="370">
        <f t="shared" si="7"/>
        <v>720.52</v>
      </c>
      <c r="AT15" s="370">
        <f t="shared" si="8"/>
        <v>314.46</v>
      </c>
      <c r="AU15" s="370">
        <f t="shared" si="9"/>
        <v>79</v>
      </c>
      <c r="AV15" s="370">
        <f t="shared" si="10"/>
        <v>79</v>
      </c>
      <c r="AW15" s="370">
        <f t="shared" si="11"/>
        <v>1192.98</v>
      </c>
      <c r="AX15" s="372">
        <f t="shared" si="12"/>
        <v>1034.98</v>
      </c>
      <c r="AY15" s="372"/>
      <c r="AZ15" s="372">
        <f t="shared" si="26"/>
        <v>158</v>
      </c>
      <c r="BA15" s="372"/>
      <c r="BB15" s="373">
        <v>80</v>
      </c>
      <c r="BC15" s="372">
        <f t="shared" si="14"/>
        <v>1272.98</v>
      </c>
      <c r="BD15" s="374"/>
      <c r="BE15" s="379"/>
      <c r="BF15" s="379"/>
      <c r="BG15" s="379"/>
      <c r="BH15" s="379"/>
    </row>
    <row r="16" s="152" customFormat="1" ht="18" customHeight="1" spans="1:60">
      <c r="A16" s="176"/>
      <c r="B16" s="177"/>
      <c r="C16" s="178"/>
      <c r="D16" s="179"/>
      <c r="E16" s="180"/>
      <c r="F16" s="181"/>
      <c r="G16" s="182"/>
      <c r="H16" s="183"/>
      <c r="I16" s="179"/>
      <c r="J16" s="183"/>
      <c r="K16" s="183"/>
      <c r="L16" s="199"/>
      <c r="M16" s="199"/>
      <c r="N16" s="200"/>
      <c r="O16" s="199"/>
      <c r="P16" s="199"/>
      <c r="Q16" s="199"/>
      <c r="R16" s="199"/>
      <c r="S16" s="199"/>
      <c r="T16" s="199"/>
      <c r="U16" s="199"/>
      <c r="V16" s="204"/>
      <c r="W16" s="204"/>
      <c r="X16" s="205"/>
      <c r="Y16" s="204"/>
      <c r="Z16" s="199"/>
      <c r="AA16" s="199"/>
      <c r="AB16" s="199"/>
      <c r="AC16" s="199"/>
      <c r="AD16" s="199"/>
      <c r="AE16" s="199"/>
      <c r="AF16" s="200"/>
      <c r="AG16" s="199"/>
      <c r="AH16" s="199"/>
      <c r="AI16" s="199"/>
      <c r="AJ16" s="199"/>
      <c r="AK16" s="199"/>
      <c r="AL16" s="210"/>
      <c r="AM16" s="199"/>
      <c r="AN16" s="199"/>
      <c r="AO16" s="199"/>
      <c r="AP16" s="219"/>
      <c r="AQ16" s="220"/>
      <c r="AR16" s="199"/>
      <c r="AS16" s="221"/>
      <c r="AT16" s="221"/>
      <c r="AU16" s="221"/>
      <c r="AV16" s="221"/>
      <c r="AW16" s="221"/>
      <c r="AX16" s="236"/>
      <c r="AY16" s="237"/>
      <c r="AZ16" s="236"/>
      <c r="BA16" s="237"/>
      <c r="BB16" s="238"/>
      <c r="BC16" s="236"/>
      <c r="BD16" s="240"/>
      <c r="BE16" s="155"/>
      <c r="BF16" s="155"/>
      <c r="BG16" s="155"/>
      <c r="BH16" s="155"/>
    </row>
    <row r="17" ht="14.25" spans="1:56">
      <c r="A17" s="184" t="s">
        <v>66</v>
      </c>
      <c r="B17" s="185"/>
      <c r="C17" s="186"/>
      <c r="D17" s="186"/>
      <c r="E17" s="187"/>
      <c r="F17" s="186"/>
      <c r="G17" s="186"/>
      <c r="H17" s="186"/>
      <c r="I17" s="186"/>
      <c r="J17" s="186"/>
      <c r="K17" s="186"/>
      <c r="L17" s="187">
        <f t="shared" ref="L17:BC17" si="27">SUM(L3:L15)</f>
        <v>33521.2</v>
      </c>
      <c r="M17" s="187">
        <f t="shared" si="27"/>
        <v>1.54</v>
      </c>
      <c r="N17" s="187">
        <f t="shared" si="27"/>
        <v>5135.22</v>
      </c>
      <c r="O17" s="187">
        <f t="shared" si="27"/>
        <v>0.8</v>
      </c>
      <c r="P17" s="187">
        <f t="shared" si="27"/>
        <v>2681.68</v>
      </c>
      <c r="Q17" s="187">
        <f t="shared" si="27"/>
        <v>40637.2</v>
      </c>
      <c r="R17" s="187">
        <f t="shared" si="27"/>
        <v>0.645</v>
      </c>
      <c r="S17" s="187">
        <f t="shared" si="27"/>
        <v>2543.61</v>
      </c>
      <c r="T17" s="187">
        <f t="shared" si="27"/>
        <v>0.2</v>
      </c>
      <c r="U17" s="187">
        <f t="shared" si="27"/>
        <v>812.74</v>
      </c>
      <c r="V17" s="187">
        <f t="shared" si="27"/>
        <v>33521.2</v>
      </c>
      <c r="W17" s="187">
        <f t="shared" si="27"/>
        <v>0.0586</v>
      </c>
      <c r="X17" s="187">
        <f t="shared" si="27"/>
        <v>191.29</v>
      </c>
      <c r="Y17" s="187">
        <f t="shared" si="27"/>
        <v>0.027</v>
      </c>
      <c r="Z17" s="187">
        <f t="shared" si="27"/>
        <v>89.17</v>
      </c>
      <c r="AA17" s="187">
        <f t="shared" si="27"/>
        <v>30737.2</v>
      </c>
      <c r="AB17" s="187">
        <f t="shared" si="27"/>
        <v>0.0535</v>
      </c>
      <c r="AC17" s="187">
        <f t="shared" si="27"/>
        <v>242.95</v>
      </c>
      <c r="AD17" s="187">
        <f t="shared" si="27"/>
        <v>35930.2</v>
      </c>
      <c r="AE17" s="187">
        <f t="shared" si="27"/>
        <v>0.0236</v>
      </c>
      <c r="AF17" s="187">
        <f t="shared" si="27"/>
        <v>66.32</v>
      </c>
      <c r="AG17" s="187">
        <f t="shared" si="27"/>
        <v>9000</v>
      </c>
      <c r="AH17" s="187">
        <f t="shared" si="27"/>
        <v>0.5</v>
      </c>
      <c r="AI17" s="187">
        <f t="shared" si="27"/>
        <v>1216</v>
      </c>
      <c r="AJ17" s="187">
        <f t="shared" si="27"/>
        <v>0.38</v>
      </c>
      <c r="AK17" s="187">
        <f t="shared" si="27"/>
        <v>856</v>
      </c>
      <c r="AL17" s="187">
        <f t="shared" si="27"/>
        <v>0</v>
      </c>
      <c r="AM17" s="187">
        <f t="shared" si="27"/>
        <v>0</v>
      </c>
      <c r="AN17" s="187">
        <f t="shared" si="27"/>
        <v>0</v>
      </c>
      <c r="AO17" s="187">
        <f t="shared" si="27"/>
        <v>0</v>
      </c>
      <c r="AP17" s="187">
        <f t="shared" si="27"/>
        <v>0</v>
      </c>
      <c r="AQ17" s="187">
        <f t="shared" si="27"/>
        <v>95.28</v>
      </c>
      <c r="AR17" s="187">
        <f t="shared" si="27"/>
        <v>96</v>
      </c>
      <c r="AS17" s="187">
        <f t="shared" si="27"/>
        <v>8274.67</v>
      </c>
      <c r="AT17" s="187">
        <f t="shared" si="27"/>
        <v>3583.59</v>
      </c>
      <c r="AU17" s="187">
        <f t="shared" si="27"/>
        <v>1216</v>
      </c>
      <c r="AV17" s="187">
        <f t="shared" si="27"/>
        <v>856</v>
      </c>
      <c r="AW17" s="187">
        <f t="shared" si="27"/>
        <v>13930.26</v>
      </c>
      <c r="AX17" s="187">
        <f t="shared" si="27"/>
        <v>11858.26</v>
      </c>
      <c r="AY17" s="187">
        <f t="shared" si="27"/>
        <v>0</v>
      </c>
      <c r="AZ17" s="187">
        <f t="shared" si="27"/>
        <v>2072</v>
      </c>
      <c r="BA17" s="187">
        <f t="shared" si="27"/>
        <v>0</v>
      </c>
      <c r="BB17" s="187">
        <f t="shared" si="27"/>
        <v>800</v>
      </c>
      <c r="BC17" s="187">
        <f t="shared" si="27"/>
        <v>14730.26</v>
      </c>
      <c r="BD17" s="241"/>
    </row>
    <row r="18" ht="15" spans="1:56">
      <c r="A18" s="188" t="s">
        <v>23</v>
      </c>
      <c r="B18" s="189"/>
      <c r="C18" s="190"/>
      <c r="D18" s="190"/>
      <c r="E18" s="191"/>
      <c r="F18" s="191"/>
      <c r="G18" s="191"/>
      <c r="H18" s="191"/>
      <c r="I18" s="191"/>
      <c r="J18" s="191"/>
      <c r="K18" s="191"/>
      <c r="L18" s="201">
        <f t="shared" ref="L18:AX18" si="28">SUM(L17:L17)</f>
        <v>33521.2</v>
      </c>
      <c r="M18" s="201">
        <f t="shared" si="28"/>
        <v>1.54</v>
      </c>
      <c r="N18" s="201">
        <f t="shared" si="28"/>
        <v>5135.22</v>
      </c>
      <c r="O18" s="201">
        <f t="shared" si="28"/>
        <v>0.8</v>
      </c>
      <c r="P18" s="201">
        <f t="shared" si="28"/>
        <v>2681.68</v>
      </c>
      <c r="Q18" s="201">
        <f t="shared" si="28"/>
        <v>40637.2</v>
      </c>
      <c r="R18" s="201">
        <f t="shared" si="28"/>
        <v>0.645</v>
      </c>
      <c r="S18" s="201">
        <f t="shared" si="28"/>
        <v>2543.61</v>
      </c>
      <c r="T18" s="201">
        <f t="shared" si="28"/>
        <v>0.2</v>
      </c>
      <c r="U18" s="201">
        <f t="shared" si="28"/>
        <v>812.74</v>
      </c>
      <c r="V18" s="201">
        <f t="shared" si="28"/>
        <v>33521.2</v>
      </c>
      <c r="W18" s="201">
        <f t="shared" si="28"/>
        <v>0.0586</v>
      </c>
      <c r="X18" s="201">
        <f t="shared" si="28"/>
        <v>191.29</v>
      </c>
      <c r="Y18" s="201">
        <f t="shared" si="28"/>
        <v>0.027</v>
      </c>
      <c r="Z18" s="201">
        <f t="shared" si="28"/>
        <v>89.17</v>
      </c>
      <c r="AA18" s="201">
        <f t="shared" si="28"/>
        <v>30737.2</v>
      </c>
      <c r="AB18" s="201">
        <f t="shared" si="28"/>
        <v>0.0535</v>
      </c>
      <c r="AC18" s="201">
        <f t="shared" si="28"/>
        <v>242.95</v>
      </c>
      <c r="AD18" s="201">
        <f t="shared" si="28"/>
        <v>35930.2</v>
      </c>
      <c r="AE18" s="201">
        <f t="shared" si="28"/>
        <v>0.0236</v>
      </c>
      <c r="AF18" s="201">
        <f t="shared" si="28"/>
        <v>66.32</v>
      </c>
      <c r="AG18" s="201">
        <f t="shared" si="28"/>
        <v>9000</v>
      </c>
      <c r="AH18" s="201">
        <f t="shared" si="28"/>
        <v>0.5</v>
      </c>
      <c r="AI18" s="201">
        <f t="shared" si="28"/>
        <v>1216</v>
      </c>
      <c r="AJ18" s="201">
        <f t="shared" si="28"/>
        <v>0.38</v>
      </c>
      <c r="AK18" s="201">
        <f t="shared" si="28"/>
        <v>856</v>
      </c>
      <c r="AL18" s="201">
        <f t="shared" si="28"/>
        <v>0</v>
      </c>
      <c r="AM18" s="201">
        <f t="shared" si="28"/>
        <v>0</v>
      </c>
      <c r="AN18" s="201">
        <f t="shared" si="28"/>
        <v>0</v>
      </c>
      <c r="AO18" s="201">
        <f t="shared" si="28"/>
        <v>0</v>
      </c>
      <c r="AP18" s="201">
        <f t="shared" si="28"/>
        <v>0</v>
      </c>
      <c r="AQ18" s="201">
        <f t="shared" si="28"/>
        <v>95.28</v>
      </c>
      <c r="AR18" s="201">
        <f t="shared" si="28"/>
        <v>96</v>
      </c>
      <c r="AS18" s="222">
        <f t="shared" si="28"/>
        <v>8274.67</v>
      </c>
      <c r="AT18" s="222">
        <f t="shared" si="28"/>
        <v>3583.59</v>
      </c>
      <c r="AU18" s="222">
        <f t="shared" si="28"/>
        <v>1216</v>
      </c>
      <c r="AV18" s="222">
        <f t="shared" si="28"/>
        <v>856</v>
      </c>
      <c r="AW18" s="222">
        <f t="shared" si="28"/>
        <v>13930.26</v>
      </c>
      <c r="AX18" s="242">
        <f t="shared" si="28"/>
        <v>11858.26</v>
      </c>
      <c r="AY18" s="242"/>
      <c r="AZ18" s="242">
        <f t="shared" ref="AZ18:BC18" si="29">SUM(AZ17:AZ17)</f>
        <v>2072</v>
      </c>
      <c r="BA18" s="242"/>
      <c r="BB18" s="201">
        <f t="shared" si="29"/>
        <v>800</v>
      </c>
      <c r="BC18" s="201">
        <f t="shared" si="29"/>
        <v>14730.26</v>
      </c>
      <c r="BD18" s="243"/>
    </row>
    <row r="19" s="153" customFormat="1" spans="1:56">
      <c r="A19" s="192"/>
      <c r="B19" s="192"/>
      <c r="C19" s="192"/>
      <c r="D19" s="192"/>
      <c r="E19" s="192"/>
      <c r="F19" s="193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223"/>
      <c r="AT19" s="223"/>
      <c r="AU19" s="223"/>
      <c r="AV19" s="223"/>
      <c r="AW19" s="223"/>
      <c r="AX19" s="192"/>
      <c r="AY19" s="192"/>
      <c r="AZ19" s="192"/>
      <c r="BA19" s="192"/>
      <c r="BB19" s="192"/>
      <c r="BC19" s="192"/>
      <c r="BD19" s="244"/>
    </row>
    <row r="20" s="154" customFormat="1" spans="1:56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55"/>
      <c r="AK20" s="155"/>
      <c r="AL20" s="155"/>
      <c r="AM20" s="155"/>
      <c r="AN20" s="155"/>
      <c r="AO20" s="155"/>
      <c r="AP20" s="155"/>
      <c r="AQ20" s="155"/>
      <c r="AR20" s="155"/>
      <c r="AS20" s="156"/>
      <c r="AT20" s="156"/>
      <c r="AU20" s="156"/>
      <c r="AV20" s="156"/>
      <c r="AW20" s="156"/>
      <c r="AX20" s="155"/>
      <c r="AY20" s="155"/>
      <c r="AZ20" s="155"/>
      <c r="BA20" s="155"/>
      <c r="BB20" s="155"/>
      <c r="BC20" s="155"/>
      <c r="BD20" s="157"/>
    </row>
    <row r="22" spans="50:55">
      <c r="AX22" s="245"/>
      <c r="AY22" s="245"/>
      <c r="BC22" s="246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0" priority="2" stopIfTrue="1"/>
  </conditionalFormatting>
  <conditionalFormatting sqref="K1:L1">
    <cfRule type="duplicateValues" dxfId="0" priority="3" stopIfTrue="1"/>
  </conditionalFormatting>
  <conditionalFormatting sqref="Q1">
    <cfRule type="duplicateValues" dxfId="0" priority="4" stopIfTrue="1"/>
  </conditionalFormatting>
  <conditionalFormatting sqref="V1">
    <cfRule type="duplicateValues" dxfId="0" priority="5" stopIfTrue="1"/>
  </conditionalFormatting>
  <conditionalFormatting sqref="AG1">
    <cfRule type="duplicateValues" dxfId="0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29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AU4" sqref="AU4:AU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196</v>
      </c>
      <c r="C4" s="37" t="s">
        <v>43</v>
      </c>
      <c r="D4" s="37" t="s">
        <v>197</v>
      </c>
      <c r="E4" s="37" t="s">
        <v>44</v>
      </c>
      <c r="F4" s="38" t="s">
        <v>198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 t="shared" ref="Q4:Q12" si="0">ROUND(SUM(M4:P4),2)</f>
        <v>545.44</v>
      </c>
      <c r="R4" s="73">
        <v>0</v>
      </c>
      <c r="S4" s="92">
        <f>L4+IFERROR(VLOOKUP($E:$E,'（居民）工资表-10月'!$E:$S,15,0),0)</f>
        <v>10560</v>
      </c>
      <c r="T4" s="93">
        <f>5000+IFERROR(VLOOKUP($E:$E,'（居民）工资表-10月'!$E:$T,16,0),0)</f>
        <v>5000</v>
      </c>
      <c r="U4" s="93">
        <f>Q4+IFERROR(VLOOKUP($E:$E,'（居民）工资表-10月'!$E:$U,17,0),0)</f>
        <v>545.44</v>
      </c>
      <c r="V4" s="73">
        <v>11000</v>
      </c>
      <c r="W4" s="73"/>
      <c r="X4" s="73"/>
      <c r="Y4" s="73">
        <v>11000</v>
      </c>
      <c r="Z4" s="73">
        <v>4400</v>
      </c>
      <c r="AA4" s="73"/>
      <c r="AB4" s="92">
        <f t="shared" ref="AB4:AB12" si="1">ROUND(SUM(V4:AA4),2)</f>
        <v>26400</v>
      </c>
      <c r="AC4" s="92">
        <f>R4+IFERROR(VLOOKUP($E:$E,'（居民）工资表-10月'!$E:$AC,25,0),0)</f>
        <v>0</v>
      </c>
      <c r="AD4" s="97">
        <f t="shared" ref="AD4:AD12" si="2">ROUND(S4-T4-U4-AB4-AC4,2)</f>
        <v>-21385.44</v>
      </c>
      <c r="AE4" s="98">
        <f>ROUND(MAX((AD4)*{0.03;0.1;0.2;0.25;0.3;0.35;0.45}-{0;2520;16920;31920;52920;85920;181920},0),2)</f>
        <v>0</v>
      </c>
      <c r="AF4" s="99">
        <f>IFERROR(VLOOKUP(E:E,'（居民）工资表-10月'!E:AF,28,0)+VLOOKUP(E:E,'（居民）工资表-10月'!E:AG,29,0),0)</f>
        <v>0</v>
      </c>
      <c r="AG4" s="99">
        <f>IF((AE4-AF4)&lt;0,0,AE4-AF4)</f>
        <v>0</v>
      </c>
      <c r="AH4" s="109">
        <f t="shared" ref="AH4:AH12" si="3">ROUND(IF((L4-Q4-AG4)&lt;0,0,(L4-Q4-AG4)),2)</f>
        <v>10014.56</v>
      </c>
      <c r="AI4" s="110"/>
      <c r="AJ4" s="109">
        <f t="shared" ref="AJ4:AJ12" si="4">AH4+AI4</f>
        <v>10014.56</v>
      </c>
      <c r="AK4" s="111"/>
      <c r="AL4" s="109">
        <f t="shared" ref="AL4:AL12" si="5">AJ4+AG4+AK4</f>
        <v>10014.56</v>
      </c>
      <c r="AM4" s="111"/>
      <c r="AN4" s="111"/>
      <c r="AO4" s="111"/>
      <c r="AP4" s="111"/>
      <c r="AQ4" s="111"/>
      <c r="AR4" s="118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2" si="7">IF(SUMPRODUCT(N(E$1:E$6=E4))&gt;1,"重复","不")</f>
        <v>不</v>
      </c>
      <c r="AT4" s="118" t="str">
        <f t="shared" ref="AT4:AT12" si="8">IF(SUMPRODUCT(N(AO$1:AO$6=AO4))&gt;1,"重复","不")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196</v>
      </c>
      <c r="C5" s="37" t="s">
        <v>61</v>
      </c>
      <c r="D5" s="37" t="s">
        <v>197</v>
      </c>
      <c r="E5" s="37" t="s">
        <v>62</v>
      </c>
      <c r="F5" s="38" t="s">
        <v>198</v>
      </c>
      <c r="G5" s="41">
        <v>13944441728</v>
      </c>
      <c r="H5" s="40"/>
      <c r="I5" s="40"/>
      <c r="J5" s="70"/>
      <c r="K5" s="40"/>
      <c r="L5" s="73">
        <v>7000</v>
      </c>
      <c r="M5" s="72">
        <v>296.26</v>
      </c>
      <c r="N5" s="72">
        <v>72.06</v>
      </c>
      <c r="O5" s="72">
        <v>11.11</v>
      </c>
      <c r="P5" s="72">
        <v>82</v>
      </c>
      <c r="Q5" s="91">
        <f t="shared" si="0"/>
        <v>461.43</v>
      </c>
      <c r="R5" s="73">
        <v>0</v>
      </c>
      <c r="S5" s="92">
        <f>L5+IFERROR(VLOOKUP($E:$E,'（居民）工资表-10月'!$E:$S,15,0),0)</f>
        <v>85000</v>
      </c>
      <c r="T5" s="93">
        <f>5000+IFERROR(VLOOKUP($E:$E,'（居民）工资表-10月'!$E:$T,16,0),0)</f>
        <v>55000</v>
      </c>
      <c r="U5" s="93">
        <f>Q5+IFERROR(VLOOKUP($E:$E,'（居民）工资表-10月'!$E:$U,17,0),0)</f>
        <v>6295.83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R5+IFERROR(VLOOKUP($E:$E,'（居民）工资表-10月'!$E:$AC,25,0),0)</f>
        <v>0</v>
      </c>
      <c r="AD5" s="97">
        <f t="shared" si="2"/>
        <v>23704.17</v>
      </c>
      <c r="AE5" s="98">
        <f>ROUND(MAX((AD5)*{0.03;0.1;0.2;0.25;0.3;0.35;0.45}-{0;2520;16920;31920;52920;85920;181920},0),2)</f>
        <v>711.13</v>
      </c>
      <c r="AF5" s="99">
        <f>IFERROR(VLOOKUP(E:E,'（居民）工资表-10月'!E:AF,28,0)+VLOOKUP(E:E,'（居民）工资表-10月'!E:AG,29,0),0)</f>
        <v>592.62</v>
      </c>
      <c r="AG5" s="99">
        <f t="shared" ref="AG5:AG12" si="9">IF((AE5-AF5)&lt;0,0,AE5-AF5)</f>
        <v>118.51</v>
      </c>
      <c r="AH5" s="109">
        <f t="shared" si="3"/>
        <v>6420.06</v>
      </c>
      <c r="AI5" s="110"/>
      <c r="AJ5" s="109">
        <f t="shared" si="4"/>
        <v>6420.06</v>
      </c>
      <c r="AK5" s="111"/>
      <c r="AL5" s="109">
        <f t="shared" si="5"/>
        <v>6538.57</v>
      </c>
      <c r="AM5" s="111"/>
      <c r="AN5" s="111"/>
      <c r="AO5" s="111"/>
      <c r="AP5" s="111"/>
      <c r="AQ5" s="111"/>
      <c r="AR5" s="118" t="str">
        <f t="shared" si="6"/>
        <v>正确</v>
      </c>
      <c r="AS5" s="118" t="str">
        <f t="shared" si="7"/>
        <v>不</v>
      </c>
      <c r="AT5" s="118" t="str">
        <f t="shared" si="8"/>
        <v>重复</v>
      </c>
      <c r="AU5" s="12" t="s">
        <v>199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101</v>
      </c>
      <c r="D6" s="37" t="s">
        <v>197</v>
      </c>
      <c r="E6" s="37" t="s">
        <v>102</v>
      </c>
      <c r="F6" s="38" t="s">
        <v>200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>L6+IFERROR(VLOOKUP($E:$E,'（居民）工资表-10月'!$E:$S,15,0),0)</f>
        <v>62700</v>
      </c>
      <c r="T6" s="93">
        <f>5000+IFERROR(VLOOKUP($E:$E,'（居民）工资表-10月'!$E:$T,16,0),0)</f>
        <v>55000</v>
      </c>
      <c r="U6" s="93">
        <f>Q6+IFERROR(VLOOKUP($E:$E,'（居民）工资表-10月'!$E:$U,17,0),0)</f>
        <v>6854.84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R6+IFERROR(VLOOKUP($E:$E,'（居民）工资表-10月'!$E:$AC,25,0),0)</f>
        <v>0</v>
      </c>
      <c r="AD6" s="97">
        <f t="shared" si="2"/>
        <v>845.16</v>
      </c>
      <c r="AE6" s="98">
        <f>ROUND(MAX((AD6)*{0.03;0.1;0.2;0.25;0.3;0.35;0.45}-{0;2520;16920;31920;52920;85920;181920},0),2)</f>
        <v>25.35</v>
      </c>
      <c r="AF6" s="99">
        <f>IFERROR(VLOOKUP(E:E,'（居民）工资表-10月'!E:AF,28,0)+VLOOKUP(E:E,'（居民）工资表-10月'!E:AG,29,0),0)</f>
        <v>23.28</v>
      </c>
      <c r="AG6" s="99">
        <f t="shared" si="9"/>
        <v>2.07</v>
      </c>
      <c r="AH6" s="109">
        <f t="shared" si="3"/>
        <v>5067.01</v>
      </c>
      <c r="AI6" s="110"/>
      <c r="AJ6" s="109">
        <f t="shared" si="4"/>
        <v>5067.01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8" t="str">
        <f t="shared" si="6"/>
        <v>正确</v>
      </c>
      <c r="AS6" s="118" t="str">
        <f t="shared" si="7"/>
        <v>不</v>
      </c>
      <c r="AT6" s="118" t="str">
        <f t="shared" si="8"/>
        <v>重复</v>
      </c>
      <c r="AU6" s="12" t="s">
        <v>50</v>
      </c>
      <c r="AV6" s="12" t="s">
        <v>51</v>
      </c>
    </row>
    <row r="7" s="12" customFormat="1" ht="19" customHeight="1" spans="1:48">
      <c r="A7" s="36">
        <v>4</v>
      </c>
      <c r="B7" s="37" t="s">
        <v>196</v>
      </c>
      <c r="C7" s="37" t="s">
        <v>105</v>
      </c>
      <c r="D7" s="37" t="s">
        <v>197</v>
      </c>
      <c r="E7" s="383" t="s">
        <v>106</v>
      </c>
      <c r="F7" s="38" t="s">
        <v>198</v>
      </c>
      <c r="G7" s="41" t="s">
        <v>201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L7+IFERROR(VLOOKUP($E:$E,'（居民）工资表-10月'!$E:$S,15,0),0)</f>
        <v>335660</v>
      </c>
      <c r="T7" s="93">
        <f>5000+IFERROR(VLOOKUP($E:$E,'（居民）工资表-10月'!$E:$T,16,0),0)</f>
        <v>55000</v>
      </c>
      <c r="U7" s="93">
        <f>Q7+IFERROR(VLOOKUP($E:$E,'（居民）工资表-10月'!$E:$U,17,0),0)</f>
        <v>9856.4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R7+IFERROR(VLOOKUP($E:$E,'（居民）工资表-10月'!$E:$AC,25,0),0)</f>
        <v>0</v>
      </c>
      <c r="AD7" s="97">
        <f t="shared" si="2"/>
        <v>270803.6</v>
      </c>
      <c r="AE7" s="98">
        <f>ROUND(MAX((AD7)*{0.03;0.1;0.2;0.25;0.3;0.35;0.45}-{0;2520;16920;31920;52920;85920;181920},0),2)</f>
        <v>37240.72</v>
      </c>
      <c r="AF7" s="99">
        <f>IFERROR(VLOOKUP(E:E,'（居民）工资表-10月'!E:AF,28,0)+VLOOKUP(E:E,'（居民）工资表-10月'!E:AG,29,0),0)</f>
        <v>32401.9</v>
      </c>
      <c r="AG7" s="99">
        <f t="shared" si="9"/>
        <v>4838.82</v>
      </c>
      <c r="AH7" s="109">
        <f t="shared" si="3"/>
        <v>24355.28</v>
      </c>
      <c r="AI7" s="110"/>
      <c r="AJ7" s="109">
        <f t="shared" si="4"/>
        <v>24355.28</v>
      </c>
      <c r="AK7" s="111"/>
      <c r="AL7" s="109">
        <f t="shared" si="5"/>
        <v>29194.1</v>
      </c>
      <c r="AM7" s="111"/>
      <c r="AN7" s="111"/>
      <c r="AO7" s="111"/>
      <c r="AP7" s="111"/>
      <c r="AQ7" s="111"/>
      <c r="AR7" s="118" t="str">
        <f t="shared" si="6"/>
        <v>正确</v>
      </c>
      <c r="AS7" s="118" t="str">
        <f t="shared" si="7"/>
        <v>不</v>
      </c>
      <c r="AT7" s="118" t="str">
        <f t="shared" si="8"/>
        <v>重复</v>
      </c>
      <c r="AU7" s="12" t="s">
        <v>104</v>
      </c>
      <c r="AV7" s="12" t="s">
        <v>202</v>
      </c>
    </row>
    <row r="8" s="12" customFormat="1" ht="19" customHeight="1" spans="1:48">
      <c r="A8" s="36">
        <v>5</v>
      </c>
      <c r="B8" s="37" t="s">
        <v>196</v>
      </c>
      <c r="C8" s="37" t="s">
        <v>109</v>
      </c>
      <c r="D8" s="37" t="s">
        <v>197</v>
      </c>
      <c r="E8" s="383" t="s">
        <v>110</v>
      </c>
      <c r="F8" s="38" t="s">
        <v>198</v>
      </c>
      <c r="G8" s="41" t="s">
        <v>203</v>
      </c>
      <c r="H8" s="40"/>
      <c r="I8" s="40"/>
      <c r="J8" s="70"/>
      <c r="K8" s="40"/>
      <c r="L8" s="73">
        <v>4909.09</v>
      </c>
      <c r="M8" s="72">
        <v>274.4</v>
      </c>
      <c r="N8" s="72">
        <v>76.6</v>
      </c>
      <c r="O8" s="72">
        <v>17.15</v>
      </c>
      <c r="P8" s="72">
        <v>75</v>
      </c>
      <c r="Q8" s="91">
        <f t="shared" si="0"/>
        <v>443.15</v>
      </c>
      <c r="R8" s="73">
        <v>0</v>
      </c>
      <c r="S8" s="92">
        <f>L8+IFERROR(VLOOKUP($E:$E,'（居民）工资表-10月'!$E:$S,15,0),0)</f>
        <v>81609.09</v>
      </c>
      <c r="T8" s="93">
        <f>5000+IFERROR(VLOOKUP($E:$E,'（居民）工资表-10月'!$E:$T,16,0),0)</f>
        <v>55000</v>
      </c>
      <c r="U8" s="93">
        <f>Q8+IFERROR(VLOOKUP($E:$E,'（居民）工资表-10月'!$E:$U,17,0),0)</f>
        <v>5963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R8+IFERROR(VLOOKUP($E:$E,'（居民）工资表-10月'!$E:$AC,25,0),0)</f>
        <v>0</v>
      </c>
      <c r="AD8" s="97">
        <f t="shared" si="2"/>
        <v>20646.09</v>
      </c>
      <c r="AE8" s="98">
        <f>ROUND(MAX((AD8)*{0.03;0.1;0.2;0.25;0.3;0.35;0.45}-{0;2520;16920;31920;52920;85920;181920},0),2)</f>
        <v>619.38</v>
      </c>
      <c r="AF8" s="99">
        <f>IFERROR(VLOOKUP(E:E,'（居民）工资表-10月'!E:AF,28,0)+VLOOKUP(E:E,'（居民）工资表-10月'!E:AG,29,0),0)</f>
        <v>635.4</v>
      </c>
      <c r="AG8" s="99">
        <f t="shared" si="9"/>
        <v>0</v>
      </c>
      <c r="AH8" s="109">
        <f t="shared" si="3"/>
        <v>4465.94</v>
      </c>
      <c r="AI8" s="110"/>
      <c r="AJ8" s="109">
        <f t="shared" si="4"/>
        <v>4465.94</v>
      </c>
      <c r="AK8" s="111"/>
      <c r="AL8" s="109">
        <f t="shared" si="5"/>
        <v>4465.94</v>
      </c>
      <c r="AM8" s="111"/>
      <c r="AN8" s="111"/>
      <c r="AO8" s="111"/>
      <c r="AP8" s="111"/>
      <c r="AQ8" s="111"/>
      <c r="AR8" s="118" t="str">
        <f t="shared" si="6"/>
        <v>正确</v>
      </c>
      <c r="AS8" s="118" t="str">
        <f t="shared" si="7"/>
        <v>不</v>
      </c>
      <c r="AT8" s="118" t="str">
        <f t="shared" si="8"/>
        <v>重复</v>
      </c>
      <c r="AU8" s="12" t="s">
        <v>146</v>
      </c>
      <c r="AV8" s="12" t="s">
        <v>51</v>
      </c>
    </row>
    <row r="9" s="12" customFormat="1" ht="19" customHeight="1" spans="1:48">
      <c r="A9" s="36">
        <v>6</v>
      </c>
      <c r="B9" s="37" t="s">
        <v>196</v>
      </c>
      <c r="C9" s="37" t="s">
        <v>117</v>
      </c>
      <c r="D9" s="37" t="s">
        <v>197</v>
      </c>
      <c r="E9" s="383" t="s">
        <v>118</v>
      </c>
      <c r="F9" s="38" t="s">
        <v>198</v>
      </c>
      <c r="G9" s="41">
        <v>19356875630</v>
      </c>
      <c r="H9" s="40"/>
      <c r="I9" s="40"/>
      <c r="J9" s="70"/>
      <c r="K9" s="40"/>
      <c r="L9" s="73">
        <v>5200</v>
      </c>
      <c r="M9" s="72">
        <v>274.4</v>
      </c>
      <c r="N9" s="72">
        <v>74.6</v>
      </c>
      <c r="O9" s="72">
        <v>17.15</v>
      </c>
      <c r="P9" s="72">
        <v>170</v>
      </c>
      <c r="Q9" s="91">
        <f t="shared" si="0"/>
        <v>536.15</v>
      </c>
      <c r="R9" s="73">
        <v>0</v>
      </c>
      <c r="S9" s="92">
        <f>L9+IFERROR(VLOOKUP($E:$E,'（居民）工资表-10月'!$E:$S,15,0),0)</f>
        <v>96000</v>
      </c>
      <c r="T9" s="93">
        <f>5000+IFERROR(VLOOKUP($E:$E,'（居民）工资表-10月'!$E:$T,16,0),0)</f>
        <v>55000</v>
      </c>
      <c r="U9" s="93">
        <f>Q9+IFERROR(VLOOKUP($E:$E,'（居民）工资表-10月'!$E:$U,17,0),0)</f>
        <v>6896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R9+IFERROR(VLOOKUP($E:$E,'（居民）工资表-10月'!$E:$AC,25,0),0)</f>
        <v>0</v>
      </c>
      <c r="AD9" s="97">
        <f t="shared" si="2"/>
        <v>34104</v>
      </c>
      <c r="AE9" s="98">
        <f>ROUND(MAX((AD9)*{0.03;0.1;0.2;0.25;0.3;0.35;0.45}-{0;2520;16920;31920;52920;85920;181920},0),2)</f>
        <v>1023.12</v>
      </c>
      <c r="AF9" s="99">
        <f>IFERROR(VLOOKUP(E:E,'（居民）工资表-10月'!E:AF,28,0)+VLOOKUP(E:E,'（居民）工资表-10月'!E:AG,29,0),0)</f>
        <v>1033.2</v>
      </c>
      <c r="AG9" s="99">
        <f t="shared" si="9"/>
        <v>0</v>
      </c>
      <c r="AH9" s="109">
        <f t="shared" si="3"/>
        <v>4663.85</v>
      </c>
      <c r="AI9" s="110"/>
      <c r="AJ9" s="109">
        <f t="shared" si="4"/>
        <v>4663.85</v>
      </c>
      <c r="AK9" s="111"/>
      <c r="AL9" s="109">
        <f t="shared" si="5"/>
        <v>4663.85</v>
      </c>
      <c r="AM9" s="111"/>
      <c r="AN9" s="111"/>
      <c r="AO9" s="111"/>
      <c r="AP9" s="111"/>
      <c r="AQ9" s="111"/>
      <c r="AR9" s="118" t="str">
        <f t="shared" si="6"/>
        <v>正确</v>
      </c>
      <c r="AS9" s="118" t="str">
        <f t="shared" si="7"/>
        <v>不</v>
      </c>
      <c r="AT9" s="118" t="str">
        <f t="shared" si="8"/>
        <v>重复</v>
      </c>
      <c r="AU9" s="12" t="s">
        <v>146</v>
      </c>
      <c r="AV9" s="12" t="s">
        <v>51</v>
      </c>
    </row>
    <row r="10" s="12" customFormat="1" ht="19" customHeight="1" spans="1:48">
      <c r="A10" s="36">
        <v>7</v>
      </c>
      <c r="B10" s="37" t="s">
        <v>196</v>
      </c>
      <c r="C10" s="37" t="s">
        <v>131</v>
      </c>
      <c r="D10" s="37" t="s">
        <v>197</v>
      </c>
      <c r="E10" s="383" t="s">
        <v>132</v>
      </c>
      <c r="F10" s="38" t="s">
        <v>198</v>
      </c>
      <c r="G10" s="41">
        <v>13973652684</v>
      </c>
      <c r="H10" s="40"/>
      <c r="I10" s="40"/>
      <c r="J10" s="70"/>
      <c r="K10" s="40"/>
      <c r="L10" s="73">
        <v>5200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>L10+IFERROR(VLOOKUP($E:$E,'（居民）工资表-10月'!$E:$S,15,0),0)</f>
        <v>70200</v>
      </c>
      <c r="T10" s="93">
        <f>5000+IFERROR(VLOOKUP($E:$E,'（居民）工资表-10月'!$E:$T,16,0),0)</f>
        <v>55000</v>
      </c>
      <c r="U10" s="93">
        <f>Q10+IFERROR(VLOOKUP($E:$E,'（居民）工资表-10月'!$E:$U,17,0),0)</f>
        <v>5666.79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R10+IFERROR(VLOOKUP($E:$E,'（居民）工资表-10月'!$E:$AC,25,0),0)</f>
        <v>0</v>
      </c>
      <c r="AD10" s="97">
        <f t="shared" si="2"/>
        <v>9533.21</v>
      </c>
      <c r="AE10" s="98">
        <f>ROUND(MAX((AD10)*{0.03;0.1;0.2;0.25;0.3;0.35;0.45}-{0;2520;16920;31920;52920;85920;181920},0),2)</f>
        <v>286</v>
      </c>
      <c r="AF10" s="99">
        <f>IFERROR(VLOOKUP(E:E,'（居民）工资表-10月'!E:AF,28,0)+VLOOKUP(E:E,'（居民）工资表-10月'!E:AG,29,0),0)</f>
        <v>294.18</v>
      </c>
      <c r="AG10" s="99">
        <f t="shared" si="9"/>
        <v>0</v>
      </c>
      <c r="AH10" s="109">
        <f t="shared" si="3"/>
        <v>4727.35</v>
      </c>
      <c r="AI10" s="110"/>
      <c r="AJ10" s="109">
        <f t="shared" si="4"/>
        <v>4727.35</v>
      </c>
      <c r="AK10" s="111"/>
      <c r="AL10" s="109">
        <f t="shared" si="5"/>
        <v>4727.35</v>
      </c>
      <c r="AM10" s="111"/>
      <c r="AN10" s="111"/>
      <c r="AO10" s="111"/>
      <c r="AP10" s="111"/>
      <c r="AQ10" s="111"/>
      <c r="AR10" s="118" t="str">
        <f t="shared" si="6"/>
        <v>正确</v>
      </c>
      <c r="AS10" s="118" t="str">
        <f t="shared" si="7"/>
        <v>不</v>
      </c>
      <c r="AT10" s="118" t="str">
        <f t="shared" si="8"/>
        <v>重复</v>
      </c>
      <c r="AU10" s="12" t="s">
        <v>204</v>
      </c>
      <c r="AV10" s="12" t="s">
        <v>51</v>
      </c>
    </row>
    <row r="11" s="12" customFormat="1" ht="18" customHeight="1" spans="1:48">
      <c r="A11" s="36">
        <v>8</v>
      </c>
      <c r="B11" s="37" t="s">
        <v>196</v>
      </c>
      <c r="C11" s="37" t="s">
        <v>136</v>
      </c>
      <c r="D11" s="37" t="s">
        <v>197</v>
      </c>
      <c r="E11" s="37" t="s">
        <v>137</v>
      </c>
      <c r="F11" s="38" t="s">
        <v>198</v>
      </c>
      <c r="G11" s="41" t="s">
        <v>205</v>
      </c>
      <c r="H11" s="40"/>
      <c r="I11" s="40"/>
      <c r="J11" s="70"/>
      <c r="K11" s="40"/>
      <c r="L11" s="73">
        <v>5500</v>
      </c>
      <c r="M11" s="72">
        <v>543.6</v>
      </c>
      <c r="N11" s="72">
        <v>140.9</v>
      </c>
      <c r="O11" s="72">
        <v>33.98</v>
      </c>
      <c r="P11" s="72">
        <v>105</v>
      </c>
      <c r="Q11" s="91">
        <f t="shared" si="0"/>
        <v>823.48</v>
      </c>
      <c r="R11" s="73">
        <v>0</v>
      </c>
      <c r="S11" s="92">
        <f>L11+IFERROR(VLOOKUP($E:$E,'（居民）工资表-10月'!$E:$S,15,0),0)</f>
        <v>60500</v>
      </c>
      <c r="T11" s="93">
        <f>5000+IFERROR(VLOOKUP($E:$E,'（居民）工资表-10月'!$E:$T,16,0),0)</f>
        <v>55000</v>
      </c>
      <c r="U11" s="93">
        <f>Q11+IFERROR(VLOOKUP($E:$E,'（居民）工资表-10月'!$E:$U,17,0),0)</f>
        <v>6264.33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R11+IFERROR(VLOOKUP($E:$E,'（居民）工资表-10月'!$E:$AC,25,0),0)</f>
        <v>0</v>
      </c>
      <c r="AD11" s="97">
        <f t="shared" si="2"/>
        <v>-764.33</v>
      </c>
      <c r="AE11" s="98">
        <f>ROUND(MAX((AD11)*{0.03;0.1;0.2;0.25;0.3;0.35;0.45}-{0;2520;16920;31920;52920;85920;181920},0),2)</f>
        <v>0</v>
      </c>
      <c r="AF11" s="99">
        <f>IFERROR(VLOOKUP(E:E,'（居民）工资表-10月'!E:AF,28,0)+VLOOKUP(E:E,'（居民）工资表-10月'!E:AG,29,0),0)</f>
        <v>0</v>
      </c>
      <c r="AG11" s="99">
        <f t="shared" si="9"/>
        <v>0</v>
      </c>
      <c r="AH11" s="109">
        <f t="shared" si="3"/>
        <v>4676.52</v>
      </c>
      <c r="AI11" s="110"/>
      <c r="AJ11" s="109">
        <f t="shared" si="4"/>
        <v>4676.52</v>
      </c>
      <c r="AK11" s="111"/>
      <c r="AL11" s="109">
        <f t="shared" si="5"/>
        <v>4676.52</v>
      </c>
      <c r="AM11" s="111"/>
      <c r="AN11" s="111"/>
      <c r="AO11" s="111"/>
      <c r="AP11" s="111"/>
      <c r="AQ11" s="111"/>
      <c r="AR11" s="118" t="str">
        <f t="shared" si="6"/>
        <v>正确</v>
      </c>
      <c r="AS11" s="118" t="str">
        <f t="shared" si="7"/>
        <v>不</v>
      </c>
      <c r="AT11" s="118" t="str">
        <f t="shared" si="8"/>
        <v>重复</v>
      </c>
      <c r="AU11" s="12" t="s">
        <v>135</v>
      </c>
      <c r="AV11" s="12" t="s">
        <v>206</v>
      </c>
    </row>
    <row r="12" s="12" customFormat="1" ht="18" customHeight="1" spans="1:48">
      <c r="A12" s="36">
        <v>9</v>
      </c>
      <c r="B12" s="37" t="s">
        <v>196</v>
      </c>
      <c r="C12" s="37" t="s">
        <v>139</v>
      </c>
      <c r="D12" s="37" t="s">
        <v>197</v>
      </c>
      <c r="E12" s="37" t="s">
        <v>140</v>
      </c>
      <c r="F12" s="38" t="s">
        <v>200</v>
      </c>
      <c r="G12" s="41" t="s">
        <v>207</v>
      </c>
      <c r="H12" s="40"/>
      <c r="I12" s="40"/>
      <c r="J12" s="70"/>
      <c r="K12" s="40"/>
      <c r="L12" s="73">
        <v>3197.6</v>
      </c>
      <c r="M12" s="72">
        <v>704</v>
      </c>
      <c r="N12" s="72">
        <v>220</v>
      </c>
      <c r="O12" s="72">
        <v>44</v>
      </c>
      <c r="P12" s="72">
        <v>218</v>
      </c>
      <c r="Q12" s="91">
        <f t="shared" si="0"/>
        <v>1186</v>
      </c>
      <c r="R12" s="73">
        <v>0</v>
      </c>
      <c r="S12" s="92">
        <f>L12+IFERROR(VLOOKUP($E:$E,'（居民）工资表-10月'!$E:$S,15,0),0)</f>
        <v>49185.6</v>
      </c>
      <c r="T12" s="93">
        <f>5000+IFERROR(VLOOKUP($E:$E,'（居民）工资表-10月'!$E:$T,16,0),0)</f>
        <v>55000</v>
      </c>
      <c r="U12" s="93">
        <f>Q12+IFERROR(VLOOKUP($E:$E,'（居民）工资表-10月'!$E:$U,17,0),0)</f>
        <v>7114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R12+IFERROR(VLOOKUP($E:$E,'（居民）工资表-10月'!$E:$AC,25,0),0)</f>
        <v>0</v>
      </c>
      <c r="AD12" s="97">
        <f t="shared" si="2"/>
        <v>-12928.4</v>
      </c>
      <c r="AE12" s="98">
        <f>ROUND(MAX((AD12)*{0.03;0.1;0.2;0.25;0.3;0.35;0.45}-{0;2520;16920;31920;52920;85920;181920},0),2)</f>
        <v>0</v>
      </c>
      <c r="AF12" s="99">
        <f>IFERROR(VLOOKUP(E:E,'（居民）工资表-10月'!E:AF,28,0)+VLOOKUP(E:E,'（居民）工资表-10月'!E:AG,29,0),0)</f>
        <v>0</v>
      </c>
      <c r="AG12" s="99">
        <f t="shared" si="9"/>
        <v>0</v>
      </c>
      <c r="AH12" s="109">
        <f t="shared" si="3"/>
        <v>2011.6</v>
      </c>
      <c r="AI12" s="110"/>
      <c r="AJ12" s="109">
        <f t="shared" si="4"/>
        <v>2011.6</v>
      </c>
      <c r="AK12" s="111"/>
      <c r="AL12" s="109">
        <f t="shared" si="5"/>
        <v>2011.6</v>
      </c>
      <c r="AM12" s="111"/>
      <c r="AN12" s="111"/>
      <c r="AO12" s="111"/>
      <c r="AP12" s="111"/>
      <c r="AQ12" s="111"/>
      <c r="AR12" s="118" t="str">
        <f t="shared" si="6"/>
        <v>正确</v>
      </c>
      <c r="AS12" s="118" t="str">
        <f t="shared" si="7"/>
        <v>不</v>
      </c>
      <c r="AT12" s="118" t="str">
        <f t="shared" si="8"/>
        <v>重复</v>
      </c>
      <c r="AU12" s="12" t="s">
        <v>138</v>
      </c>
      <c r="AV12" s="12" t="s">
        <v>208</v>
      </c>
    </row>
    <row r="13" s="13" customFormat="1" ht="18" customHeight="1" spans="1:46">
      <c r="A13" s="42"/>
      <c r="B13" s="43" t="s">
        <v>211</v>
      </c>
      <c r="C13" s="43"/>
      <c r="D13" s="44"/>
      <c r="E13" s="45"/>
      <c r="F13" s="46"/>
      <c r="G13" s="47"/>
      <c r="H13" s="46"/>
      <c r="I13" s="74"/>
      <c r="J13" s="75"/>
      <c r="K13" s="74"/>
      <c r="L13" s="76">
        <f>SUM(L4:L12)</f>
        <v>77326.69</v>
      </c>
      <c r="M13" s="76">
        <f t="shared" ref="M13:AL13" si="10">SUM(M4:M12)</f>
        <v>3553.46</v>
      </c>
      <c r="N13" s="76">
        <f t="shared" si="10"/>
        <v>1003.32</v>
      </c>
      <c r="O13" s="76">
        <f t="shared" si="10"/>
        <v>182.04</v>
      </c>
      <c r="P13" s="76">
        <f t="shared" si="10"/>
        <v>1226.3</v>
      </c>
      <c r="Q13" s="76">
        <f t="shared" si="10"/>
        <v>5965.12</v>
      </c>
      <c r="R13" s="76">
        <f t="shared" si="10"/>
        <v>0</v>
      </c>
      <c r="S13" s="76">
        <f t="shared" si="10"/>
        <v>851414.69</v>
      </c>
      <c r="T13" s="76">
        <f t="shared" si="10"/>
        <v>445000</v>
      </c>
      <c r="U13" s="76">
        <f t="shared" si="10"/>
        <v>55456.63</v>
      </c>
      <c r="V13" s="76">
        <f t="shared" si="10"/>
        <v>11000</v>
      </c>
      <c r="W13" s="76">
        <f t="shared" si="10"/>
        <v>0</v>
      </c>
      <c r="X13" s="76">
        <f t="shared" si="10"/>
        <v>0</v>
      </c>
      <c r="Y13" s="76">
        <f t="shared" si="10"/>
        <v>11000</v>
      </c>
      <c r="Z13" s="76">
        <f t="shared" si="10"/>
        <v>4400</v>
      </c>
      <c r="AA13" s="76">
        <f t="shared" si="10"/>
        <v>0</v>
      </c>
      <c r="AB13" s="76">
        <f t="shared" si="10"/>
        <v>26400</v>
      </c>
      <c r="AC13" s="76">
        <f t="shared" si="10"/>
        <v>0</v>
      </c>
      <c r="AD13" s="76">
        <f t="shared" si="10"/>
        <v>324558.06</v>
      </c>
      <c r="AE13" s="76">
        <f t="shared" si="10"/>
        <v>39905.7</v>
      </c>
      <c r="AF13" s="76">
        <f t="shared" si="10"/>
        <v>34980.58</v>
      </c>
      <c r="AG13" s="76">
        <f t="shared" si="10"/>
        <v>4959.4</v>
      </c>
      <c r="AH13" s="76">
        <f t="shared" si="10"/>
        <v>66402.17</v>
      </c>
      <c r="AI13" s="76">
        <f t="shared" si="10"/>
        <v>0</v>
      </c>
      <c r="AJ13" s="76">
        <f t="shared" si="10"/>
        <v>66402.17</v>
      </c>
      <c r="AK13" s="76">
        <f t="shared" si="10"/>
        <v>0</v>
      </c>
      <c r="AL13" s="76">
        <f t="shared" si="10"/>
        <v>71361.57</v>
      </c>
      <c r="AM13" s="112"/>
      <c r="AN13" s="112"/>
      <c r="AO13" s="112"/>
      <c r="AP13" s="112"/>
      <c r="AQ13" s="112"/>
      <c r="AR13" s="46"/>
      <c r="AS13" s="46"/>
      <c r="AT13" s="120"/>
    </row>
    <row r="16" spans="30:30">
      <c r="AD16" s="103"/>
    </row>
    <row r="17" ht="18.75" customHeight="1" spans="2:30">
      <c r="B17" s="48" t="s">
        <v>185</v>
      </c>
      <c r="C17" s="48" t="s">
        <v>212</v>
      </c>
      <c r="D17" s="48" t="s">
        <v>22</v>
      </c>
      <c r="E17" s="48" t="s">
        <v>23</v>
      </c>
      <c r="AD17" s="10"/>
    </row>
    <row r="18" ht="18.75" customHeight="1" spans="2:5">
      <c r="B18" s="49">
        <f>AJ13</f>
        <v>66402.17</v>
      </c>
      <c r="C18" s="49">
        <f>AG13</f>
        <v>4959.4</v>
      </c>
      <c r="D18" s="49">
        <f>AK13</f>
        <v>0</v>
      </c>
      <c r="E18" s="49">
        <f>B18+C18+D18</f>
        <v>71361.57</v>
      </c>
    </row>
    <row r="19" spans="2:5">
      <c r="B19" s="50"/>
      <c r="C19" s="50"/>
      <c r="D19" s="50"/>
      <c r="E19" s="50"/>
    </row>
    <row r="20" s="14" customFormat="1" spans="1:35">
      <c r="A20" s="52" t="s">
        <v>213</v>
      </c>
      <c r="B20" s="53" t="s">
        <v>214</v>
      </c>
      <c r="C20" s="51"/>
      <c r="D20" s="51"/>
      <c r="E20" s="51"/>
      <c r="G20" s="54"/>
      <c r="J20" s="77"/>
      <c r="M20" s="78"/>
      <c r="AI20" s="114"/>
    </row>
    <row r="21" s="14" customFormat="1" spans="1:35">
      <c r="A21" s="55"/>
      <c r="B21" s="56" t="s">
        <v>215</v>
      </c>
      <c r="C21" s="51"/>
      <c r="D21" s="51"/>
      <c r="E21" s="51"/>
      <c r="G21" s="54"/>
      <c r="J21" s="77"/>
      <c r="M21" s="78"/>
      <c r="AI21" s="114"/>
    </row>
    <row r="22" s="14" customFormat="1" spans="1:35">
      <c r="A22" s="53"/>
      <c r="B22" s="56" t="s">
        <v>216</v>
      </c>
      <c r="C22" s="57"/>
      <c r="D22" s="57"/>
      <c r="E22" s="57"/>
      <c r="F22" s="57"/>
      <c r="G22" s="57"/>
      <c r="H22" s="57"/>
      <c r="I22" s="57"/>
      <c r="J22" s="79"/>
      <c r="K22" s="57"/>
      <c r="L22" s="57"/>
      <c r="M22" s="80"/>
      <c r="N22" s="57"/>
      <c r="O22" s="57"/>
      <c r="P22" s="57"/>
      <c r="AI22" s="114"/>
    </row>
    <row r="23" s="14" customFormat="1" customHeight="1" spans="1:35">
      <c r="A23" s="56"/>
      <c r="B23" s="56" t="s">
        <v>217</v>
      </c>
      <c r="C23" s="58"/>
      <c r="D23" s="58"/>
      <c r="E23" s="58"/>
      <c r="F23" s="58"/>
      <c r="G23" s="58"/>
      <c r="H23" s="58"/>
      <c r="I23" s="81"/>
      <c r="J23" s="82"/>
      <c r="K23" s="81"/>
      <c r="L23" s="81"/>
      <c r="M23" s="83"/>
      <c r="N23" s="81"/>
      <c r="O23" s="81"/>
      <c r="P23" s="81"/>
      <c r="AI23" s="114"/>
    </row>
    <row r="24" s="14" customFormat="1" customHeight="1" spans="1:35">
      <c r="A24" s="56"/>
      <c r="B24" s="56" t="s">
        <v>218</v>
      </c>
      <c r="C24" s="58"/>
      <c r="D24" s="58"/>
      <c r="E24" s="58"/>
      <c r="F24" s="58"/>
      <c r="G24" s="58"/>
      <c r="H24" s="58"/>
      <c r="I24" s="58"/>
      <c r="J24" s="84"/>
      <c r="K24" s="58"/>
      <c r="L24" s="81"/>
      <c r="M24" s="83"/>
      <c r="N24" s="81"/>
      <c r="O24" s="81"/>
      <c r="P24" s="81"/>
      <c r="AI24" s="114"/>
    </row>
    <row r="25" s="14" customFormat="1" customHeight="1" spans="1:35">
      <c r="A25" s="56"/>
      <c r="B25" s="56" t="s">
        <v>219</v>
      </c>
      <c r="C25" s="58"/>
      <c r="D25" s="58"/>
      <c r="E25" s="58"/>
      <c r="F25" s="58"/>
      <c r="G25" s="58"/>
      <c r="H25" s="58"/>
      <c r="I25" s="81"/>
      <c r="J25" s="82"/>
      <c r="K25" s="81"/>
      <c r="L25" s="81"/>
      <c r="M25" s="83"/>
      <c r="N25" s="81"/>
      <c r="O25" s="81"/>
      <c r="P25" s="81"/>
      <c r="AI25" s="114"/>
    </row>
    <row r="27" ht="11.25" customHeight="1" spans="2:2">
      <c r="B27" s="59" t="s">
        <v>220</v>
      </c>
    </row>
    <row r="28" spans="2:2">
      <c r="B28" s="60" t="s">
        <v>221</v>
      </c>
    </row>
    <row r="29" spans="2:2">
      <c r="B29" s="60" t="s">
        <v>222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V36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V4" sqref="V4:Z4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196</v>
      </c>
      <c r="C4" s="37" t="s">
        <v>43</v>
      </c>
      <c r="D4" s="37" t="s">
        <v>197</v>
      </c>
      <c r="E4" s="37" t="s">
        <v>44</v>
      </c>
      <c r="F4" s="38" t="s">
        <v>198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>ROUND(SUM(M4:P4),2)</f>
        <v>545.44</v>
      </c>
      <c r="R4" s="73">
        <v>0</v>
      </c>
      <c r="S4" s="92">
        <f>L4</f>
        <v>10560</v>
      </c>
      <c r="T4" s="93">
        <v>5000</v>
      </c>
      <c r="U4" s="93">
        <f>Q4</f>
        <v>545.44</v>
      </c>
      <c r="V4" s="73">
        <v>1000</v>
      </c>
      <c r="W4" s="73"/>
      <c r="X4" s="73">
        <v>1000</v>
      </c>
      <c r="Y4" s="73"/>
      <c r="Z4" s="73">
        <v>400</v>
      </c>
      <c r="AA4" s="73"/>
      <c r="AB4" s="92">
        <f>ROUND(SUM(V4:AA4),2)</f>
        <v>2400</v>
      </c>
      <c r="AC4" s="92">
        <f>R4</f>
        <v>0</v>
      </c>
      <c r="AD4" s="97">
        <f>ROUND(S4-T4-U4-AB4-AC4,2)</f>
        <v>2614.56</v>
      </c>
      <c r="AE4" s="98">
        <f>ROUND(MAX((AD4)*{0.03;0.1;0.2;0.25;0.3;0.35;0.45}-{0;2520;16920;31920;52920;85920;181920},0),2)</f>
        <v>78.44</v>
      </c>
      <c r="AF4" s="99">
        <v>0</v>
      </c>
      <c r="AG4" s="99">
        <f>IF((AE4-AF4)&lt;0,0,AE4-AF4)</f>
        <v>78.44</v>
      </c>
      <c r="AH4" s="109">
        <f>ROUND(IF((L4-Q4-AG4)&lt;0,0,(L4-Q4-AG4)),2)</f>
        <v>9936.12</v>
      </c>
      <c r="AI4" s="110"/>
      <c r="AJ4" s="109">
        <f>AH4+AI4</f>
        <v>9936.12</v>
      </c>
      <c r="AK4" s="111"/>
      <c r="AL4" s="109">
        <f>AJ4+AG4+AK4</f>
        <v>10014.56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IF(SUMPRODUCT(N(E$1:E$19=E4))&gt;1,"重复","不")</f>
        <v>不</v>
      </c>
      <c r="AT4" s="118" t="str">
        <f>IF(SUMPRODUCT(N(AO$1:AO$19=AO4))&gt;1,"重复","不")</f>
        <v>重复</v>
      </c>
      <c r="AU4" s="12" t="s">
        <v>42</v>
      </c>
      <c r="AV4" s="12" t="s">
        <v>40</v>
      </c>
    </row>
    <row r="5" s="127" customFormat="1" ht="18" customHeight="1" spans="1:48">
      <c r="A5" s="128">
        <v>2</v>
      </c>
      <c r="B5" s="129" t="s">
        <v>196</v>
      </c>
      <c r="C5" s="129" t="s">
        <v>61</v>
      </c>
      <c r="D5" s="129" t="s">
        <v>197</v>
      </c>
      <c r="E5" s="129" t="s">
        <v>62</v>
      </c>
      <c r="F5" s="130" t="s">
        <v>198</v>
      </c>
      <c r="G5" s="131">
        <v>13944441728</v>
      </c>
      <c r="H5" s="132"/>
      <c r="I5" s="132"/>
      <c r="J5" s="133"/>
      <c r="K5" s="132"/>
      <c r="L5" s="134">
        <v>7000</v>
      </c>
      <c r="M5" s="135">
        <v>296.26</v>
      </c>
      <c r="N5" s="135">
        <v>72.06</v>
      </c>
      <c r="O5" s="135">
        <v>11.11</v>
      </c>
      <c r="P5" s="135">
        <v>82</v>
      </c>
      <c r="Q5" s="134">
        <f t="shared" ref="Q5:Q21" si="0">ROUND(SUM(M5:P5),2)</f>
        <v>461.43</v>
      </c>
      <c r="R5" s="134">
        <v>0</v>
      </c>
      <c r="S5" s="136">
        <f t="shared" ref="S5:S21" si="1">L5</f>
        <v>7000</v>
      </c>
      <c r="T5" s="137">
        <v>5000</v>
      </c>
      <c r="U5" s="137">
        <f t="shared" ref="U5:U21" si="2">Q5</f>
        <v>461.43</v>
      </c>
      <c r="V5" s="134"/>
      <c r="W5" s="134"/>
      <c r="X5" s="134"/>
      <c r="Y5" s="134"/>
      <c r="Z5" s="134"/>
      <c r="AA5" s="134"/>
      <c r="AB5" s="136">
        <f t="shared" ref="AB5:AB21" si="3">ROUND(SUM(V5:AA5),2)</f>
        <v>0</v>
      </c>
      <c r="AC5" s="136">
        <f t="shared" ref="AC5:AC21" si="4">R5</f>
        <v>0</v>
      </c>
      <c r="AD5" s="138">
        <f t="shared" ref="AD5:AD21" si="5">ROUND(S5-T5-U5-AB5-AC5,2)</f>
        <v>1538.57</v>
      </c>
      <c r="AE5" s="139">
        <f>ROUND(MAX((AD5)*{0.03;0.1;0.2;0.25;0.3;0.35;0.45}-{0;2520;16920;31920;52920;85920;181920},0),2)</f>
        <v>46.16</v>
      </c>
      <c r="AF5" s="140">
        <v>0</v>
      </c>
      <c r="AG5" s="140">
        <f t="shared" ref="AG5:AG21" si="6">IF((AE5-AF5)&lt;0,0,AE5-AF5)</f>
        <v>46.16</v>
      </c>
      <c r="AH5" s="141">
        <f t="shared" ref="AH5:AH21" si="7">ROUND(IF((L5-Q5-AG5)&lt;0,0,(L5-Q5-AG5)),2)</f>
        <v>6492.41</v>
      </c>
      <c r="AI5" s="142"/>
      <c r="AJ5" s="141">
        <f t="shared" ref="AJ5:AJ21" si="8">AH5+AI5</f>
        <v>6492.41</v>
      </c>
      <c r="AK5" s="141"/>
      <c r="AL5" s="141">
        <f t="shared" ref="AL5:AL21" si="9">AJ5+AG5+AK5</f>
        <v>6538.57</v>
      </c>
      <c r="AM5" s="141"/>
      <c r="AN5" s="141"/>
      <c r="AO5" s="141"/>
      <c r="AP5" s="141"/>
      <c r="AQ5" s="141"/>
      <c r="AR5" s="143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43" t="str">
        <f t="shared" ref="AS5:AS21" si="11">IF(SUMPRODUCT(N(E$1:E$19=E5))&gt;1,"重复","不")</f>
        <v>不</v>
      </c>
      <c r="AT5" s="143" t="str">
        <f t="shared" ref="AT5:AT21" si="12">IF(SUMPRODUCT(N(AO$1:AO$19=AO5))&gt;1,"重复","不")</f>
        <v>重复</v>
      </c>
      <c r="AU5" s="12" t="s">
        <v>51</v>
      </c>
      <c r="AV5" s="12" t="s">
        <v>199</v>
      </c>
    </row>
    <row r="6" s="12" customFormat="1" ht="18" customHeight="1" spans="1:48">
      <c r="A6" s="36">
        <v>3</v>
      </c>
      <c r="B6" s="37" t="s">
        <v>196</v>
      </c>
      <c r="C6" s="129" t="s">
        <v>101</v>
      </c>
      <c r="D6" s="37" t="s">
        <v>197</v>
      </c>
      <c r="E6" s="383" t="s">
        <v>102</v>
      </c>
      <c r="F6" s="38" t="s">
        <v>200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 t="shared" si="1"/>
        <v>5700</v>
      </c>
      <c r="T6" s="93">
        <v>5000</v>
      </c>
      <c r="U6" s="93">
        <f t="shared" si="2"/>
        <v>630.92</v>
      </c>
      <c r="V6" s="73"/>
      <c r="W6" s="73"/>
      <c r="X6" s="73"/>
      <c r="Y6" s="73"/>
      <c r="Z6" s="73"/>
      <c r="AA6" s="73"/>
      <c r="AB6" s="92">
        <f t="shared" si="3"/>
        <v>0</v>
      </c>
      <c r="AC6" s="92">
        <f t="shared" si="4"/>
        <v>0</v>
      </c>
      <c r="AD6" s="97">
        <f t="shared" si="5"/>
        <v>69.08</v>
      </c>
      <c r="AE6" s="98">
        <f>ROUND(MAX((AD6)*{0.03;0.1;0.2;0.25;0.3;0.35;0.45}-{0;2520;16920;31920;52920;85920;181920},0),2)</f>
        <v>2.07</v>
      </c>
      <c r="AF6" s="99">
        <v>0</v>
      </c>
      <c r="AG6" s="99">
        <f t="shared" si="6"/>
        <v>2.07</v>
      </c>
      <c r="AH6" s="109">
        <f t="shared" si="7"/>
        <v>5067.01</v>
      </c>
      <c r="AI6" s="110"/>
      <c r="AJ6" s="109">
        <f t="shared" si="8"/>
        <v>5067.01</v>
      </c>
      <c r="AK6" s="111"/>
      <c r="AL6" s="109">
        <f t="shared" si="9"/>
        <v>5069.08</v>
      </c>
      <c r="AM6" s="111"/>
      <c r="AN6" s="111"/>
      <c r="AO6" s="111"/>
      <c r="AP6" s="111"/>
      <c r="AQ6" s="111"/>
      <c r="AR6" s="118" t="str">
        <f t="shared" si="10"/>
        <v>正确</v>
      </c>
      <c r="AS6" s="118" t="str">
        <f t="shared" si="11"/>
        <v>不</v>
      </c>
      <c r="AT6" s="118" t="str">
        <f t="shared" si="12"/>
        <v>重复</v>
      </c>
      <c r="AU6" s="12" t="s">
        <v>51</v>
      </c>
      <c r="AV6" s="12" t="s">
        <v>50</v>
      </c>
    </row>
    <row r="7" s="12" customFormat="1" ht="18" customHeight="1" spans="1:48">
      <c r="A7" s="36">
        <v>4</v>
      </c>
      <c r="B7" s="37" t="s">
        <v>196</v>
      </c>
      <c r="C7" s="37" t="s">
        <v>105</v>
      </c>
      <c r="D7" s="37" t="s">
        <v>197</v>
      </c>
      <c r="E7" s="383" t="s">
        <v>106</v>
      </c>
      <c r="F7" s="38" t="s">
        <v>198</v>
      </c>
      <c r="G7" s="41" t="s">
        <v>201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 t="shared" si="1"/>
        <v>30060</v>
      </c>
      <c r="T7" s="93">
        <v>5000</v>
      </c>
      <c r="U7" s="93">
        <f t="shared" si="2"/>
        <v>865.9</v>
      </c>
      <c r="V7" s="73"/>
      <c r="W7" s="73"/>
      <c r="X7" s="73"/>
      <c r="Y7" s="73"/>
      <c r="Z7" s="73"/>
      <c r="AA7" s="73"/>
      <c r="AB7" s="92">
        <f t="shared" si="3"/>
        <v>0</v>
      </c>
      <c r="AC7" s="92">
        <f t="shared" si="4"/>
        <v>0</v>
      </c>
      <c r="AD7" s="97">
        <f t="shared" si="5"/>
        <v>24194.1</v>
      </c>
      <c r="AE7" s="98">
        <f>ROUND(MAX((AD7)*{0.03;0.1;0.2;0.25;0.3;0.35;0.45}-{0;2520;16920;31920;52920;85920;181920},0),2)</f>
        <v>725.82</v>
      </c>
      <c r="AF7" s="99">
        <v>0</v>
      </c>
      <c r="AG7" s="99">
        <f t="shared" si="6"/>
        <v>725.82</v>
      </c>
      <c r="AH7" s="109">
        <f t="shared" si="7"/>
        <v>28468.28</v>
      </c>
      <c r="AI7" s="110"/>
      <c r="AJ7" s="109">
        <f t="shared" si="8"/>
        <v>28468.28</v>
      </c>
      <c r="AK7" s="111"/>
      <c r="AL7" s="109">
        <f t="shared" si="9"/>
        <v>29194.1</v>
      </c>
      <c r="AM7" s="111"/>
      <c r="AN7" s="111"/>
      <c r="AO7" s="111"/>
      <c r="AP7" s="111"/>
      <c r="AQ7" s="111"/>
      <c r="AR7" s="118" t="str">
        <f t="shared" si="10"/>
        <v>正确</v>
      </c>
      <c r="AS7" s="118" t="str">
        <f t="shared" si="11"/>
        <v>不</v>
      </c>
      <c r="AT7" s="118" t="str">
        <f t="shared" si="12"/>
        <v>重复</v>
      </c>
      <c r="AU7" s="12" t="s">
        <v>202</v>
      </c>
      <c r="AV7" s="12" t="s">
        <v>104</v>
      </c>
    </row>
    <row r="8" s="12" customFormat="1" ht="18" customHeight="1" spans="1:48">
      <c r="A8" s="36">
        <v>5</v>
      </c>
      <c r="B8" s="37" t="s">
        <v>196</v>
      </c>
      <c r="C8" s="129" t="s">
        <v>109</v>
      </c>
      <c r="D8" s="37" t="s">
        <v>197</v>
      </c>
      <c r="E8" s="383" t="s">
        <v>110</v>
      </c>
      <c r="F8" s="38" t="s">
        <v>198</v>
      </c>
      <c r="G8" s="41" t="s">
        <v>203</v>
      </c>
      <c r="H8" s="40"/>
      <c r="I8" s="40"/>
      <c r="J8" s="70"/>
      <c r="K8" s="40"/>
      <c r="L8" s="73">
        <v>6000</v>
      </c>
      <c r="M8" s="72">
        <v>499.52</v>
      </c>
      <c r="N8" s="72">
        <v>132.88</v>
      </c>
      <c r="O8" s="72">
        <v>31.22</v>
      </c>
      <c r="P8" s="72">
        <v>75</v>
      </c>
      <c r="Q8" s="91">
        <f t="shared" si="0"/>
        <v>738.62</v>
      </c>
      <c r="R8" s="73">
        <v>0</v>
      </c>
      <c r="S8" s="92">
        <f t="shared" si="1"/>
        <v>6000</v>
      </c>
      <c r="T8" s="93">
        <v>5000</v>
      </c>
      <c r="U8" s="93">
        <f t="shared" si="2"/>
        <v>738.62</v>
      </c>
      <c r="V8" s="73"/>
      <c r="W8" s="73"/>
      <c r="X8" s="73"/>
      <c r="Y8" s="73"/>
      <c r="Z8" s="73"/>
      <c r="AA8" s="73"/>
      <c r="AB8" s="92">
        <f t="shared" si="3"/>
        <v>0</v>
      </c>
      <c r="AC8" s="92">
        <f t="shared" si="4"/>
        <v>0</v>
      </c>
      <c r="AD8" s="97">
        <f t="shared" si="5"/>
        <v>261.38</v>
      </c>
      <c r="AE8" s="98">
        <f>ROUND(MAX((AD8)*{0.03;0.1;0.2;0.25;0.3;0.35;0.45}-{0;2520;16920;31920;52920;85920;181920},0),2)</f>
        <v>7.84</v>
      </c>
      <c r="AF8" s="99">
        <v>0</v>
      </c>
      <c r="AG8" s="99">
        <f t="shared" si="6"/>
        <v>7.84</v>
      </c>
      <c r="AH8" s="109">
        <f t="shared" si="7"/>
        <v>5253.54</v>
      </c>
      <c r="AI8" s="110"/>
      <c r="AJ8" s="109">
        <f t="shared" si="8"/>
        <v>5253.54</v>
      </c>
      <c r="AK8" s="111"/>
      <c r="AL8" s="109">
        <f t="shared" si="9"/>
        <v>5261.38</v>
      </c>
      <c r="AM8" s="111"/>
      <c r="AN8" s="111"/>
      <c r="AO8" s="111"/>
      <c r="AP8" s="111"/>
      <c r="AQ8" s="111"/>
      <c r="AR8" s="118" t="str">
        <f t="shared" si="10"/>
        <v>正确</v>
      </c>
      <c r="AS8" s="118" t="str">
        <f t="shared" si="11"/>
        <v>不</v>
      </c>
      <c r="AT8" s="118" t="str">
        <f t="shared" si="12"/>
        <v>重复</v>
      </c>
      <c r="AU8" s="12" t="s">
        <v>51</v>
      </c>
      <c r="AV8" s="12" t="s">
        <v>146</v>
      </c>
    </row>
    <row r="9" s="12" customFormat="1" ht="18" customHeight="1" spans="1:48">
      <c r="A9" s="36">
        <v>6</v>
      </c>
      <c r="B9" s="37" t="s">
        <v>196</v>
      </c>
      <c r="C9" s="129" t="s">
        <v>117</v>
      </c>
      <c r="D9" s="37" t="s">
        <v>197</v>
      </c>
      <c r="E9" s="383" t="s">
        <v>118</v>
      </c>
      <c r="F9" s="38" t="s">
        <v>198</v>
      </c>
      <c r="G9" s="41">
        <v>19356875630</v>
      </c>
      <c r="H9" s="40"/>
      <c r="I9" s="40"/>
      <c r="J9" s="70"/>
      <c r="K9" s="40"/>
      <c r="L9" s="73">
        <v>6500</v>
      </c>
      <c r="M9" s="72">
        <v>499.52</v>
      </c>
      <c r="N9" s="72">
        <v>130.88</v>
      </c>
      <c r="O9" s="72">
        <v>31.22</v>
      </c>
      <c r="P9" s="72">
        <v>85</v>
      </c>
      <c r="Q9" s="91">
        <f t="shared" si="0"/>
        <v>746.62</v>
      </c>
      <c r="R9" s="73">
        <v>0</v>
      </c>
      <c r="S9" s="92">
        <f t="shared" si="1"/>
        <v>6500</v>
      </c>
      <c r="T9" s="93">
        <v>5000</v>
      </c>
      <c r="U9" s="93">
        <f t="shared" si="2"/>
        <v>746.62</v>
      </c>
      <c r="V9" s="73"/>
      <c r="W9" s="73"/>
      <c r="X9" s="73"/>
      <c r="Y9" s="73"/>
      <c r="Z9" s="73"/>
      <c r="AA9" s="73"/>
      <c r="AB9" s="92">
        <f t="shared" si="3"/>
        <v>0</v>
      </c>
      <c r="AC9" s="92">
        <f t="shared" si="4"/>
        <v>0</v>
      </c>
      <c r="AD9" s="97">
        <f t="shared" si="5"/>
        <v>753.38</v>
      </c>
      <c r="AE9" s="98">
        <f>ROUND(MAX((AD9)*{0.03;0.1;0.2;0.25;0.3;0.35;0.45}-{0;2520;16920;31920;52920;85920;181920},0),2)</f>
        <v>22.6</v>
      </c>
      <c r="AF9" s="99">
        <v>0</v>
      </c>
      <c r="AG9" s="99">
        <f t="shared" si="6"/>
        <v>22.6</v>
      </c>
      <c r="AH9" s="109">
        <f t="shared" si="7"/>
        <v>5730.78</v>
      </c>
      <c r="AI9" s="110"/>
      <c r="AJ9" s="109">
        <f t="shared" si="8"/>
        <v>5730.78</v>
      </c>
      <c r="AK9" s="111"/>
      <c r="AL9" s="109">
        <f t="shared" si="9"/>
        <v>5753.38</v>
      </c>
      <c r="AM9" s="111"/>
      <c r="AN9" s="111"/>
      <c r="AO9" s="111"/>
      <c r="AP9" s="111"/>
      <c r="AQ9" s="111"/>
      <c r="AR9" s="118" t="str">
        <f t="shared" si="10"/>
        <v>正确</v>
      </c>
      <c r="AS9" s="118" t="str">
        <f t="shared" si="11"/>
        <v>不</v>
      </c>
      <c r="AT9" s="118" t="str">
        <f t="shared" si="12"/>
        <v>重复</v>
      </c>
      <c r="AU9" s="12" t="s">
        <v>51</v>
      </c>
      <c r="AV9" s="12" t="s">
        <v>146</v>
      </c>
    </row>
    <row r="10" s="12" customFormat="1" ht="18" customHeight="1" spans="1:48">
      <c r="A10" s="36">
        <v>7</v>
      </c>
      <c r="B10" s="37" t="s">
        <v>196</v>
      </c>
      <c r="C10" s="129" t="s">
        <v>131</v>
      </c>
      <c r="D10" s="37" t="s">
        <v>197</v>
      </c>
      <c r="E10" s="383" t="s">
        <v>132</v>
      </c>
      <c r="F10" s="38" t="s">
        <v>198</v>
      </c>
      <c r="G10" s="41">
        <v>13973652684</v>
      </c>
      <c r="H10" s="40"/>
      <c r="I10" s="40"/>
      <c r="J10" s="70"/>
      <c r="K10" s="40"/>
      <c r="L10" s="73">
        <v>6500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 t="shared" si="1"/>
        <v>6500</v>
      </c>
      <c r="T10" s="93">
        <v>5000</v>
      </c>
      <c r="U10" s="93">
        <f t="shared" si="2"/>
        <v>472.65</v>
      </c>
      <c r="V10" s="73"/>
      <c r="W10" s="73"/>
      <c r="X10" s="73"/>
      <c r="Y10" s="73"/>
      <c r="Z10" s="73"/>
      <c r="AA10" s="73"/>
      <c r="AB10" s="92">
        <f t="shared" si="3"/>
        <v>0</v>
      </c>
      <c r="AC10" s="92">
        <f t="shared" si="4"/>
        <v>0</v>
      </c>
      <c r="AD10" s="97">
        <f t="shared" si="5"/>
        <v>1027.35</v>
      </c>
      <c r="AE10" s="98">
        <f>ROUND(MAX((AD10)*{0.03;0.1;0.2;0.25;0.3;0.35;0.45}-{0;2520;16920;31920;52920;85920;181920},0),2)</f>
        <v>30.82</v>
      </c>
      <c r="AF10" s="99">
        <v>0</v>
      </c>
      <c r="AG10" s="99">
        <f t="shared" si="6"/>
        <v>30.82</v>
      </c>
      <c r="AH10" s="109">
        <f t="shared" si="7"/>
        <v>5996.53</v>
      </c>
      <c r="AI10" s="110"/>
      <c r="AJ10" s="109">
        <f t="shared" si="8"/>
        <v>5996.53</v>
      </c>
      <c r="AK10" s="111"/>
      <c r="AL10" s="109">
        <f t="shared" si="9"/>
        <v>6027.35</v>
      </c>
      <c r="AM10" s="111"/>
      <c r="AN10" s="111"/>
      <c r="AO10" s="111"/>
      <c r="AP10" s="111"/>
      <c r="AQ10" s="111"/>
      <c r="AR10" s="118" t="str">
        <f t="shared" si="10"/>
        <v>正确</v>
      </c>
      <c r="AS10" s="118" t="str">
        <f t="shared" si="11"/>
        <v>不</v>
      </c>
      <c r="AT10" s="118" t="str">
        <f t="shared" si="12"/>
        <v>重复</v>
      </c>
      <c r="AU10" s="12" t="s">
        <v>51</v>
      </c>
      <c r="AV10" s="12" t="s">
        <v>204</v>
      </c>
    </row>
    <row r="11" s="12" customFormat="1" ht="18" customHeight="1" spans="1:48">
      <c r="A11" s="36">
        <v>8</v>
      </c>
      <c r="B11" s="37" t="s">
        <v>196</v>
      </c>
      <c r="C11" s="37" t="s">
        <v>136</v>
      </c>
      <c r="D11" s="37" t="s">
        <v>197</v>
      </c>
      <c r="E11" s="383" t="s">
        <v>137</v>
      </c>
      <c r="F11" s="38" t="s">
        <v>198</v>
      </c>
      <c r="G11" s="41" t="s">
        <v>205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 t="shared" si="1"/>
        <v>5500</v>
      </c>
      <c r="T11" s="93">
        <v>5000</v>
      </c>
      <c r="U11" s="93">
        <f t="shared" si="2"/>
        <v>525.49</v>
      </c>
      <c r="V11" s="73"/>
      <c r="W11" s="73"/>
      <c r="X11" s="73"/>
      <c r="Y11" s="73"/>
      <c r="Z11" s="73"/>
      <c r="AA11" s="73"/>
      <c r="AB11" s="92">
        <f t="shared" si="3"/>
        <v>0</v>
      </c>
      <c r="AC11" s="92">
        <f t="shared" si="4"/>
        <v>0</v>
      </c>
      <c r="AD11" s="97">
        <f t="shared" si="5"/>
        <v>-25.49</v>
      </c>
      <c r="AE11" s="98">
        <f>ROUND(MAX((AD11)*{0.03;0.1;0.2;0.25;0.3;0.35;0.45}-{0;2520;16920;31920;52920;85920;181920},0),2)</f>
        <v>0</v>
      </c>
      <c r="AF11" s="99">
        <v>0</v>
      </c>
      <c r="AG11" s="99">
        <f t="shared" si="6"/>
        <v>0</v>
      </c>
      <c r="AH11" s="109">
        <f t="shared" si="7"/>
        <v>4974.51</v>
      </c>
      <c r="AI11" s="110"/>
      <c r="AJ11" s="109">
        <f t="shared" si="8"/>
        <v>4974.51</v>
      </c>
      <c r="AK11" s="111"/>
      <c r="AL11" s="109">
        <f t="shared" si="9"/>
        <v>4974.51</v>
      </c>
      <c r="AM11" s="111"/>
      <c r="AN11" s="111"/>
      <c r="AO11" s="111"/>
      <c r="AP11" s="111"/>
      <c r="AQ11" s="111"/>
      <c r="AR11" s="118" t="str">
        <f t="shared" si="10"/>
        <v>正确</v>
      </c>
      <c r="AS11" s="118" t="str">
        <f t="shared" si="11"/>
        <v>不</v>
      </c>
      <c r="AT11" s="118" t="str">
        <f t="shared" si="12"/>
        <v>重复</v>
      </c>
      <c r="AU11" s="12" t="s">
        <v>206</v>
      </c>
      <c r="AV11" s="12" t="s">
        <v>135</v>
      </c>
    </row>
    <row r="12" s="12" customFormat="1" ht="18" customHeight="1" spans="1:48">
      <c r="A12" s="36">
        <v>9</v>
      </c>
      <c r="B12" s="37" t="s">
        <v>196</v>
      </c>
      <c r="C12" s="37" t="s">
        <v>139</v>
      </c>
      <c r="D12" s="37" t="s">
        <v>197</v>
      </c>
      <c r="E12" s="383" t="s">
        <v>140</v>
      </c>
      <c r="F12" s="38" t="s">
        <v>200</v>
      </c>
      <c r="G12" s="41" t="s">
        <v>207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 t="shared" si="1"/>
        <v>4598.8</v>
      </c>
      <c r="T12" s="93">
        <v>5000</v>
      </c>
      <c r="U12" s="93">
        <f t="shared" si="2"/>
        <v>593</v>
      </c>
      <c r="V12" s="73"/>
      <c r="W12" s="73"/>
      <c r="X12" s="73"/>
      <c r="Y12" s="73"/>
      <c r="Z12" s="73"/>
      <c r="AA12" s="73"/>
      <c r="AB12" s="92">
        <f t="shared" si="3"/>
        <v>0</v>
      </c>
      <c r="AC12" s="92">
        <f t="shared" si="4"/>
        <v>0</v>
      </c>
      <c r="AD12" s="97">
        <f t="shared" si="5"/>
        <v>-994.2</v>
      </c>
      <c r="AE12" s="98">
        <f>ROUND(MAX((AD12)*{0.03;0.1;0.2;0.25;0.3;0.35;0.45}-{0;2520;16920;31920;52920;85920;181920},0),2)</f>
        <v>0</v>
      </c>
      <c r="AF12" s="99">
        <v>0</v>
      </c>
      <c r="AG12" s="99">
        <f t="shared" si="6"/>
        <v>0</v>
      </c>
      <c r="AH12" s="109">
        <f t="shared" si="7"/>
        <v>4005.8</v>
      </c>
      <c r="AI12" s="110"/>
      <c r="AJ12" s="109">
        <f t="shared" si="8"/>
        <v>4005.8</v>
      </c>
      <c r="AK12" s="111"/>
      <c r="AL12" s="109">
        <f t="shared" si="9"/>
        <v>4005.8</v>
      </c>
      <c r="AM12" s="111"/>
      <c r="AN12" s="111"/>
      <c r="AO12" s="111"/>
      <c r="AP12" s="111"/>
      <c r="AQ12" s="111"/>
      <c r="AR12" s="118" t="str">
        <f t="shared" si="10"/>
        <v>正确</v>
      </c>
      <c r="AS12" s="118" t="str">
        <f t="shared" si="11"/>
        <v>不</v>
      </c>
      <c r="AT12" s="118" t="str">
        <f t="shared" si="12"/>
        <v>重复</v>
      </c>
      <c r="AU12" s="12" t="s">
        <v>208</v>
      </c>
      <c r="AV12" s="12" t="s">
        <v>138</v>
      </c>
    </row>
    <row r="13" s="12" customFormat="1" ht="18" customHeight="1" spans="1:48">
      <c r="A13" s="36">
        <v>10</v>
      </c>
      <c r="B13" s="37" t="s">
        <v>196</v>
      </c>
      <c r="C13" s="129" t="s">
        <v>126</v>
      </c>
      <c r="D13" s="37" t="s">
        <v>197</v>
      </c>
      <c r="E13" s="383" t="s">
        <v>127</v>
      </c>
      <c r="F13" s="38" t="s">
        <v>198</v>
      </c>
      <c r="G13" s="41">
        <v>18356553626</v>
      </c>
      <c r="H13" s="40"/>
      <c r="I13" s="40"/>
      <c r="J13" s="70"/>
      <c r="K13" s="40"/>
      <c r="L13" s="73">
        <v>5600</v>
      </c>
      <c r="M13" s="72">
        <v>306.56</v>
      </c>
      <c r="N13" s="72">
        <v>120.53</v>
      </c>
      <c r="O13" s="72">
        <v>19.16</v>
      </c>
      <c r="P13" s="72">
        <v>75</v>
      </c>
      <c r="Q13" s="91">
        <f t="shared" si="0"/>
        <v>521.25</v>
      </c>
      <c r="R13" s="73">
        <v>0</v>
      </c>
      <c r="S13" s="92">
        <f t="shared" si="1"/>
        <v>5600</v>
      </c>
      <c r="T13" s="93">
        <v>5000</v>
      </c>
      <c r="U13" s="93">
        <f t="shared" si="2"/>
        <v>521.25</v>
      </c>
      <c r="V13" s="73"/>
      <c r="W13" s="73"/>
      <c r="X13" s="73"/>
      <c r="Y13" s="73"/>
      <c r="Z13" s="73"/>
      <c r="AA13" s="73"/>
      <c r="AB13" s="92">
        <f t="shared" si="3"/>
        <v>0</v>
      </c>
      <c r="AC13" s="92">
        <f t="shared" si="4"/>
        <v>0</v>
      </c>
      <c r="AD13" s="97">
        <f t="shared" si="5"/>
        <v>78.75</v>
      </c>
      <c r="AE13" s="98">
        <f>ROUND(MAX((AD13)*{0.03;0.1;0.2;0.25;0.3;0.35;0.45}-{0;2520;16920;31920;52920;85920;181920},0),2)</f>
        <v>2.36</v>
      </c>
      <c r="AF13" s="99">
        <v>0</v>
      </c>
      <c r="AG13" s="99">
        <f t="shared" si="6"/>
        <v>2.36</v>
      </c>
      <c r="AH13" s="109">
        <f t="shared" si="7"/>
        <v>5076.39</v>
      </c>
      <c r="AI13" s="110"/>
      <c r="AJ13" s="109">
        <f t="shared" si="8"/>
        <v>5076.39</v>
      </c>
      <c r="AK13" s="111"/>
      <c r="AL13" s="109">
        <f t="shared" si="9"/>
        <v>5078.75</v>
      </c>
      <c r="AM13" s="111"/>
      <c r="AN13" s="111"/>
      <c r="AO13" s="111"/>
      <c r="AP13" s="111"/>
      <c r="AQ13" s="111"/>
      <c r="AR13" s="118" t="str">
        <f t="shared" si="10"/>
        <v>正确</v>
      </c>
      <c r="AS13" s="118" t="str">
        <f t="shared" si="11"/>
        <v>不</v>
      </c>
      <c r="AT13" s="118" t="str">
        <f t="shared" si="12"/>
        <v>重复</v>
      </c>
      <c r="AU13" s="12" t="s">
        <v>51</v>
      </c>
      <c r="AV13" s="12" t="s">
        <v>146</v>
      </c>
    </row>
    <row r="14" s="12" customFormat="1" ht="18" customHeight="1" spans="1:48">
      <c r="A14" s="36">
        <v>11</v>
      </c>
      <c r="B14" s="37" t="s">
        <v>196</v>
      </c>
      <c r="C14" s="129" t="s">
        <v>121</v>
      </c>
      <c r="D14" s="37" t="s">
        <v>197</v>
      </c>
      <c r="E14" s="383" t="s">
        <v>122</v>
      </c>
      <c r="F14" s="38" t="s">
        <v>198</v>
      </c>
      <c r="G14" s="41">
        <v>18326897140</v>
      </c>
      <c r="H14" s="40"/>
      <c r="I14" s="40"/>
      <c r="J14" s="70"/>
      <c r="K14" s="40"/>
      <c r="L14" s="73">
        <v>4400</v>
      </c>
      <c r="M14" s="72">
        <v>338.72</v>
      </c>
      <c r="N14" s="72">
        <v>90.68</v>
      </c>
      <c r="O14" s="72">
        <v>21.17</v>
      </c>
      <c r="P14" s="72">
        <v>85</v>
      </c>
      <c r="Q14" s="91">
        <f t="shared" si="0"/>
        <v>535.57</v>
      </c>
      <c r="R14" s="73">
        <v>0</v>
      </c>
      <c r="S14" s="92">
        <f t="shared" si="1"/>
        <v>4400</v>
      </c>
      <c r="T14" s="93">
        <v>5000</v>
      </c>
      <c r="U14" s="93">
        <f t="shared" si="2"/>
        <v>535.57</v>
      </c>
      <c r="V14" s="73"/>
      <c r="W14" s="73"/>
      <c r="X14" s="73"/>
      <c r="Y14" s="73"/>
      <c r="Z14" s="73"/>
      <c r="AA14" s="73"/>
      <c r="AB14" s="92">
        <f t="shared" si="3"/>
        <v>0</v>
      </c>
      <c r="AC14" s="92">
        <f t="shared" si="4"/>
        <v>0</v>
      </c>
      <c r="AD14" s="97">
        <f t="shared" si="5"/>
        <v>-1135.57</v>
      </c>
      <c r="AE14" s="98">
        <f>ROUND(MAX((AD14)*{0.03;0.1;0.2;0.25;0.3;0.35;0.45}-{0;2520;16920;31920;52920;85920;181920},0),2)</f>
        <v>0</v>
      </c>
      <c r="AF14" s="99">
        <v>0</v>
      </c>
      <c r="AG14" s="99">
        <f t="shared" si="6"/>
        <v>0</v>
      </c>
      <c r="AH14" s="109">
        <f t="shared" si="7"/>
        <v>3864.43</v>
      </c>
      <c r="AI14" s="110"/>
      <c r="AJ14" s="109">
        <f t="shared" si="8"/>
        <v>3864.43</v>
      </c>
      <c r="AK14" s="111"/>
      <c r="AL14" s="109">
        <f t="shared" si="9"/>
        <v>3864.43</v>
      </c>
      <c r="AM14" s="111"/>
      <c r="AN14" s="111"/>
      <c r="AO14" s="111"/>
      <c r="AP14" s="111"/>
      <c r="AQ14" s="111"/>
      <c r="AR14" s="118" t="str">
        <f t="shared" si="10"/>
        <v>正确</v>
      </c>
      <c r="AS14" s="118" t="str">
        <f t="shared" si="11"/>
        <v>不</v>
      </c>
      <c r="AT14" s="118" t="str">
        <f t="shared" si="12"/>
        <v>重复</v>
      </c>
      <c r="AU14" s="12" t="s">
        <v>51</v>
      </c>
      <c r="AV14" s="12" t="s">
        <v>146</v>
      </c>
    </row>
    <row r="15" s="12" customFormat="1" ht="18" customHeight="1" spans="1:48">
      <c r="A15" s="36">
        <v>12</v>
      </c>
      <c r="B15" s="37" t="s">
        <v>196</v>
      </c>
      <c r="C15" s="129" t="s">
        <v>119</v>
      </c>
      <c r="D15" s="37" t="s">
        <v>197</v>
      </c>
      <c r="E15" s="383" t="s">
        <v>120</v>
      </c>
      <c r="F15" s="38" t="s">
        <v>198</v>
      </c>
      <c r="G15" s="41">
        <v>17201857014</v>
      </c>
      <c r="H15" s="40"/>
      <c r="I15" s="40"/>
      <c r="J15" s="70"/>
      <c r="K15" s="40"/>
      <c r="L15" s="73">
        <v>4400</v>
      </c>
      <c r="M15" s="72">
        <v>338.72</v>
      </c>
      <c r="N15" s="72">
        <v>90.68</v>
      </c>
      <c r="O15" s="72">
        <v>21.17</v>
      </c>
      <c r="P15" s="72">
        <v>85</v>
      </c>
      <c r="Q15" s="91">
        <f t="shared" si="0"/>
        <v>535.57</v>
      </c>
      <c r="R15" s="73">
        <v>0</v>
      </c>
      <c r="S15" s="92">
        <f t="shared" si="1"/>
        <v>4400</v>
      </c>
      <c r="T15" s="93">
        <v>5000</v>
      </c>
      <c r="U15" s="93">
        <f t="shared" si="2"/>
        <v>535.57</v>
      </c>
      <c r="V15" s="73"/>
      <c r="W15" s="73"/>
      <c r="X15" s="73"/>
      <c r="Y15" s="73"/>
      <c r="Z15" s="73"/>
      <c r="AA15" s="73"/>
      <c r="AB15" s="92">
        <f t="shared" si="3"/>
        <v>0</v>
      </c>
      <c r="AC15" s="92">
        <f t="shared" si="4"/>
        <v>0</v>
      </c>
      <c r="AD15" s="97">
        <f t="shared" si="5"/>
        <v>-1135.57</v>
      </c>
      <c r="AE15" s="98">
        <f>ROUND(MAX((AD15)*{0.03;0.1;0.2;0.25;0.3;0.35;0.45}-{0;2520;16920;31920;52920;85920;181920},0),2)</f>
        <v>0</v>
      </c>
      <c r="AF15" s="99">
        <v>0</v>
      </c>
      <c r="AG15" s="99">
        <f t="shared" si="6"/>
        <v>0</v>
      </c>
      <c r="AH15" s="109">
        <f t="shared" si="7"/>
        <v>3864.43</v>
      </c>
      <c r="AI15" s="110"/>
      <c r="AJ15" s="109">
        <f t="shared" si="8"/>
        <v>3864.43</v>
      </c>
      <c r="AK15" s="111"/>
      <c r="AL15" s="109">
        <f t="shared" si="9"/>
        <v>3864.43</v>
      </c>
      <c r="AM15" s="111"/>
      <c r="AN15" s="111"/>
      <c r="AO15" s="111"/>
      <c r="AP15" s="111"/>
      <c r="AQ15" s="111"/>
      <c r="AR15" s="118" t="str">
        <f t="shared" si="10"/>
        <v>正确</v>
      </c>
      <c r="AS15" s="118" t="str">
        <f t="shared" si="11"/>
        <v>不</v>
      </c>
      <c r="AT15" s="118" t="str">
        <f t="shared" si="12"/>
        <v>重复</v>
      </c>
      <c r="AU15" s="12" t="s">
        <v>51</v>
      </c>
      <c r="AV15" s="12" t="s">
        <v>146</v>
      </c>
    </row>
    <row r="16" s="12" customFormat="1" ht="18" customHeight="1" spans="1:48">
      <c r="A16" s="36">
        <v>13</v>
      </c>
      <c r="B16" s="37" t="s">
        <v>196</v>
      </c>
      <c r="C16" s="129" t="s">
        <v>124</v>
      </c>
      <c r="D16" s="37" t="s">
        <v>197</v>
      </c>
      <c r="E16" s="383" t="s">
        <v>125</v>
      </c>
      <c r="F16" s="38" t="s">
        <v>200</v>
      </c>
      <c r="G16" s="41" t="s">
        <v>209</v>
      </c>
      <c r="H16" s="40"/>
      <c r="I16" s="40"/>
      <c r="J16" s="70"/>
      <c r="K16" s="40"/>
      <c r="L16" s="73">
        <v>5600</v>
      </c>
      <c r="M16" s="72">
        <v>306.56</v>
      </c>
      <c r="N16" s="72">
        <v>128.57</v>
      </c>
      <c r="O16" s="72">
        <v>19.16</v>
      </c>
      <c r="P16" s="72">
        <v>75</v>
      </c>
      <c r="Q16" s="91">
        <f t="shared" si="0"/>
        <v>529.29</v>
      </c>
      <c r="R16" s="73">
        <v>0</v>
      </c>
      <c r="S16" s="92">
        <f t="shared" si="1"/>
        <v>5600</v>
      </c>
      <c r="T16" s="93">
        <v>5000</v>
      </c>
      <c r="U16" s="93">
        <f t="shared" si="2"/>
        <v>529.29</v>
      </c>
      <c r="V16" s="73"/>
      <c r="W16" s="73"/>
      <c r="X16" s="73"/>
      <c r="Y16" s="73"/>
      <c r="Z16" s="73"/>
      <c r="AA16" s="73"/>
      <c r="AB16" s="92">
        <f t="shared" si="3"/>
        <v>0</v>
      </c>
      <c r="AC16" s="92">
        <f t="shared" si="4"/>
        <v>0</v>
      </c>
      <c r="AD16" s="97">
        <f t="shared" si="5"/>
        <v>70.71</v>
      </c>
      <c r="AE16" s="98">
        <f>ROUND(MAX((AD16)*{0.03;0.1;0.2;0.25;0.3;0.35;0.45}-{0;2520;16920;31920;52920;85920;181920},0),2)</f>
        <v>2.12</v>
      </c>
      <c r="AF16" s="99">
        <v>0</v>
      </c>
      <c r="AG16" s="99">
        <f t="shared" si="6"/>
        <v>2.12</v>
      </c>
      <c r="AH16" s="109">
        <f t="shared" si="7"/>
        <v>5068.59</v>
      </c>
      <c r="AI16" s="110"/>
      <c r="AJ16" s="109">
        <f t="shared" si="8"/>
        <v>5068.59</v>
      </c>
      <c r="AK16" s="111"/>
      <c r="AL16" s="109">
        <f t="shared" si="9"/>
        <v>5070.71</v>
      </c>
      <c r="AM16" s="111"/>
      <c r="AN16" s="111"/>
      <c r="AO16" s="111"/>
      <c r="AP16" s="111"/>
      <c r="AQ16" s="111"/>
      <c r="AR16" s="118" t="str">
        <f t="shared" si="10"/>
        <v>正确</v>
      </c>
      <c r="AS16" s="118" t="str">
        <f t="shared" si="11"/>
        <v>不</v>
      </c>
      <c r="AT16" s="118" t="str">
        <f t="shared" si="12"/>
        <v>重复</v>
      </c>
      <c r="AU16" s="12" t="s">
        <v>51</v>
      </c>
      <c r="AV16" s="12" t="s">
        <v>146</v>
      </c>
    </row>
    <row r="17" s="12" customFormat="1" ht="18" customHeight="1" spans="1:48">
      <c r="A17" s="36">
        <v>14</v>
      </c>
      <c r="B17" s="37" t="s">
        <v>196</v>
      </c>
      <c r="C17" s="37" t="s">
        <v>113</v>
      </c>
      <c r="D17" s="37" t="s">
        <v>197</v>
      </c>
      <c r="E17" s="383" t="s">
        <v>114</v>
      </c>
      <c r="F17" s="38" t="s">
        <v>200</v>
      </c>
      <c r="G17" s="41">
        <v>15855788591</v>
      </c>
      <c r="H17" s="40"/>
      <c r="I17" s="40"/>
      <c r="J17" s="70"/>
      <c r="K17" s="40"/>
      <c r="L17" s="73">
        <v>4380</v>
      </c>
      <c r="M17" s="72">
        <v>613.12</v>
      </c>
      <c r="N17" s="72">
        <v>169.28</v>
      </c>
      <c r="O17" s="72">
        <v>38.32</v>
      </c>
      <c r="P17" s="72">
        <v>150</v>
      </c>
      <c r="Q17" s="91">
        <f t="shared" si="0"/>
        <v>970.72</v>
      </c>
      <c r="R17" s="73">
        <v>0</v>
      </c>
      <c r="S17" s="92">
        <f t="shared" si="1"/>
        <v>4380</v>
      </c>
      <c r="T17" s="93">
        <v>5000</v>
      </c>
      <c r="U17" s="93">
        <f t="shared" si="2"/>
        <v>970.72</v>
      </c>
      <c r="V17" s="73"/>
      <c r="W17" s="73"/>
      <c r="X17" s="73"/>
      <c r="Y17" s="73"/>
      <c r="Z17" s="73"/>
      <c r="AA17" s="73"/>
      <c r="AB17" s="92">
        <f t="shared" si="3"/>
        <v>0</v>
      </c>
      <c r="AC17" s="92">
        <f t="shared" si="4"/>
        <v>0</v>
      </c>
      <c r="AD17" s="97">
        <f t="shared" si="5"/>
        <v>-1590.72</v>
      </c>
      <c r="AE17" s="98">
        <f>ROUND(MAX((AD17)*{0.03;0.1;0.2;0.25;0.3;0.35;0.45}-{0;2520;16920;31920;52920;85920;181920},0),2)</f>
        <v>0</v>
      </c>
      <c r="AF17" s="99">
        <v>0</v>
      </c>
      <c r="AG17" s="99">
        <f t="shared" si="6"/>
        <v>0</v>
      </c>
      <c r="AH17" s="109">
        <f t="shared" si="7"/>
        <v>3409.28</v>
      </c>
      <c r="AI17" s="110"/>
      <c r="AJ17" s="109">
        <f t="shared" si="8"/>
        <v>3409.28</v>
      </c>
      <c r="AK17" s="111"/>
      <c r="AL17" s="109">
        <f t="shared" si="9"/>
        <v>3409.28</v>
      </c>
      <c r="AM17" s="111"/>
      <c r="AN17" s="111"/>
      <c r="AO17" s="111"/>
      <c r="AP17" s="111"/>
      <c r="AQ17" s="111"/>
      <c r="AR17" s="118" t="str">
        <f t="shared" si="10"/>
        <v>正确</v>
      </c>
      <c r="AS17" s="118" t="str">
        <f>IF(SUMPRODUCT(N(E$1:E$19=E17))&gt;1,"重复","不")</f>
        <v>不</v>
      </c>
      <c r="AT17" s="118" t="str">
        <f>IF(SUMPRODUCT(N(AO$1:AO$19=AO17))&gt;1,"重复","不")</f>
        <v>重复</v>
      </c>
      <c r="AU17" s="12" t="s">
        <v>51</v>
      </c>
      <c r="AV17" s="12" t="s">
        <v>146</v>
      </c>
    </row>
    <row r="18" s="12" customFormat="1" ht="18" customHeight="1" spans="1:48">
      <c r="A18" s="36">
        <v>15</v>
      </c>
      <c r="B18" s="37" t="s">
        <v>196</v>
      </c>
      <c r="C18" s="37" t="s">
        <v>143</v>
      </c>
      <c r="D18" s="37" t="s">
        <v>197</v>
      </c>
      <c r="E18" s="383" t="s">
        <v>144</v>
      </c>
      <c r="F18" s="38" t="s">
        <v>200</v>
      </c>
      <c r="G18" s="41">
        <v>13873717760</v>
      </c>
      <c r="H18" s="40"/>
      <c r="I18" s="40"/>
      <c r="J18" s="70"/>
      <c r="K18" s="40"/>
      <c r="L18" s="73">
        <v>1300</v>
      </c>
      <c r="M18" s="72">
        <v>573.76</v>
      </c>
      <c r="N18" s="72">
        <v>163.44</v>
      </c>
      <c r="O18" s="72">
        <v>21.52</v>
      </c>
      <c r="P18" s="72">
        <v>350</v>
      </c>
      <c r="Q18" s="91">
        <f t="shared" si="0"/>
        <v>1108.72</v>
      </c>
      <c r="R18" s="73">
        <v>0</v>
      </c>
      <c r="S18" s="92">
        <f t="shared" si="1"/>
        <v>1300</v>
      </c>
      <c r="T18" s="93">
        <v>5000</v>
      </c>
      <c r="U18" s="93">
        <f t="shared" si="2"/>
        <v>1108.72</v>
      </c>
      <c r="V18" s="73"/>
      <c r="W18" s="73"/>
      <c r="X18" s="73"/>
      <c r="Y18" s="73"/>
      <c r="Z18" s="73"/>
      <c r="AA18" s="73"/>
      <c r="AB18" s="92">
        <f t="shared" si="3"/>
        <v>0</v>
      </c>
      <c r="AC18" s="92">
        <f t="shared" si="4"/>
        <v>0</v>
      </c>
      <c r="AD18" s="97">
        <f t="shared" si="5"/>
        <v>-4808.72</v>
      </c>
      <c r="AE18" s="98">
        <f>ROUND(MAX((AD18)*{0.03;0.1;0.2;0.25;0.3;0.35;0.45}-{0;2520;16920;31920;52920;85920;181920},0),2)</f>
        <v>0</v>
      </c>
      <c r="AF18" s="99">
        <v>0</v>
      </c>
      <c r="AG18" s="99">
        <f t="shared" si="6"/>
        <v>0</v>
      </c>
      <c r="AH18" s="109">
        <f t="shared" si="7"/>
        <v>191.28</v>
      </c>
      <c r="AI18" s="110"/>
      <c r="AJ18" s="109">
        <f t="shared" si="8"/>
        <v>191.28</v>
      </c>
      <c r="AK18" s="111"/>
      <c r="AL18" s="109">
        <f t="shared" si="9"/>
        <v>191.28</v>
      </c>
      <c r="AM18" s="111"/>
      <c r="AN18" s="111"/>
      <c r="AO18" s="111"/>
      <c r="AP18" s="111"/>
      <c r="AQ18" s="111"/>
      <c r="AR18" s="118" t="str">
        <f t="shared" si="10"/>
        <v>正确</v>
      </c>
      <c r="AS18" s="118" t="str">
        <f>IF(SUMPRODUCT(N(E$1:E$19=E18))&gt;1,"重复","不")</f>
        <v>不</v>
      </c>
      <c r="AT18" s="118" t="str">
        <f>IF(SUMPRODUCT(N(AO$1:AO$19=AO18))&gt;1,"重复","不")</f>
        <v>重复</v>
      </c>
      <c r="AU18" s="12" t="s">
        <v>51</v>
      </c>
      <c r="AV18" s="12" t="s">
        <v>204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>
        <f>SUBTOTAL(9,AL4:AL18)</f>
        <v>98317.61</v>
      </c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211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AL20" si="13">SUM(L4:L19)</f>
        <v>108098.8</v>
      </c>
      <c r="M20" s="76">
        <f t="shared" si="13"/>
        <v>5902.1</v>
      </c>
      <c r="N20" s="76">
        <f t="shared" si="13"/>
        <v>1712.3</v>
      </c>
      <c r="O20" s="76">
        <f t="shared" si="13"/>
        <v>314.49</v>
      </c>
      <c r="P20" s="76">
        <f t="shared" si="13"/>
        <v>1852.3</v>
      </c>
      <c r="Q20" s="76">
        <f t="shared" si="13"/>
        <v>9781.19</v>
      </c>
      <c r="R20" s="76">
        <f t="shared" si="13"/>
        <v>0</v>
      </c>
      <c r="S20" s="76">
        <f t="shared" si="13"/>
        <v>108098.8</v>
      </c>
      <c r="T20" s="76">
        <f t="shared" si="13"/>
        <v>75000</v>
      </c>
      <c r="U20" s="76">
        <f t="shared" si="13"/>
        <v>9781.19</v>
      </c>
      <c r="V20" s="76">
        <f t="shared" si="13"/>
        <v>1000</v>
      </c>
      <c r="W20" s="76">
        <f t="shared" si="13"/>
        <v>0</v>
      </c>
      <c r="X20" s="76">
        <f t="shared" si="13"/>
        <v>1000</v>
      </c>
      <c r="Y20" s="76">
        <f t="shared" si="13"/>
        <v>0</v>
      </c>
      <c r="Z20" s="76">
        <f t="shared" si="13"/>
        <v>400</v>
      </c>
      <c r="AA20" s="76">
        <f t="shared" si="13"/>
        <v>0</v>
      </c>
      <c r="AB20" s="76">
        <f t="shared" si="13"/>
        <v>2400</v>
      </c>
      <c r="AC20" s="76">
        <f t="shared" si="13"/>
        <v>0</v>
      </c>
      <c r="AD20" s="76">
        <f t="shared" si="13"/>
        <v>20917.61</v>
      </c>
      <c r="AE20" s="76">
        <f t="shared" si="13"/>
        <v>918.23</v>
      </c>
      <c r="AF20" s="76">
        <f t="shared" si="13"/>
        <v>0</v>
      </c>
      <c r="AG20" s="76">
        <f t="shared" si="13"/>
        <v>918.23</v>
      </c>
      <c r="AH20" s="76">
        <f t="shared" si="13"/>
        <v>97399.38</v>
      </c>
      <c r="AI20" s="126">
        <f t="shared" si="13"/>
        <v>0</v>
      </c>
      <c r="AJ20" s="76">
        <f t="shared" si="13"/>
        <v>97399.38</v>
      </c>
      <c r="AK20" s="76">
        <f t="shared" si="13"/>
        <v>0</v>
      </c>
      <c r="AL20" s="76">
        <f t="shared" si="13"/>
        <v>196635.22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0">
      <c r="B24" s="48" t="s">
        <v>185</v>
      </c>
      <c r="C24" s="48" t="s">
        <v>212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97399.38</v>
      </c>
      <c r="C25" s="49">
        <f>AG20</f>
        <v>918.23</v>
      </c>
      <c r="D25" s="49">
        <f>AK20</f>
        <v>0</v>
      </c>
      <c r="E25" s="49">
        <f>B25+C25+D25</f>
        <v>98317.61</v>
      </c>
    </row>
    <row r="26" spans="2:5">
      <c r="B26" s="50"/>
      <c r="C26" s="50"/>
      <c r="D26" s="50"/>
      <c r="E26" s="50"/>
    </row>
    <row r="27" s="14" customFormat="1" spans="1:35">
      <c r="A27" s="52" t="s">
        <v>213</v>
      </c>
      <c r="B27" s="53" t="s">
        <v>214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216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217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218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219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220</v>
      </c>
    </row>
    <row r="35" spans="2:2">
      <c r="B35" s="60" t="s">
        <v>221</v>
      </c>
    </row>
    <row r="36" spans="2:2">
      <c r="B36" s="60" t="s">
        <v>222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10" stopIfTrue="1"/>
  </conditionalFormatting>
  <conditionalFormatting sqref="B27:B31">
    <cfRule type="duplicateValues" dxfId="3" priority="1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17" stopIfTrue="1"/>
    <cfRule type="expression" dxfId="4" priority="19" stopIfTrue="1">
      <formula>AND(COUNTIF($B$20:$B$65456,C24)+COUNTIF($B$1:$B$3,C24)&gt;1,NOT(ISBLANK(C24)))</formula>
    </cfRule>
    <cfRule type="expression" dxfId="4" priority="21" stopIfTrue="1">
      <formula>AND(COUNTIF($B$31:$B$65407,C24)+COUNTIF($B$1:$B$30,C24)&gt;1,NOT(ISBLANK(C24)))</formula>
    </cfRule>
    <cfRule type="expression" dxfId="4" priority="23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3"/>
  <sheetViews>
    <sheetView workbookViewId="0">
      <pane xSplit="6" ySplit="3" topLeftCell="AU4" activePane="bottomRight" state="frozen"/>
      <selection/>
      <selection pane="topRight"/>
      <selection pane="bottomLeft"/>
      <selection pane="bottomRight" activeCell="AG17" sqref="AG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196</v>
      </c>
      <c r="C4" s="37" t="s">
        <v>43</v>
      </c>
      <c r="D4" s="37" t="s">
        <v>197</v>
      </c>
      <c r="E4" s="37" t="s">
        <v>44</v>
      </c>
      <c r="F4" s="38" t="s">
        <v>198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 t="shared" ref="Q4:Q16" si="0">ROUND(SUM(M4:P4),2)</f>
        <v>545.44</v>
      </c>
      <c r="R4" s="73">
        <v>0</v>
      </c>
      <c r="S4" s="92">
        <f>L4+IFERROR(VLOOKUP($E:$E,'（居民）工资表-11月'!$E:$S,15,0),0)</f>
        <v>21120</v>
      </c>
      <c r="T4" s="93">
        <f>5000+IFERROR(VLOOKUP($E:$E,'（居民）工资表-11月'!$E:$T,16,0),0)</f>
        <v>10000</v>
      </c>
      <c r="U4" s="93">
        <f>Q4+IFERROR(VLOOKUP($E:$E,'（居民）工资表-11月'!$E:$U,17,0),0)</f>
        <v>1090.88</v>
      </c>
      <c r="V4" s="73">
        <v>12000</v>
      </c>
      <c r="W4" s="73"/>
      <c r="X4" s="73">
        <v>12000</v>
      </c>
      <c r="Y4" s="73"/>
      <c r="Z4" s="73">
        <v>4800</v>
      </c>
      <c r="AA4" s="73"/>
      <c r="AB4" s="92">
        <f t="shared" ref="AB4:AB16" si="1">ROUND(SUM(V4:AA4),2)</f>
        <v>28800</v>
      </c>
      <c r="AC4" s="92">
        <f>R4+IFERROR(VLOOKUP($E:$E,'（居民）工资表-11月'!$E:$AC,25,0),0)</f>
        <v>0</v>
      </c>
      <c r="AD4" s="97">
        <f t="shared" ref="AD4:AD16" si="2">ROUND(S4-T4-U4-AB4-AC4,2)</f>
        <v>-18770.88</v>
      </c>
      <c r="AE4" s="98">
        <f>ROUND(MAX((AD4)*{0.03;0.1;0.2;0.25;0.3;0.35;0.45}-{0;2520;16920;31920;52920;85920;181920},0),2)</f>
        <v>0</v>
      </c>
      <c r="AF4" s="99">
        <f>IFERROR(VLOOKUP(E:E,'（居民）工资表-11月'!E:AF,28,0)+VLOOKUP(E:E,'（居民）工资表-11月'!E:AG,29,0),0)</f>
        <v>0</v>
      </c>
      <c r="AG4" s="99">
        <f t="shared" ref="AG4:AG16" si="3">IF((AE4-AF4)&lt;0,0,AE4-AF4)</f>
        <v>0</v>
      </c>
      <c r="AH4" s="109">
        <f t="shared" ref="AH4:AH16" si="4">ROUND(IF((L4-Q4-AG4)&lt;0,0,(L4-Q4-AG4)),2)</f>
        <v>10014.56</v>
      </c>
      <c r="AI4" s="110"/>
      <c r="AJ4" s="109">
        <f t="shared" ref="AJ4:AJ16" si="5">AH4+AI4</f>
        <v>10014.56</v>
      </c>
      <c r="AK4" s="111"/>
      <c r="AL4" s="109">
        <f t="shared" ref="AL4:AL16" si="6">AJ4+AG4+AK4</f>
        <v>10014.56</v>
      </c>
      <c r="AM4" s="111"/>
      <c r="AN4" s="111"/>
      <c r="AO4" s="111"/>
      <c r="AP4" s="111"/>
      <c r="AQ4" s="111"/>
      <c r="AR4" s="118" t="str">
        <f t="shared" ref="AR4:AR16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IF(SUMPRODUCT(N(E$1:E$16=E4))&gt;1,"重复","不")</f>
        <v>不</v>
      </c>
      <c r="AT4" s="118" t="str">
        <f>IF(SUMPRODUCT(N(AO$1:AO$16=AO4))&gt;1,"重复","不")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196</v>
      </c>
      <c r="C5" s="37" t="s">
        <v>61</v>
      </c>
      <c r="D5" s="37" t="s">
        <v>197</v>
      </c>
      <c r="E5" s="37" t="s">
        <v>62</v>
      </c>
      <c r="F5" s="38" t="s">
        <v>198</v>
      </c>
      <c r="G5" s="41">
        <v>13944441728</v>
      </c>
      <c r="H5" s="40"/>
      <c r="I5" s="40"/>
      <c r="J5" s="70"/>
      <c r="K5" s="40"/>
      <c r="L5" s="73">
        <v>7000</v>
      </c>
      <c r="M5" s="72">
        <v>296.26</v>
      </c>
      <c r="N5" s="72">
        <v>72.06</v>
      </c>
      <c r="O5" s="72">
        <v>11.11</v>
      </c>
      <c r="P5" s="72">
        <v>82</v>
      </c>
      <c r="Q5" s="91">
        <f t="shared" si="0"/>
        <v>461.43</v>
      </c>
      <c r="R5" s="73">
        <v>0</v>
      </c>
      <c r="S5" s="92">
        <f>L5+IFERROR(VLOOKUP($E:$E,'（居民）工资表-11月'!$E:$S,15,0),0)</f>
        <v>92000</v>
      </c>
      <c r="T5" s="93">
        <f>5000+IFERROR(VLOOKUP($E:$E,'（居民）工资表-11月'!$E:$T,16,0),0)</f>
        <v>60000</v>
      </c>
      <c r="U5" s="93">
        <f>Q5+IFERROR(VLOOKUP($E:$E,'（居民）工资表-11月'!$E:$U,17,0),0)</f>
        <v>6757.26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R5+IFERROR(VLOOKUP($E:$E,'（居民）工资表-11月'!$E:$AC,25,0),0)</f>
        <v>0</v>
      </c>
      <c r="AD5" s="97">
        <f t="shared" si="2"/>
        <v>25242.74</v>
      </c>
      <c r="AE5" s="98">
        <f>ROUND(MAX((AD5)*{0.03;0.1;0.2;0.25;0.3;0.35;0.45}-{0;2520;16920;31920;52920;85920;181920},0),2)</f>
        <v>757.28</v>
      </c>
      <c r="AF5" s="99">
        <f>IFERROR(VLOOKUP(E:E,'（居民）工资表-11月'!E:AF,28,0)+VLOOKUP(E:E,'（居民）工资表-11月'!E:AG,29,0),0)</f>
        <v>711.13</v>
      </c>
      <c r="AG5" s="99">
        <f t="shared" si="3"/>
        <v>46.15</v>
      </c>
      <c r="AH5" s="109">
        <f t="shared" si="4"/>
        <v>6492.42</v>
      </c>
      <c r="AI5" s="110"/>
      <c r="AJ5" s="109">
        <f t="shared" si="5"/>
        <v>6492.42</v>
      </c>
      <c r="AK5" s="111"/>
      <c r="AL5" s="109">
        <f t="shared" si="6"/>
        <v>6538.57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>IF(SUMPRODUCT(N(E$1:E$16=E5))&gt;1,"重复","不")</f>
        <v>不</v>
      </c>
      <c r="AT5" s="118" t="str">
        <f>IF(SUMPRODUCT(N(AO$1:AO$16=AO5))&gt;1,"重复","不")</f>
        <v>重复</v>
      </c>
      <c r="AU5" s="12" t="s">
        <v>199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101</v>
      </c>
      <c r="D6" s="37" t="s">
        <v>197</v>
      </c>
      <c r="E6" s="383" t="s">
        <v>102</v>
      </c>
      <c r="F6" s="38" t="s">
        <v>200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>L6+IFERROR(VLOOKUP($E:$E,'（居民）工资表-11月'!$E:$S,15,0),0)</f>
        <v>68400</v>
      </c>
      <c r="T6" s="93">
        <f>5000+IFERROR(VLOOKUP($E:$E,'（居民）工资表-11月'!$E:$T,16,0),0)</f>
        <v>60000</v>
      </c>
      <c r="U6" s="93">
        <f>Q6+IFERROR(VLOOKUP($E:$E,'（居民）工资表-11月'!$E:$U,17,0),0)</f>
        <v>7485.76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R6+IFERROR(VLOOKUP($E:$E,'（居民）工资表-11月'!$E:$AC,25,0),0)</f>
        <v>0</v>
      </c>
      <c r="AD6" s="97">
        <f t="shared" si="2"/>
        <v>914.24</v>
      </c>
      <c r="AE6" s="98">
        <f>ROUND(MAX((AD6)*{0.03;0.1;0.2;0.25;0.3;0.35;0.45}-{0;2520;16920;31920;52920;85920;181920},0),2)</f>
        <v>27.43</v>
      </c>
      <c r="AF6" s="99">
        <f>IFERROR(VLOOKUP(E:E,'（居民）工资表-11月'!E:AF,28,0)+VLOOKUP(E:E,'（居民）工资表-11月'!E:AG,29,0),0)</f>
        <v>25.35</v>
      </c>
      <c r="AG6" s="99">
        <f t="shared" si="3"/>
        <v>2.08</v>
      </c>
      <c r="AH6" s="109">
        <f t="shared" si="4"/>
        <v>5067</v>
      </c>
      <c r="AI6" s="110"/>
      <c r="AJ6" s="109">
        <f t="shared" si="5"/>
        <v>5067</v>
      </c>
      <c r="AK6" s="111"/>
      <c r="AL6" s="109">
        <f t="shared" si="6"/>
        <v>5069.08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>IF(SUMPRODUCT(N(E$1:E$16=E6))&gt;1,"重复","不")</f>
        <v>不</v>
      </c>
      <c r="AT6" s="118" t="str">
        <f>IF(SUMPRODUCT(N(AO$1:AO$16=AO6))&gt;1,"重复","不")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196</v>
      </c>
      <c r="C7" s="37" t="s">
        <v>105</v>
      </c>
      <c r="D7" s="37" t="s">
        <v>197</v>
      </c>
      <c r="E7" s="383" t="s">
        <v>106</v>
      </c>
      <c r="F7" s="38" t="s">
        <v>198</v>
      </c>
      <c r="G7" s="41" t="s">
        <v>201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L7+IFERROR(VLOOKUP($E:$E,'（居民）工资表-11月'!$E:$S,15,0),0)</f>
        <v>365720</v>
      </c>
      <c r="T7" s="93">
        <f>5000+IFERROR(VLOOKUP($E:$E,'（居民）工资表-11月'!$E:$T,16,0),0)</f>
        <v>60000</v>
      </c>
      <c r="U7" s="93">
        <f>Q7+IFERROR(VLOOKUP($E:$E,'（居民）工资表-11月'!$E:$U,17,0),0)</f>
        <v>10722.3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R7+IFERROR(VLOOKUP($E:$E,'（居民）工资表-11月'!$E:$AC,25,0),0)</f>
        <v>0</v>
      </c>
      <c r="AD7" s="97">
        <f t="shared" si="2"/>
        <v>294997.7</v>
      </c>
      <c r="AE7" s="98">
        <f>ROUND(MAX((AD7)*{0.03;0.1;0.2;0.25;0.3;0.35;0.45}-{0;2520;16920;31920;52920;85920;181920},0),2)</f>
        <v>42079.54</v>
      </c>
      <c r="AF7" s="99">
        <f>IFERROR(VLOOKUP(E:E,'（居民）工资表-11月'!E:AF,28,0)+VLOOKUP(E:E,'（居民）工资表-11月'!E:AG,29,0),0)</f>
        <v>37240.72</v>
      </c>
      <c r="AG7" s="99">
        <f t="shared" si="3"/>
        <v>4838.82</v>
      </c>
      <c r="AH7" s="109">
        <f t="shared" si="4"/>
        <v>24355.28</v>
      </c>
      <c r="AI7" s="110"/>
      <c r="AJ7" s="109">
        <f t="shared" si="5"/>
        <v>24355.28</v>
      </c>
      <c r="AK7" s="111"/>
      <c r="AL7" s="109">
        <f t="shared" si="6"/>
        <v>29194.1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>IF(SUMPRODUCT(N(E$1:E$16=E7))&gt;1,"重复","不")</f>
        <v>不</v>
      </c>
      <c r="AT7" s="118" t="str">
        <f>IF(SUMPRODUCT(N(AO$1:AO$16=AO7))&gt;1,"重复","不")</f>
        <v>重复</v>
      </c>
      <c r="AU7" s="12" t="s">
        <v>104</v>
      </c>
      <c r="AV7" s="12" t="s">
        <v>202</v>
      </c>
    </row>
    <row r="8" s="12" customFormat="1" ht="18" customHeight="1" spans="1:48">
      <c r="A8" s="36">
        <v>5</v>
      </c>
      <c r="B8" s="37" t="s">
        <v>196</v>
      </c>
      <c r="C8" s="37" t="s">
        <v>109</v>
      </c>
      <c r="D8" s="37" t="s">
        <v>197</v>
      </c>
      <c r="E8" s="383" t="s">
        <v>110</v>
      </c>
      <c r="F8" s="38" t="s">
        <v>198</v>
      </c>
      <c r="G8" s="41" t="s">
        <v>203</v>
      </c>
      <c r="H8" s="40"/>
      <c r="I8" s="40"/>
      <c r="J8" s="70"/>
      <c r="K8" s="40"/>
      <c r="L8" s="73">
        <v>6000</v>
      </c>
      <c r="M8" s="72">
        <v>274.4</v>
      </c>
      <c r="N8" s="72">
        <v>76.6</v>
      </c>
      <c r="O8" s="72">
        <v>17.15</v>
      </c>
      <c r="P8" s="72">
        <v>75</v>
      </c>
      <c r="Q8" s="91">
        <f t="shared" si="0"/>
        <v>443.15</v>
      </c>
      <c r="R8" s="73">
        <v>0</v>
      </c>
      <c r="S8" s="92">
        <f>L8+IFERROR(VLOOKUP($E:$E,'（居民）工资表-11月'!$E:$S,15,0),0)</f>
        <v>87609.09</v>
      </c>
      <c r="T8" s="93">
        <f>5000+IFERROR(VLOOKUP($E:$E,'（居民）工资表-11月'!$E:$T,16,0),0)</f>
        <v>60000</v>
      </c>
      <c r="U8" s="93">
        <f>Q8+IFERROR(VLOOKUP($E:$E,'（居民）工资表-11月'!$E:$U,17,0),0)</f>
        <v>6406.15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R8+IFERROR(VLOOKUP($E:$E,'（居民）工资表-11月'!$E:$AC,25,0),0)</f>
        <v>0</v>
      </c>
      <c r="AD8" s="97">
        <f t="shared" si="2"/>
        <v>21202.94</v>
      </c>
      <c r="AE8" s="98">
        <f>ROUND(MAX((AD8)*{0.03;0.1;0.2;0.25;0.3;0.35;0.45}-{0;2520;16920;31920;52920;85920;181920},0),2)</f>
        <v>636.09</v>
      </c>
      <c r="AF8" s="99">
        <f>IFERROR(VLOOKUP(E:E,'（居民）工资表-11月'!E:AF,28,0)+VLOOKUP(E:E,'（居民）工资表-11月'!E:AG,29,0),0)</f>
        <v>635.4</v>
      </c>
      <c r="AG8" s="99">
        <f t="shared" si="3"/>
        <v>0.690000000000055</v>
      </c>
      <c r="AH8" s="109">
        <f t="shared" si="4"/>
        <v>5556.16</v>
      </c>
      <c r="AI8" s="110"/>
      <c r="AJ8" s="109">
        <f t="shared" si="5"/>
        <v>5556.16</v>
      </c>
      <c r="AK8" s="111"/>
      <c r="AL8" s="109">
        <f t="shared" si="6"/>
        <v>5556.85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>IF(SUMPRODUCT(N(E$1:E$16=E8))&gt;1,"重复","不")</f>
        <v>不</v>
      </c>
      <c r="AT8" s="118" t="str">
        <f>IF(SUMPRODUCT(N(AO$1:AO$16=AO8))&gt;1,"重复","不")</f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196</v>
      </c>
      <c r="C9" s="37" t="s">
        <v>117</v>
      </c>
      <c r="D9" s="37" t="s">
        <v>197</v>
      </c>
      <c r="E9" s="383" t="s">
        <v>118</v>
      </c>
      <c r="F9" s="38" t="s">
        <v>198</v>
      </c>
      <c r="G9" s="41">
        <v>19356875630</v>
      </c>
      <c r="H9" s="40"/>
      <c r="I9" s="40"/>
      <c r="J9" s="70"/>
      <c r="K9" s="40"/>
      <c r="L9" s="73">
        <v>6500</v>
      </c>
      <c r="M9" s="72">
        <v>274.4</v>
      </c>
      <c r="N9" s="72">
        <v>74.6</v>
      </c>
      <c r="O9" s="72">
        <v>17.15</v>
      </c>
      <c r="P9" s="72">
        <v>85</v>
      </c>
      <c r="Q9" s="91">
        <f t="shared" si="0"/>
        <v>451.15</v>
      </c>
      <c r="R9" s="73">
        <v>0</v>
      </c>
      <c r="S9" s="92">
        <f>L9+IFERROR(VLOOKUP($E:$E,'（居民）工资表-11月'!$E:$S,15,0),0)</f>
        <v>102500</v>
      </c>
      <c r="T9" s="93">
        <f>5000+IFERROR(VLOOKUP($E:$E,'（居民）工资表-11月'!$E:$T,16,0),0)</f>
        <v>60000</v>
      </c>
      <c r="U9" s="93">
        <f>Q9+IFERROR(VLOOKUP($E:$E,'（居民）工资表-11月'!$E:$U,17,0),0)</f>
        <v>7347.15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R9+IFERROR(VLOOKUP($E:$E,'（居民）工资表-11月'!$E:$AC,25,0),0)</f>
        <v>0</v>
      </c>
      <c r="AD9" s="97">
        <f t="shared" si="2"/>
        <v>35152.85</v>
      </c>
      <c r="AE9" s="98">
        <f>ROUND(MAX((AD9)*{0.03;0.1;0.2;0.25;0.3;0.35;0.45}-{0;2520;16920;31920;52920;85920;181920},0),2)</f>
        <v>1054.59</v>
      </c>
      <c r="AF9" s="99">
        <f>IFERROR(VLOOKUP(E:E,'（居民）工资表-11月'!E:AF,28,0)+VLOOKUP(E:E,'（居民）工资表-11月'!E:AG,29,0),0)</f>
        <v>1033.2</v>
      </c>
      <c r="AG9" s="99">
        <f t="shared" si="3"/>
        <v>21.3899999999999</v>
      </c>
      <c r="AH9" s="109">
        <f t="shared" si="4"/>
        <v>6027.46</v>
      </c>
      <c r="AI9" s="110"/>
      <c r="AJ9" s="109">
        <f t="shared" si="5"/>
        <v>6027.46</v>
      </c>
      <c r="AK9" s="111"/>
      <c r="AL9" s="109">
        <f t="shared" si="6"/>
        <v>6048.85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>IF(SUMPRODUCT(N(E$1:E$16=E9))&gt;1,"重复","不")</f>
        <v>不</v>
      </c>
      <c r="AT9" s="118" t="str">
        <f>IF(SUMPRODUCT(N(AO$1:AO$16=AO9))&gt;1,"重复","不")</f>
        <v>重复</v>
      </c>
      <c r="AU9" s="12" t="s">
        <v>146</v>
      </c>
      <c r="AV9" s="12" t="s">
        <v>51</v>
      </c>
    </row>
    <row r="10" s="12" customFormat="1" ht="18" customHeight="1" spans="1:48">
      <c r="A10" s="36">
        <v>7</v>
      </c>
      <c r="B10" s="37" t="s">
        <v>196</v>
      </c>
      <c r="C10" s="37" t="s">
        <v>131</v>
      </c>
      <c r="D10" s="37" t="s">
        <v>197</v>
      </c>
      <c r="E10" s="383" t="s">
        <v>132</v>
      </c>
      <c r="F10" s="38" t="s">
        <v>198</v>
      </c>
      <c r="G10" s="41">
        <v>13973652684</v>
      </c>
      <c r="H10" s="40"/>
      <c r="I10" s="40"/>
      <c r="J10" s="70"/>
      <c r="K10" s="40"/>
      <c r="L10" s="73">
        <v>6500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>L10+IFERROR(VLOOKUP($E:$E,'（居民）工资表-11月'!$E:$S,15,0),0)</f>
        <v>76700</v>
      </c>
      <c r="T10" s="93">
        <f>5000+IFERROR(VLOOKUP($E:$E,'（居民）工资表-11月'!$E:$T,16,0),0)</f>
        <v>60000</v>
      </c>
      <c r="U10" s="93">
        <f>Q10+IFERROR(VLOOKUP($E:$E,'（居民）工资表-11月'!$E:$U,17,0),0)</f>
        <v>6139.44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R10+IFERROR(VLOOKUP($E:$E,'（居民）工资表-11月'!$E:$AC,25,0),0)</f>
        <v>0</v>
      </c>
      <c r="AD10" s="97">
        <f t="shared" si="2"/>
        <v>10560.56</v>
      </c>
      <c r="AE10" s="98">
        <f>ROUND(MAX((AD10)*{0.03;0.1;0.2;0.25;0.3;0.35;0.45}-{0;2520;16920;31920;52920;85920;181920},0),2)</f>
        <v>316.82</v>
      </c>
      <c r="AF10" s="99">
        <f>IFERROR(VLOOKUP(E:E,'（居民）工资表-11月'!E:AF,28,0)+VLOOKUP(E:E,'（居民）工资表-11月'!E:AG,29,0),0)</f>
        <v>294.18</v>
      </c>
      <c r="AG10" s="99">
        <f t="shared" si="3"/>
        <v>22.64</v>
      </c>
      <c r="AH10" s="109">
        <f t="shared" si="4"/>
        <v>6004.71</v>
      </c>
      <c r="AI10" s="110"/>
      <c r="AJ10" s="109">
        <f t="shared" si="5"/>
        <v>6004.71</v>
      </c>
      <c r="AK10" s="111"/>
      <c r="AL10" s="109">
        <f t="shared" si="6"/>
        <v>6027.35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>IF(SUMPRODUCT(N(E$1:E$16=E10))&gt;1,"重复","不")</f>
        <v>不</v>
      </c>
      <c r="AT10" s="118" t="str">
        <f>IF(SUMPRODUCT(N(AO$1:AO$16=AO10))&gt;1,"重复","不")</f>
        <v>重复</v>
      </c>
      <c r="AU10" s="12" t="s">
        <v>204</v>
      </c>
      <c r="AV10" s="12" t="s">
        <v>51</v>
      </c>
    </row>
    <row r="11" s="12" customFormat="1" ht="18" customHeight="1" spans="1:48">
      <c r="A11" s="36">
        <v>8</v>
      </c>
      <c r="B11" s="37" t="s">
        <v>196</v>
      </c>
      <c r="C11" s="37" t="s">
        <v>136</v>
      </c>
      <c r="D11" s="37" t="s">
        <v>197</v>
      </c>
      <c r="E11" s="383" t="s">
        <v>137</v>
      </c>
      <c r="F11" s="38" t="s">
        <v>198</v>
      </c>
      <c r="G11" s="41" t="s">
        <v>205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L11+IFERROR(VLOOKUP($E:$E,'（居民）工资表-11月'!$E:$S,15,0),0)</f>
        <v>66000</v>
      </c>
      <c r="T11" s="93">
        <f>5000+IFERROR(VLOOKUP($E:$E,'（居民）工资表-11月'!$E:$T,16,0),0)</f>
        <v>60000</v>
      </c>
      <c r="U11" s="93">
        <f>Q11+IFERROR(VLOOKUP($E:$E,'（居民）工资表-11月'!$E:$U,17,0),0)</f>
        <v>6789.82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R11+IFERROR(VLOOKUP($E:$E,'（居民）工资表-11月'!$E:$AC,25,0),0)</f>
        <v>0</v>
      </c>
      <c r="AD11" s="97">
        <f t="shared" si="2"/>
        <v>-789.82</v>
      </c>
      <c r="AE11" s="98">
        <f>ROUND(MAX((AD11)*{0.03;0.1;0.2;0.25;0.3;0.35;0.45}-{0;2520;16920;31920;52920;85920;181920},0),2)</f>
        <v>0</v>
      </c>
      <c r="AF11" s="99">
        <f>IFERROR(VLOOKUP(E:E,'（居民）工资表-11月'!E:AF,28,0)+VLOOKUP(E:E,'（居民）工资表-11月'!E:AG,29,0),0)</f>
        <v>0</v>
      </c>
      <c r="AG11" s="99">
        <f t="shared" si="3"/>
        <v>0</v>
      </c>
      <c r="AH11" s="109">
        <f t="shared" si="4"/>
        <v>4974.51</v>
      </c>
      <c r="AI11" s="110"/>
      <c r="AJ11" s="109">
        <f t="shared" si="5"/>
        <v>4974.51</v>
      </c>
      <c r="AK11" s="111"/>
      <c r="AL11" s="109">
        <f t="shared" si="6"/>
        <v>4974.51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>IF(SUMPRODUCT(N(E$1:E$16=E11))&gt;1,"重复","不")</f>
        <v>不</v>
      </c>
      <c r="AT11" s="118" t="str">
        <f>IF(SUMPRODUCT(N(AO$1:AO$16=AO11))&gt;1,"重复","不")</f>
        <v>重复</v>
      </c>
      <c r="AU11" s="12" t="s">
        <v>135</v>
      </c>
      <c r="AV11" s="12" t="s">
        <v>206</v>
      </c>
    </row>
    <row r="12" s="12" customFormat="1" ht="18" customHeight="1" spans="1:48">
      <c r="A12" s="36">
        <v>9</v>
      </c>
      <c r="B12" s="37" t="s">
        <v>196</v>
      </c>
      <c r="C12" s="37" t="s">
        <v>139</v>
      </c>
      <c r="D12" s="37" t="s">
        <v>197</v>
      </c>
      <c r="E12" s="383" t="s">
        <v>140</v>
      </c>
      <c r="F12" s="38" t="s">
        <v>200</v>
      </c>
      <c r="G12" s="41" t="s">
        <v>207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L12+IFERROR(VLOOKUP($E:$E,'（居民）工资表-11月'!$E:$S,15,0),0)</f>
        <v>53784.4</v>
      </c>
      <c r="T12" s="93">
        <f>5000+IFERROR(VLOOKUP($E:$E,'（居民）工资表-11月'!$E:$T,16,0),0)</f>
        <v>60000</v>
      </c>
      <c r="U12" s="93">
        <f>Q12+IFERROR(VLOOKUP($E:$E,'（居民）工资表-11月'!$E:$U,17,0),0)</f>
        <v>7707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R12+IFERROR(VLOOKUP($E:$E,'（居民）工资表-11月'!$E:$AC,25,0),0)</f>
        <v>0</v>
      </c>
      <c r="AD12" s="97">
        <f t="shared" si="2"/>
        <v>-13922.6</v>
      </c>
      <c r="AE12" s="98">
        <f>ROUND(MAX((AD12)*{0.03;0.1;0.2;0.25;0.3;0.35;0.45}-{0;2520;16920;31920;52920;85920;181920},0),2)</f>
        <v>0</v>
      </c>
      <c r="AF12" s="99">
        <f>IFERROR(VLOOKUP(E:E,'（居民）工资表-11月'!E:AF,28,0)+VLOOKUP(E:E,'（居民）工资表-11月'!E:AG,29,0),0)</f>
        <v>0</v>
      </c>
      <c r="AG12" s="99">
        <f t="shared" si="3"/>
        <v>0</v>
      </c>
      <c r="AH12" s="109">
        <f t="shared" si="4"/>
        <v>4005.8</v>
      </c>
      <c r="AI12" s="110"/>
      <c r="AJ12" s="109">
        <f t="shared" si="5"/>
        <v>4005.8</v>
      </c>
      <c r="AK12" s="111"/>
      <c r="AL12" s="109">
        <f t="shared" si="6"/>
        <v>4005.8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>IF(SUMPRODUCT(N(E$1:E$16=E12))&gt;1,"重复","不")</f>
        <v>不</v>
      </c>
      <c r="AT12" s="118" t="str">
        <f>IF(SUMPRODUCT(N(AO$1:AO$16=AO12))&gt;1,"重复","不")</f>
        <v>重复</v>
      </c>
      <c r="AU12" s="12" t="s">
        <v>138</v>
      </c>
      <c r="AV12" s="12" t="s">
        <v>208</v>
      </c>
    </row>
    <row r="13" s="12" customFormat="1" ht="18" customHeight="1" spans="1:48">
      <c r="A13" s="36">
        <v>10</v>
      </c>
      <c r="B13" s="37" t="s">
        <v>196</v>
      </c>
      <c r="C13" s="37" t="s">
        <v>126</v>
      </c>
      <c r="D13" s="37" t="s">
        <v>197</v>
      </c>
      <c r="E13" s="383" t="s">
        <v>127</v>
      </c>
      <c r="F13" s="38" t="s">
        <v>198</v>
      </c>
      <c r="G13" s="41">
        <v>18356553626</v>
      </c>
      <c r="H13" s="40"/>
      <c r="I13" s="40"/>
      <c r="J13" s="70"/>
      <c r="K13" s="40"/>
      <c r="L13" s="73">
        <v>1460.87</v>
      </c>
      <c r="M13" s="72">
        <v>306.56</v>
      </c>
      <c r="N13" s="72">
        <v>104.45</v>
      </c>
      <c r="O13" s="72">
        <v>19.16</v>
      </c>
      <c r="P13" s="72">
        <v>75</v>
      </c>
      <c r="Q13" s="91">
        <f t="shared" si="0"/>
        <v>505.17</v>
      </c>
      <c r="R13" s="73">
        <v>0</v>
      </c>
      <c r="S13" s="92">
        <f>L13+IFERROR(VLOOKUP($E:$E,'（居民）工资表-11月'!$E:$S,15,0),0)</f>
        <v>1460.87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505.17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R13+IFERROR(VLOOKUP($E:$E,'（居民）工资表-11月'!$E:$AC,25,0),0)</f>
        <v>0</v>
      </c>
      <c r="AD13" s="97">
        <f t="shared" si="2"/>
        <v>-4044.3</v>
      </c>
      <c r="AE13" s="98">
        <f>ROUND(MAX((AD13)*{0.03;0.1;0.2;0.25;0.3;0.35;0.45}-{0;2520;16920;31920;52920;85920;181920},0),2)</f>
        <v>0</v>
      </c>
      <c r="AF13" s="99">
        <f>IFERROR(VLOOKUP(E:E,'（居民）工资表-11月'!E:AF,28,0)+VLOOKUP(E:E,'（居民）工资表-11月'!E:AG,29,0),0)</f>
        <v>0</v>
      </c>
      <c r="AG13" s="99">
        <f t="shared" si="3"/>
        <v>0</v>
      </c>
      <c r="AH13" s="109">
        <f t="shared" si="4"/>
        <v>955.7</v>
      </c>
      <c r="AI13" s="110"/>
      <c r="AJ13" s="109">
        <f t="shared" si="5"/>
        <v>955.7</v>
      </c>
      <c r="AK13" s="111"/>
      <c r="AL13" s="109">
        <f t="shared" si="6"/>
        <v>955.7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>IF(SUMPRODUCT(N(E$1:E$16=E13))&gt;1,"重复","不")</f>
        <v>不</v>
      </c>
      <c r="AT13" s="118" t="str">
        <f>IF(SUMPRODUCT(N(AO$1:AO$16=AO13))&gt;1,"重复","不")</f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196</v>
      </c>
      <c r="C14" s="37" t="s">
        <v>121</v>
      </c>
      <c r="D14" s="37" t="s">
        <v>197</v>
      </c>
      <c r="E14" s="383" t="s">
        <v>122</v>
      </c>
      <c r="F14" s="38" t="s">
        <v>198</v>
      </c>
      <c r="G14" s="41">
        <v>18326897140</v>
      </c>
      <c r="H14" s="40"/>
      <c r="I14" s="40"/>
      <c r="J14" s="70"/>
      <c r="K14" s="40"/>
      <c r="L14" s="73">
        <v>1147.83</v>
      </c>
      <c r="M14" s="72">
        <v>274.4</v>
      </c>
      <c r="N14" s="72">
        <v>74.6</v>
      </c>
      <c r="O14" s="72">
        <v>17.15</v>
      </c>
      <c r="P14" s="72">
        <v>85</v>
      </c>
      <c r="Q14" s="91">
        <f t="shared" si="0"/>
        <v>451.15</v>
      </c>
      <c r="R14" s="73">
        <v>0</v>
      </c>
      <c r="S14" s="92">
        <f>L14+IFERROR(VLOOKUP($E:$E,'（居民）工资表-11月'!$E:$S,15,0),0)</f>
        <v>1147.83</v>
      </c>
      <c r="T14" s="93">
        <f>5000+IFERROR(VLOOKUP($E:$E,'（居民）工资表-11月'!$E:$T,16,0),0)</f>
        <v>5000</v>
      </c>
      <c r="U14" s="93">
        <f>Q14+IFERROR(VLOOKUP($E:$E,'（居民）工资表-11月'!$E:$U,17,0),0)</f>
        <v>451.15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R14+IFERROR(VLOOKUP($E:$E,'（居民）工资表-11月'!$E:$AC,25,0),0)</f>
        <v>0</v>
      </c>
      <c r="AD14" s="97">
        <f t="shared" si="2"/>
        <v>-4303.32</v>
      </c>
      <c r="AE14" s="98">
        <f>ROUND(MAX((AD14)*{0.03;0.1;0.2;0.25;0.3;0.35;0.45}-{0;2520;16920;31920;52920;85920;181920},0),2)</f>
        <v>0</v>
      </c>
      <c r="AF14" s="99">
        <f>IFERROR(VLOOKUP(E:E,'（居民）工资表-11月'!E:AF,28,0)+VLOOKUP(E:E,'（居民）工资表-11月'!E:AG,29,0),0)</f>
        <v>0</v>
      </c>
      <c r="AG14" s="99">
        <f t="shared" si="3"/>
        <v>0</v>
      </c>
      <c r="AH14" s="109">
        <f t="shared" si="4"/>
        <v>696.68</v>
      </c>
      <c r="AI14" s="110"/>
      <c r="AJ14" s="109">
        <f t="shared" si="5"/>
        <v>696.68</v>
      </c>
      <c r="AK14" s="111"/>
      <c r="AL14" s="109">
        <f t="shared" si="6"/>
        <v>696.68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>IF(SUMPRODUCT(N(E$1:E$16=E14))&gt;1,"重复","不")</f>
        <v>不</v>
      </c>
      <c r="AT14" s="118" t="str">
        <f>IF(SUMPRODUCT(N(AO$1:AO$16=AO14))&gt;1,"重复","不")</f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196</v>
      </c>
      <c r="C15" s="37" t="s">
        <v>119</v>
      </c>
      <c r="D15" s="37" t="s">
        <v>197</v>
      </c>
      <c r="E15" s="383" t="s">
        <v>120</v>
      </c>
      <c r="F15" s="38" t="s">
        <v>198</v>
      </c>
      <c r="G15" s="41">
        <v>17201857014</v>
      </c>
      <c r="H15" s="40"/>
      <c r="I15" s="40"/>
      <c r="J15" s="70"/>
      <c r="K15" s="40"/>
      <c r="L15" s="73">
        <v>1530.43</v>
      </c>
      <c r="M15" s="72">
        <v>274.4</v>
      </c>
      <c r="N15" s="72">
        <v>74.6</v>
      </c>
      <c r="O15" s="72">
        <v>17.15</v>
      </c>
      <c r="P15" s="72">
        <v>85</v>
      </c>
      <c r="Q15" s="91">
        <f t="shared" si="0"/>
        <v>451.15</v>
      </c>
      <c r="R15" s="73">
        <v>0</v>
      </c>
      <c r="S15" s="92">
        <f>L15+IFERROR(VLOOKUP($E:$E,'（居民）工资表-11月'!$E:$S,15,0),0)</f>
        <v>1530.43</v>
      </c>
      <c r="T15" s="93">
        <f>5000+IFERROR(VLOOKUP($E:$E,'（居民）工资表-11月'!$E:$T,16,0),0)</f>
        <v>5000</v>
      </c>
      <c r="U15" s="93">
        <f>Q15+IFERROR(VLOOKUP($E:$E,'（居民）工资表-11月'!$E:$U,17,0),0)</f>
        <v>451.15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R15+IFERROR(VLOOKUP($E:$E,'（居民）工资表-11月'!$E:$AC,25,0),0)</f>
        <v>0</v>
      </c>
      <c r="AD15" s="97">
        <f t="shared" si="2"/>
        <v>-3920.72</v>
      </c>
      <c r="AE15" s="98">
        <f>ROUND(MAX((AD15)*{0.03;0.1;0.2;0.25;0.3;0.35;0.45}-{0;2520;16920;31920;52920;85920;181920},0),2)</f>
        <v>0</v>
      </c>
      <c r="AF15" s="99">
        <f>IFERROR(VLOOKUP(E:E,'（居民）工资表-11月'!E:AF,28,0)+VLOOKUP(E:E,'（居民）工资表-11月'!E:AG,29,0),0)</f>
        <v>0</v>
      </c>
      <c r="AG15" s="99">
        <f t="shared" si="3"/>
        <v>0</v>
      </c>
      <c r="AH15" s="109">
        <f t="shared" si="4"/>
        <v>1079.28</v>
      </c>
      <c r="AI15" s="110"/>
      <c r="AJ15" s="109">
        <f t="shared" si="5"/>
        <v>1079.28</v>
      </c>
      <c r="AK15" s="111"/>
      <c r="AL15" s="109">
        <f t="shared" si="6"/>
        <v>1079.28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>IF(SUMPRODUCT(N(E$1:E$16=E15))&gt;1,"重复","不")</f>
        <v>不</v>
      </c>
      <c r="AT15" s="118" t="str">
        <f>IF(SUMPRODUCT(N(AO$1:AO$16=AO15))&gt;1,"重复","不")</f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196</v>
      </c>
      <c r="C16" s="37" t="s">
        <v>124</v>
      </c>
      <c r="D16" s="37" t="s">
        <v>197</v>
      </c>
      <c r="E16" s="383" t="s">
        <v>125</v>
      </c>
      <c r="F16" s="38" t="s">
        <v>200</v>
      </c>
      <c r="G16" s="41" t="s">
        <v>209</v>
      </c>
      <c r="H16" s="40"/>
      <c r="I16" s="40"/>
      <c r="J16" s="70"/>
      <c r="K16" s="40"/>
      <c r="L16" s="73">
        <v>2191.3</v>
      </c>
      <c r="M16" s="72">
        <v>613.12</v>
      </c>
      <c r="N16" s="72">
        <v>208.9</v>
      </c>
      <c r="O16" s="72">
        <v>38.32</v>
      </c>
      <c r="P16" s="72">
        <v>150</v>
      </c>
      <c r="Q16" s="91">
        <f t="shared" si="0"/>
        <v>1010.34</v>
      </c>
      <c r="R16" s="73">
        <v>0</v>
      </c>
      <c r="S16" s="92">
        <f>L16+IFERROR(VLOOKUP($E:$E,'（居民）工资表-11月'!$E:$S,15,0),0)</f>
        <v>2191.3</v>
      </c>
      <c r="T16" s="93">
        <f>5000+IFERROR(VLOOKUP($E:$E,'（居民）工资表-11月'!$E:$T,16,0),0)</f>
        <v>5000</v>
      </c>
      <c r="U16" s="93">
        <f>Q16+IFERROR(VLOOKUP($E:$E,'（居民）工资表-11月'!$E:$U,17,0),0)</f>
        <v>1010.34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R16+IFERROR(VLOOKUP($E:$E,'（居民）工资表-11月'!$E:$AC,25,0),0)</f>
        <v>0</v>
      </c>
      <c r="AD16" s="97">
        <f t="shared" si="2"/>
        <v>-3819.04</v>
      </c>
      <c r="AE16" s="98">
        <f>ROUND(MAX((AD16)*{0.03;0.1;0.2;0.25;0.3;0.35;0.45}-{0;2520;16920;31920;52920;85920;181920},0),2)</f>
        <v>0</v>
      </c>
      <c r="AF16" s="99">
        <f>IFERROR(VLOOKUP(E:E,'（居民）工资表-11月'!E:AF,28,0)+VLOOKUP(E:E,'（居民）工资表-11月'!E:AG,29,0),0)</f>
        <v>0</v>
      </c>
      <c r="AG16" s="99">
        <f t="shared" si="3"/>
        <v>0</v>
      </c>
      <c r="AH16" s="109">
        <f t="shared" si="4"/>
        <v>1180.96</v>
      </c>
      <c r="AI16" s="110"/>
      <c r="AJ16" s="109">
        <f t="shared" si="5"/>
        <v>1180.96</v>
      </c>
      <c r="AK16" s="111"/>
      <c r="AL16" s="109">
        <f t="shared" si="6"/>
        <v>1180.96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>IF(SUMPRODUCT(N(E$1:E$16=E16))&gt;1,"重复","不")</f>
        <v>不</v>
      </c>
      <c r="AT16" s="118" t="str">
        <f>IF(SUMPRODUCT(N(AO$1:AO$16=AO16))&gt;1,"重复","不")</f>
        <v>重复</v>
      </c>
      <c r="AU16" s="12" t="s">
        <v>146</v>
      </c>
      <c r="AV16" s="12" t="s">
        <v>51</v>
      </c>
    </row>
    <row r="17" s="13" customFormat="1" ht="18" customHeight="1" spans="1:46">
      <c r="A17" s="42"/>
      <c r="B17" s="43" t="s">
        <v>211</v>
      </c>
      <c r="C17" s="43"/>
      <c r="D17" s="44"/>
      <c r="E17" s="45"/>
      <c r="F17" s="46"/>
      <c r="G17" s="47"/>
      <c r="H17" s="46"/>
      <c r="I17" s="74"/>
      <c r="J17" s="75"/>
      <c r="K17" s="74"/>
      <c r="L17" s="76">
        <f t="shared" ref="L17:AL17" si="8">SUM(L4:L16)</f>
        <v>88749.23</v>
      </c>
      <c r="M17" s="76">
        <f t="shared" si="8"/>
        <v>4442.9</v>
      </c>
      <c r="N17" s="76">
        <f t="shared" si="8"/>
        <v>1299.11</v>
      </c>
      <c r="O17" s="76">
        <f t="shared" si="8"/>
        <v>237.63</v>
      </c>
      <c r="P17" s="76">
        <f t="shared" si="8"/>
        <v>1427.3</v>
      </c>
      <c r="Q17" s="76">
        <f t="shared" si="8"/>
        <v>7406.94</v>
      </c>
      <c r="R17" s="76">
        <f t="shared" si="8"/>
        <v>0</v>
      </c>
      <c r="S17" s="76">
        <f t="shared" si="8"/>
        <v>940163.92</v>
      </c>
      <c r="T17" s="76">
        <f t="shared" si="8"/>
        <v>510000</v>
      </c>
      <c r="U17" s="76">
        <f t="shared" si="8"/>
        <v>62863.57</v>
      </c>
      <c r="V17" s="76">
        <f t="shared" si="8"/>
        <v>12000</v>
      </c>
      <c r="W17" s="76">
        <f t="shared" si="8"/>
        <v>0</v>
      </c>
      <c r="X17" s="76">
        <f t="shared" si="8"/>
        <v>12000</v>
      </c>
      <c r="Y17" s="76">
        <f t="shared" si="8"/>
        <v>0</v>
      </c>
      <c r="Z17" s="76">
        <f t="shared" si="8"/>
        <v>4800</v>
      </c>
      <c r="AA17" s="76">
        <f t="shared" si="8"/>
        <v>0</v>
      </c>
      <c r="AB17" s="76">
        <f t="shared" si="8"/>
        <v>28800</v>
      </c>
      <c r="AC17" s="76">
        <f t="shared" si="8"/>
        <v>0</v>
      </c>
      <c r="AD17" s="76">
        <f t="shared" si="8"/>
        <v>338500.35</v>
      </c>
      <c r="AE17" s="76">
        <f t="shared" si="8"/>
        <v>44871.75</v>
      </c>
      <c r="AF17" s="76">
        <f t="shared" si="8"/>
        <v>39939.98</v>
      </c>
      <c r="AG17" s="76">
        <f t="shared" si="8"/>
        <v>4931.77</v>
      </c>
      <c r="AH17" s="76">
        <f t="shared" si="8"/>
        <v>76410.52</v>
      </c>
      <c r="AI17" s="126">
        <f t="shared" si="8"/>
        <v>0</v>
      </c>
      <c r="AJ17" s="76">
        <f t="shared" si="8"/>
        <v>76410.52</v>
      </c>
      <c r="AK17" s="76">
        <f t="shared" si="8"/>
        <v>0</v>
      </c>
      <c r="AL17" s="76">
        <f t="shared" si="8"/>
        <v>81342.29</v>
      </c>
      <c r="AM17" s="112"/>
      <c r="AN17" s="112"/>
      <c r="AO17" s="112"/>
      <c r="AP17" s="112"/>
      <c r="AQ17" s="112"/>
      <c r="AR17" s="46"/>
      <c r="AS17" s="46"/>
      <c r="AT17" s="120"/>
    </row>
    <row r="20" spans="30:30">
      <c r="AD20" s="103"/>
    </row>
    <row r="21" ht="18.75" customHeight="1" spans="2:30">
      <c r="B21" s="48" t="s">
        <v>185</v>
      </c>
      <c r="C21" s="48" t="s">
        <v>212</v>
      </c>
      <c r="D21" s="48" t="s">
        <v>22</v>
      </c>
      <c r="E21" s="48" t="s">
        <v>23</v>
      </c>
      <c r="AD21" s="10"/>
    </row>
    <row r="22" ht="18.75" customHeight="1" spans="2:5">
      <c r="B22" s="49">
        <f>AJ17</f>
        <v>76410.52</v>
      </c>
      <c r="C22" s="49">
        <f>AG17</f>
        <v>4931.77</v>
      </c>
      <c r="D22" s="49">
        <f>AK17</f>
        <v>0</v>
      </c>
      <c r="E22" s="49">
        <f>B22+C22+D22</f>
        <v>81342.29</v>
      </c>
    </row>
    <row r="23" spans="2:5">
      <c r="B23" s="50"/>
      <c r="C23" s="50"/>
      <c r="D23" s="50"/>
      <c r="E23" s="50"/>
    </row>
    <row r="24" s="14" customFormat="1" spans="1:35">
      <c r="A24" s="52" t="s">
        <v>213</v>
      </c>
      <c r="B24" s="53" t="s">
        <v>214</v>
      </c>
      <c r="C24" s="51"/>
      <c r="D24" s="51"/>
      <c r="E24" s="51"/>
      <c r="G24" s="54"/>
      <c r="J24" s="77"/>
      <c r="M24" s="78"/>
      <c r="AI24" s="114"/>
    </row>
    <row r="25" s="14" customFormat="1" spans="1:35">
      <c r="A25" s="55"/>
      <c r="B25" s="56" t="s">
        <v>215</v>
      </c>
      <c r="C25" s="51"/>
      <c r="D25" s="51"/>
      <c r="E25" s="51"/>
      <c r="G25" s="54"/>
      <c r="J25" s="77"/>
      <c r="M25" s="78"/>
      <c r="AI25" s="114"/>
    </row>
    <row r="26" s="14" customFormat="1" spans="1:35">
      <c r="A26" s="53"/>
      <c r="B26" s="56" t="s">
        <v>216</v>
      </c>
      <c r="C26" s="57"/>
      <c r="D26" s="57"/>
      <c r="E26" s="57"/>
      <c r="F26" s="57"/>
      <c r="G26" s="57"/>
      <c r="H26" s="57"/>
      <c r="I26" s="57"/>
      <c r="J26" s="79"/>
      <c r="K26" s="57"/>
      <c r="L26" s="57"/>
      <c r="M26" s="80"/>
      <c r="N26" s="57"/>
      <c r="O26" s="57"/>
      <c r="P26" s="57"/>
      <c r="AI26" s="114"/>
    </row>
    <row r="27" s="14" customFormat="1" customHeight="1" spans="1:35">
      <c r="A27" s="56"/>
      <c r="B27" s="56" t="s">
        <v>217</v>
      </c>
      <c r="C27" s="58"/>
      <c r="D27" s="58"/>
      <c r="E27" s="58"/>
      <c r="F27" s="58"/>
      <c r="G27" s="58"/>
      <c r="H27" s="58"/>
      <c r="I27" s="81"/>
      <c r="J27" s="82"/>
      <c r="K27" s="81"/>
      <c r="L27" s="81"/>
      <c r="M27" s="83"/>
      <c r="N27" s="81"/>
      <c r="O27" s="81"/>
      <c r="P27" s="81"/>
      <c r="AI27" s="114"/>
    </row>
    <row r="28" s="14" customFormat="1" customHeight="1" spans="1:35">
      <c r="A28" s="56"/>
      <c r="B28" s="56" t="s">
        <v>218</v>
      </c>
      <c r="C28" s="58"/>
      <c r="D28" s="58"/>
      <c r="E28" s="58"/>
      <c r="F28" s="58"/>
      <c r="G28" s="58"/>
      <c r="H28" s="58"/>
      <c r="I28" s="58"/>
      <c r="J28" s="84"/>
      <c r="K28" s="58"/>
      <c r="L28" s="81"/>
      <c r="M28" s="83"/>
      <c r="N28" s="81"/>
      <c r="O28" s="81"/>
      <c r="P28" s="81"/>
      <c r="AI28" s="114"/>
    </row>
    <row r="29" s="14" customFormat="1" customHeight="1" spans="1:35">
      <c r="A29" s="56"/>
      <c r="B29" s="56" t="s">
        <v>219</v>
      </c>
      <c r="C29" s="58"/>
      <c r="D29" s="58"/>
      <c r="E29" s="58"/>
      <c r="F29" s="58"/>
      <c r="G29" s="58"/>
      <c r="H29" s="58"/>
      <c r="I29" s="81"/>
      <c r="J29" s="82"/>
      <c r="K29" s="81"/>
      <c r="L29" s="81"/>
      <c r="M29" s="83"/>
      <c r="N29" s="81"/>
      <c r="O29" s="81"/>
      <c r="P29" s="81"/>
      <c r="AI29" s="114"/>
    </row>
    <row r="31" ht="11.25" customHeight="1" spans="2:2">
      <c r="B31" s="59" t="s">
        <v>220</v>
      </c>
    </row>
    <row r="32" spans="2:2">
      <c r="B32" s="60" t="s">
        <v>221</v>
      </c>
    </row>
    <row r="33" spans="2:2">
      <c r="B33" s="60" t="s">
        <v>222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3" priority="2" stopIfTrue="1"/>
  </conditionalFormatting>
  <conditionalFormatting sqref="B24:B28">
    <cfRule type="duplicateValues" dxfId="3" priority="3" stopIfTrue="1"/>
  </conditionalFormatting>
  <conditionalFormatting sqref="B32:B33">
    <cfRule type="duplicateValues" dxfId="3" priority="1" stopIfTrue="1"/>
  </conditionalFormatting>
  <conditionalFormatting sqref="C21:C23">
    <cfRule type="duplicateValues" dxfId="3" priority="4" stopIfTrue="1"/>
    <cfRule type="expression" dxfId="4" priority="5" stopIfTrue="1">
      <formula>AND(COUNTIF($B$17:$B$65453,C21)+COUNTIF($B$1:$B$3,C21)&gt;1,NOT(ISBLANK(C21)))</formula>
    </cfRule>
    <cfRule type="expression" dxfId="4" priority="6" stopIfTrue="1">
      <formula>AND(COUNTIF($B$28:$B$65404,C21)+COUNTIF($B$1:$B$27,C21)&gt;1,NOT(ISBLANK(C21)))</formula>
    </cfRule>
    <cfRule type="expression" dxfId="4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V37"/>
  <sheetViews>
    <sheetView workbookViewId="0">
      <pane xSplit="6" ySplit="3" topLeftCell="AU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>
        <f>U4/2</f>
        <v>545.44</v>
      </c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99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196</v>
      </c>
      <c r="C4" s="37" t="s">
        <v>43</v>
      </c>
      <c r="D4" s="37" t="s">
        <v>197</v>
      </c>
      <c r="E4" s="37" t="s">
        <v>44</v>
      </c>
      <c r="F4" s="38" t="s">
        <v>198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 t="shared" ref="Q4:Q12" si="0">ROUND(SUM(M4:P4),2)</f>
        <v>545.44</v>
      </c>
      <c r="R4" s="73">
        <v>0</v>
      </c>
      <c r="S4" s="92">
        <f>L4+IFERROR(VLOOKUP($E:$E,'（居民）工资表-1月'!$E:$S,15,0),0)</f>
        <v>21120</v>
      </c>
      <c r="T4" s="93">
        <f>5000+IFERROR(VLOOKUP($E:$E,'（居民）工资表-1月'!$E:$T,16,0),0)</f>
        <v>10000</v>
      </c>
      <c r="U4" s="93">
        <f>Q4+IFERROR(VLOOKUP($E:$E,'（居民）工资表-1月'!$E:$U,17,0),0)</f>
        <v>1090.88</v>
      </c>
      <c r="V4" s="73">
        <v>2000</v>
      </c>
      <c r="W4" s="73"/>
      <c r="X4" s="73">
        <v>2000</v>
      </c>
      <c r="Y4" s="73"/>
      <c r="Z4" s="73">
        <v>800</v>
      </c>
      <c r="AA4" s="125"/>
      <c r="AB4" s="92">
        <f>ROUND(SUM(V4:AA4),2)</f>
        <v>4800</v>
      </c>
      <c r="AC4" s="92">
        <f>R4+IFERROR(VLOOKUP($E:$E,'（居民）工资表-1月'!$E:$AC,25,0),0)</f>
        <v>0</v>
      </c>
      <c r="AD4" s="97">
        <f t="shared" ref="AD4:AD12" si="1">ROUND(S4-T4-U4-AB4-AC4,2)</f>
        <v>5229.12</v>
      </c>
      <c r="AE4" s="98">
        <f>ROUND(MAX((AD4)*{0.03;0.1;0.2;0.25;0.3;0.35;0.45}-{0;2520;16920;31920;52920;85920;181920},0),2)</f>
        <v>156.87</v>
      </c>
      <c r="AF4" s="99">
        <f>IFERROR(VLOOKUP(E:E,'（居民）工资表-1月'!E:AF,28,0)+VLOOKUP(E:E,'（居民）工资表-1月'!E:AG,29,0),0)</f>
        <v>78.44</v>
      </c>
      <c r="AG4" s="99">
        <f t="shared" ref="AG4:AG12" si="2">IF((AE4-AF4)&lt;0,0,AE4-AF4)</f>
        <v>78.43</v>
      </c>
      <c r="AH4" s="109">
        <f t="shared" ref="AH4:AH12" si="3">ROUND(IF((L4-Q4-AG4)&lt;0,0,(L4-Q4-AG4)),2)</f>
        <v>9936.13</v>
      </c>
      <c r="AI4" s="110"/>
      <c r="AJ4" s="109">
        <f t="shared" ref="AJ4:AJ12" si="4">AH4+AI4</f>
        <v>9936.13</v>
      </c>
      <c r="AK4" s="111"/>
      <c r="AL4" s="109">
        <f t="shared" ref="AL4:AL12" si="5">AJ4+AG4+AK4</f>
        <v>10014.56</v>
      </c>
      <c r="AM4" s="111"/>
      <c r="AN4" s="111"/>
      <c r="AO4" s="111"/>
      <c r="AP4" s="111"/>
      <c r="AQ4" s="111"/>
      <c r="AR4" s="118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2" si="7">IF(SUMPRODUCT(N(E$1:E$8=E4))&gt;1,"重复","不")</f>
        <v>不</v>
      </c>
      <c r="AT4" s="118" t="str">
        <f t="shared" ref="AT4:AT12" si="8">IF(SUMPRODUCT(N(AO$1:AO$8=AO4))&gt;1,"重复","不")</f>
        <v>重复</v>
      </c>
    </row>
    <row r="5" s="12" customFormat="1" ht="18" customHeight="1" spans="1:48">
      <c r="A5" s="36">
        <v>2</v>
      </c>
      <c r="B5" s="37" t="s">
        <v>196</v>
      </c>
      <c r="C5" s="37" t="s">
        <v>61</v>
      </c>
      <c r="D5" s="37" t="s">
        <v>197</v>
      </c>
      <c r="E5" s="37" t="s">
        <v>62</v>
      </c>
      <c r="F5" s="38" t="s">
        <v>198</v>
      </c>
      <c r="G5" s="41">
        <v>13944441728</v>
      </c>
      <c r="H5" s="40"/>
      <c r="I5" s="40"/>
      <c r="J5" s="70"/>
      <c r="K5" s="40"/>
      <c r="L5" s="73">
        <v>7000</v>
      </c>
      <c r="M5" s="72">
        <v>296.26</v>
      </c>
      <c r="N5" s="72">
        <v>99.43</v>
      </c>
      <c r="O5" s="72">
        <v>11.11</v>
      </c>
      <c r="P5" s="72">
        <v>82</v>
      </c>
      <c r="Q5" s="91">
        <f t="shared" si="0"/>
        <v>488.8</v>
      </c>
      <c r="R5" s="73">
        <v>0</v>
      </c>
      <c r="S5" s="92">
        <f>L5+IFERROR(VLOOKUP($E:$E,'（居民）工资表-1月'!$E:$S,15,0),0)</f>
        <v>14000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950.23</v>
      </c>
      <c r="V5" s="125"/>
      <c r="W5" s="125"/>
      <c r="X5" s="125"/>
      <c r="Y5" s="125"/>
      <c r="Z5" s="125"/>
      <c r="AA5" s="125"/>
      <c r="AB5" s="92">
        <f t="shared" ref="AB5:AB12" si="9">ROUND(SUM(V5:AA5),2)</f>
        <v>0</v>
      </c>
      <c r="AC5" s="92">
        <f>R5+IFERROR(VLOOKUP($E:$E,'（居民）工资表-1月'!$E:$AC,25,0),0)</f>
        <v>0</v>
      </c>
      <c r="AD5" s="97">
        <f t="shared" si="1"/>
        <v>3049.77</v>
      </c>
      <c r="AE5" s="98">
        <f>ROUND(MAX((AD5)*{0.03;0.1;0.2;0.25;0.3;0.35;0.45}-{0;2520;16920;31920;52920;85920;181920},0),2)</f>
        <v>91.49</v>
      </c>
      <c r="AF5" s="99">
        <f>IFERROR(VLOOKUP(E:E,'（居民）工资表-1月'!E:AF,28,0)+VLOOKUP(E:E,'（居民）工资表-1月'!E:AG,29,0),0)</f>
        <v>46.16</v>
      </c>
      <c r="AG5" s="99">
        <f t="shared" si="2"/>
        <v>45.33</v>
      </c>
      <c r="AH5" s="109">
        <f t="shared" si="3"/>
        <v>6465.87</v>
      </c>
      <c r="AI5" s="110"/>
      <c r="AJ5" s="109">
        <f t="shared" si="4"/>
        <v>6465.87</v>
      </c>
      <c r="AK5" s="111"/>
      <c r="AL5" s="109">
        <f t="shared" si="5"/>
        <v>6511.2</v>
      </c>
      <c r="AM5" s="111"/>
      <c r="AN5" s="111"/>
      <c r="AO5" s="111"/>
      <c r="AP5" s="111"/>
      <c r="AQ5" s="111"/>
      <c r="AR5" s="118" t="str">
        <f t="shared" si="6"/>
        <v>正确</v>
      </c>
      <c r="AS5" s="118" t="str">
        <f t="shared" si="7"/>
        <v>不</v>
      </c>
      <c r="AT5" s="118" t="str">
        <f t="shared" si="8"/>
        <v>重复</v>
      </c>
      <c r="AU5" s="12" t="s">
        <v>199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101</v>
      </c>
      <c r="D6" s="37" t="s">
        <v>197</v>
      </c>
      <c r="E6" s="383" t="s">
        <v>102</v>
      </c>
      <c r="F6" s="38" t="s">
        <v>200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82.68</v>
      </c>
      <c r="O6" s="72">
        <v>4.6</v>
      </c>
      <c r="P6" s="72">
        <v>115</v>
      </c>
      <c r="Q6" s="91">
        <f t="shared" si="0"/>
        <v>569.32</v>
      </c>
      <c r="R6" s="73">
        <v>0</v>
      </c>
      <c r="S6" s="92">
        <f>L6+IFERROR(VLOOKUP($E:$E,'（居民）工资表-1月'!$E:$S,15,0),0)</f>
        <v>11400</v>
      </c>
      <c r="T6" s="93">
        <f>5000+IFERROR(VLOOKUP($E:$E,'（居民）工资表-1月'!$E:$T,16,0),0)</f>
        <v>10000</v>
      </c>
      <c r="U6" s="93">
        <f>Q6+IFERROR(VLOOKUP($E:$E,'（居民）工资表-1月'!$E:$U,17,0),0)</f>
        <v>1200.24</v>
      </c>
      <c r="V6" s="125"/>
      <c r="W6" s="125"/>
      <c r="X6" s="125"/>
      <c r="Y6" s="125"/>
      <c r="Z6" s="125"/>
      <c r="AA6" s="125"/>
      <c r="AB6" s="92">
        <f t="shared" si="9"/>
        <v>0</v>
      </c>
      <c r="AC6" s="92">
        <f>R6+IFERROR(VLOOKUP($E:$E,'（居民）工资表-1月'!$E:$AC,25,0),0)</f>
        <v>0</v>
      </c>
      <c r="AD6" s="97">
        <f t="shared" si="1"/>
        <v>199.76</v>
      </c>
      <c r="AE6" s="98">
        <f>ROUND(MAX((AD6)*{0.03;0.1;0.2;0.25;0.3;0.35;0.45}-{0;2520;16920;31920;52920;85920;181920},0),2)</f>
        <v>5.99</v>
      </c>
      <c r="AF6" s="99">
        <f>IFERROR(VLOOKUP(E:E,'（居民）工资表-1月'!E:AF,28,0)+VLOOKUP(E:E,'（居民）工资表-1月'!E:AG,29,0),0)</f>
        <v>2.07</v>
      </c>
      <c r="AG6" s="99">
        <f t="shared" si="2"/>
        <v>3.92</v>
      </c>
      <c r="AH6" s="109">
        <f t="shared" si="3"/>
        <v>5126.76</v>
      </c>
      <c r="AI6" s="110"/>
      <c r="AJ6" s="109">
        <f t="shared" si="4"/>
        <v>5126.76</v>
      </c>
      <c r="AK6" s="111"/>
      <c r="AL6" s="109">
        <f t="shared" si="5"/>
        <v>5130.68</v>
      </c>
      <c r="AM6" s="111"/>
      <c r="AN6" s="111"/>
      <c r="AO6" s="111"/>
      <c r="AP6" s="111"/>
      <c r="AQ6" s="111"/>
      <c r="AR6" s="118" t="str">
        <f t="shared" si="6"/>
        <v>正确</v>
      </c>
      <c r="AS6" s="118" t="str">
        <f t="shared" si="7"/>
        <v>不</v>
      </c>
      <c r="AT6" s="118" t="str">
        <f t="shared" si="8"/>
        <v>重复</v>
      </c>
      <c r="AU6" s="12" t="s">
        <v>50</v>
      </c>
      <c r="AV6" s="12" t="s">
        <v>51</v>
      </c>
    </row>
    <row r="7" s="12" customFormat="1" ht="18" customHeight="1" spans="1:46">
      <c r="A7" s="36">
        <v>4</v>
      </c>
      <c r="B7" s="37" t="s">
        <v>196</v>
      </c>
      <c r="C7" s="37" t="s">
        <v>105</v>
      </c>
      <c r="D7" s="37" t="s">
        <v>197</v>
      </c>
      <c r="E7" s="383" t="s">
        <v>106</v>
      </c>
      <c r="F7" s="38" t="s">
        <v>198</v>
      </c>
      <c r="G7" s="41" t="s">
        <v>201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L7+IFERROR(VLOOKUP($E:$E,'（居民）工资表-1月'!$E:$S,15,0),0)</f>
        <v>60120</v>
      </c>
      <c r="T7" s="93">
        <f>5000+IFERROR(VLOOKUP($E:$E,'（居民）工资表-1月'!$E:$T,16,0),0)</f>
        <v>10000</v>
      </c>
      <c r="U7" s="93">
        <f>Q7+IFERROR(VLOOKUP($E:$E,'（居民）工资表-1月'!$E:$U,17,0),0)</f>
        <v>1731.8</v>
      </c>
      <c r="V7" s="125"/>
      <c r="W7" s="125"/>
      <c r="X7" s="125"/>
      <c r="Y7" s="125"/>
      <c r="Z7" s="125"/>
      <c r="AA7" s="125"/>
      <c r="AB7" s="92">
        <f t="shared" si="9"/>
        <v>0</v>
      </c>
      <c r="AC7" s="92">
        <f>R7+IFERROR(VLOOKUP($E:$E,'（居民）工资表-1月'!$E:$AC,25,0),0)</f>
        <v>0</v>
      </c>
      <c r="AD7" s="97">
        <f t="shared" si="1"/>
        <v>48388.2</v>
      </c>
      <c r="AE7" s="98">
        <f>ROUND(MAX((AD7)*{0.03;0.1;0.2;0.25;0.3;0.35;0.45}-{0;2520;16920;31920;52920;85920;181920},0),2)</f>
        <v>2318.82</v>
      </c>
      <c r="AF7" s="99">
        <f>IFERROR(VLOOKUP(E:E,'（居民）工资表-1月'!E:AF,28,0)+VLOOKUP(E:E,'（居民）工资表-1月'!E:AG,29,0),0)</f>
        <v>725.82</v>
      </c>
      <c r="AG7" s="99">
        <f t="shared" si="2"/>
        <v>1593</v>
      </c>
      <c r="AH7" s="109">
        <f t="shared" si="3"/>
        <v>27601.1</v>
      </c>
      <c r="AI7" s="110"/>
      <c r="AJ7" s="109">
        <f t="shared" si="4"/>
        <v>27601.1</v>
      </c>
      <c r="AK7" s="111"/>
      <c r="AL7" s="109">
        <f t="shared" si="5"/>
        <v>29194.1</v>
      </c>
      <c r="AM7" s="111"/>
      <c r="AN7" s="111"/>
      <c r="AO7" s="111"/>
      <c r="AP7" s="111"/>
      <c r="AQ7" s="111"/>
      <c r="AR7" s="118" t="str">
        <f t="shared" si="6"/>
        <v>正确</v>
      </c>
      <c r="AS7" s="118" t="str">
        <f t="shared" si="7"/>
        <v>不</v>
      </c>
      <c r="AT7" s="118" t="str">
        <f t="shared" si="8"/>
        <v>重复</v>
      </c>
    </row>
    <row r="8" s="12" customFormat="1" ht="18" customHeight="1" spans="1:48">
      <c r="A8" s="36">
        <v>5</v>
      </c>
      <c r="B8" s="37" t="s">
        <v>196</v>
      </c>
      <c r="C8" s="37" t="s">
        <v>109</v>
      </c>
      <c r="D8" s="37" t="s">
        <v>197</v>
      </c>
      <c r="E8" s="383" t="s">
        <v>110</v>
      </c>
      <c r="F8" s="38" t="s">
        <v>198</v>
      </c>
      <c r="G8" s="41" t="s">
        <v>203</v>
      </c>
      <c r="H8" s="40"/>
      <c r="I8" s="40"/>
      <c r="J8" s="70"/>
      <c r="K8" s="40"/>
      <c r="L8" s="73">
        <v>6000</v>
      </c>
      <c r="M8" s="72">
        <v>306.56</v>
      </c>
      <c r="N8" s="72">
        <v>84.64</v>
      </c>
      <c r="O8" s="72">
        <v>19.16</v>
      </c>
      <c r="P8" s="72">
        <v>75</v>
      </c>
      <c r="Q8" s="91">
        <f t="shared" si="0"/>
        <v>485.36</v>
      </c>
      <c r="R8" s="73">
        <v>0</v>
      </c>
      <c r="S8" s="92">
        <f>L8+IFERROR(VLOOKUP($E:$E,'（居民）工资表-1月'!$E:$S,15,0),0)</f>
        <v>12000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1223.98</v>
      </c>
      <c r="V8" s="125"/>
      <c r="W8" s="125"/>
      <c r="X8" s="125"/>
      <c r="Y8" s="125"/>
      <c r="Z8" s="125"/>
      <c r="AA8" s="125"/>
      <c r="AB8" s="92">
        <f t="shared" si="9"/>
        <v>0</v>
      </c>
      <c r="AC8" s="92">
        <f>R8+IFERROR(VLOOKUP($E:$E,'（居民）工资表-1月'!$E:$AC,25,0),0)</f>
        <v>0</v>
      </c>
      <c r="AD8" s="97">
        <f t="shared" si="1"/>
        <v>776.02</v>
      </c>
      <c r="AE8" s="98">
        <f>ROUND(MAX((AD8)*{0.03;0.1;0.2;0.25;0.3;0.35;0.45}-{0;2520;16920;31920;52920;85920;181920},0),2)</f>
        <v>23.28</v>
      </c>
      <c r="AF8" s="99">
        <f>IFERROR(VLOOKUP(E:E,'（居民）工资表-1月'!E:AF,28,0)+VLOOKUP(E:E,'（居民）工资表-1月'!E:AG,29,0),0)</f>
        <v>7.84</v>
      </c>
      <c r="AG8" s="99">
        <f t="shared" si="2"/>
        <v>15.44</v>
      </c>
      <c r="AH8" s="109">
        <f t="shared" si="3"/>
        <v>5499.2</v>
      </c>
      <c r="AI8" s="110"/>
      <c r="AJ8" s="109">
        <f t="shared" si="4"/>
        <v>5499.2</v>
      </c>
      <c r="AK8" s="111"/>
      <c r="AL8" s="109">
        <f t="shared" si="5"/>
        <v>5514.64</v>
      </c>
      <c r="AM8" s="111"/>
      <c r="AN8" s="111"/>
      <c r="AO8" s="111"/>
      <c r="AP8" s="111"/>
      <c r="AQ8" s="111"/>
      <c r="AR8" s="118" t="str">
        <f t="shared" si="6"/>
        <v>正确</v>
      </c>
      <c r="AS8" s="118" t="str">
        <f t="shared" si="7"/>
        <v>不</v>
      </c>
      <c r="AT8" s="118" t="str">
        <f t="shared" si="8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196</v>
      </c>
      <c r="C9" s="37" t="s">
        <v>117</v>
      </c>
      <c r="D9" s="37" t="s">
        <v>197</v>
      </c>
      <c r="E9" s="383" t="s">
        <v>118</v>
      </c>
      <c r="F9" s="38" t="s">
        <v>198</v>
      </c>
      <c r="G9" s="41">
        <v>19356875630</v>
      </c>
      <c r="H9" s="40"/>
      <c r="I9" s="40"/>
      <c r="J9" s="70"/>
      <c r="K9" s="40"/>
      <c r="L9" s="73">
        <v>6500</v>
      </c>
      <c r="M9" s="72">
        <v>306.56</v>
      </c>
      <c r="N9" s="72">
        <v>82.64</v>
      </c>
      <c r="O9" s="72">
        <v>19.16</v>
      </c>
      <c r="P9" s="72">
        <v>346</v>
      </c>
      <c r="Q9" s="91">
        <f t="shared" si="0"/>
        <v>754.36</v>
      </c>
      <c r="R9" s="73">
        <v>0</v>
      </c>
      <c r="S9" s="92">
        <f>L9+IFERROR(VLOOKUP($E:$E,'（居民）工资表-1月'!$E:$S,15,0),0)</f>
        <v>13000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1500.98</v>
      </c>
      <c r="V9" s="125"/>
      <c r="W9" s="125"/>
      <c r="X9" s="125"/>
      <c r="Y9" s="125"/>
      <c r="Z9" s="125"/>
      <c r="AA9" s="125"/>
      <c r="AB9" s="92">
        <f t="shared" si="9"/>
        <v>0</v>
      </c>
      <c r="AC9" s="92">
        <f>R9+IFERROR(VLOOKUP($E:$E,'（居民）工资表-1月'!$E:$AC,25,0),0)</f>
        <v>0</v>
      </c>
      <c r="AD9" s="97">
        <f t="shared" si="1"/>
        <v>1499.02</v>
      </c>
      <c r="AE9" s="98">
        <f>ROUND(MAX((AD9)*{0.03;0.1;0.2;0.25;0.3;0.35;0.45}-{0;2520;16920;31920;52920;85920;181920},0),2)</f>
        <v>44.97</v>
      </c>
      <c r="AF9" s="99">
        <f>IFERROR(VLOOKUP(E:E,'（居民）工资表-1月'!E:AF,28,0)+VLOOKUP(E:E,'（居民）工资表-1月'!E:AG,29,0),0)</f>
        <v>22.6</v>
      </c>
      <c r="AG9" s="99">
        <f t="shared" si="2"/>
        <v>22.37</v>
      </c>
      <c r="AH9" s="109">
        <f t="shared" si="3"/>
        <v>5723.27</v>
      </c>
      <c r="AI9" s="110"/>
      <c r="AJ9" s="109">
        <f t="shared" si="4"/>
        <v>5723.27</v>
      </c>
      <c r="AK9" s="111"/>
      <c r="AL9" s="109">
        <f t="shared" si="5"/>
        <v>5745.64</v>
      </c>
      <c r="AM9" s="111"/>
      <c r="AN9" s="111"/>
      <c r="AO9" s="111"/>
      <c r="AP9" s="111"/>
      <c r="AQ9" s="111"/>
      <c r="AR9" s="118" t="str">
        <f t="shared" si="6"/>
        <v>正确</v>
      </c>
      <c r="AS9" s="118" t="str">
        <f t="shared" si="7"/>
        <v>不</v>
      </c>
      <c r="AT9" s="118" t="str">
        <f t="shared" si="8"/>
        <v>重复</v>
      </c>
      <c r="AU9" s="12" t="s">
        <v>146</v>
      </c>
      <c r="AV9" s="12" t="s">
        <v>51</v>
      </c>
    </row>
    <row r="10" s="12" customFormat="1" ht="18" customHeight="1" spans="1:48">
      <c r="A10" s="36">
        <v>7</v>
      </c>
      <c r="B10" s="37" t="s">
        <v>196</v>
      </c>
      <c r="C10" s="37" t="s">
        <v>131</v>
      </c>
      <c r="D10" s="37" t="s">
        <v>197</v>
      </c>
      <c r="E10" s="383" t="s">
        <v>132</v>
      </c>
      <c r="F10" s="38" t="s">
        <v>198</v>
      </c>
      <c r="G10" s="41">
        <v>13973652684</v>
      </c>
      <c r="H10" s="40"/>
      <c r="I10" s="40"/>
      <c r="J10" s="70"/>
      <c r="K10" s="40"/>
      <c r="L10" s="73">
        <v>6500</v>
      </c>
      <c r="M10" s="72">
        <v>370.16</v>
      </c>
      <c r="N10" s="72">
        <v>73.52</v>
      </c>
      <c r="O10" s="72">
        <v>13.89</v>
      </c>
      <c r="P10" s="72">
        <v>100</v>
      </c>
      <c r="Q10" s="91">
        <f t="shared" si="0"/>
        <v>557.57</v>
      </c>
      <c r="R10" s="73">
        <v>0</v>
      </c>
      <c r="S10" s="92">
        <f>L10+IFERROR(VLOOKUP($E:$E,'（居民）工资表-1月'!$E:$S,15,0),0)</f>
        <v>13000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1030.22</v>
      </c>
      <c r="V10" s="125"/>
      <c r="W10" s="125"/>
      <c r="X10" s="125"/>
      <c r="Y10" s="125"/>
      <c r="Z10" s="125"/>
      <c r="AA10" s="125"/>
      <c r="AB10" s="92">
        <f t="shared" si="9"/>
        <v>0</v>
      </c>
      <c r="AC10" s="92">
        <f>R10+IFERROR(VLOOKUP($E:$E,'（居民）工资表-1月'!$E:$AC,25,0),0)</f>
        <v>0</v>
      </c>
      <c r="AD10" s="97">
        <f t="shared" si="1"/>
        <v>1969.78</v>
      </c>
      <c r="AE10" s="98">
        <f>ROUND(MAX((AD10)*{0.03;0.1;0.2;0.25;0.3;0.35;0.45}-{0;2520;16920;31920;52920;85920;181920},0),2)</f>
        <v>59.09</v>
      </c>
      <c r="AF10" s="99">
        <f>IFERROR(VLOOKUP(E:E,'（居民）工资表-1月'!E:AF,28,0)+VLOOKUP(E:E,'（居民）工资表-1月'!E:AG,29,0),0)</f>
        <v>30.82</v>
      </c>
      <c r="AG10" s="99">
        <f t="shared" si="2"/>
        <v>28.27</v>
      </c>
      <c r="AH10" s="109">
        <f t="shared" si="3"/>
        <v>5914.16</v>
      </c>
      <c r="AI10" s="110"/>
      <c r="AJ10" s="109">
        <f t="shared" si="4"/>
        <v>5914.16</v>
      </c>
      <c r="AK10" s="111"/>
      <c r="AL10" s="109">
        <f t="shared" si="5"/>
        <v>5942.43</v>
      </c>
      <c r="AM10" s="111"/>
      <c r="AN10" s="111"/>
      <c r="AO10" s="111"/>
      <c r="AP10" s="111"/>
      <c r="AQ10" s="111"/>
      <c r="AR10" s="118" t="str">
        <f t="shared" si="6"/>
        <v>正确</v>
      </c>
      <c r="AS10" s="118" t="str">
        <f t="shared" si="7"/>
        <v>不</v>
      </c>
      <c r="AT10" s="118" t="str">
        <f t="shared" si="8"/>
        <v>重复</v>
      </c>
      <c r="AU10" s="12" t="s">
        <v>204</v>
      </c>
      <c r="AV10" s="12" t="s">
        <v>51</v>
      </c>
    </row>
    <row r="11" s="12" customFormat="1" ht="18" customHeight="1" spans="1:46">
      <c r="A11" s="36">
        <v>8</v>
      </c>
      <c r="B11" s="37" t="s">
        <v>196</v>
      </c>
      <c r="C11" s="37" t="s">
        <v>136</v>
      </c>
      <c r="D11" s="37" t="s">
        <v>197</v>
      </c>
      <c r="E11" s="383" t="s">
        <v>137</v>
      </c>
      <c r="F11" s="38" t="s">
        <v>198</v>
      </c>
      <c r="G11" s="41" t="s">
        <v>205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L11+IFERROR(VLOOKUP($E:$E,'（居民）工资表-1月'!$E:$S,15,0),0)</f>
        <v>11000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1050.98</v>
      </c>
      <c r="V11" s="125"/>
      <c r="W11" s="125"/>
      <c r="X11" s="125"/>
      <c r="Y11" s="125"/>
      <c r="Z11" s="125"/>
      <c r="AA11" s="125"/>
      <c r="AB11" s="92">
        <f t="shared" si="9"/>
        <v>0</v>
      </c>
      <c r="AC11" s="92">
        <f>R11+IFERROR(VLOOKUP($E:$E,'（居民）工资表-1月'!$E:$AC,25,0),0)</f>
        <v>0</v>
      </c>
      <c r="AD11" s="97">
        <f t="shared" si="1"/>
        <v>-50.98</v>
      </c>
      <c r="AE11" s="98">
        <f>ROUND(MAX((AD11)*{0.03;0.1;0.2;0.25;0.3;0.35;0.45}-{0;2520;16920;31920;52920;85920;181920},0),2)</f>
        <v>0</v>
      </c>
      <c r="AF11" s="99">
        <f>IFERROR(VLOOKUP(E:E,'（居民）工资表-1月'!E:AF,28,0)+VLOOKUP(E:E,'（居民）工资表-1月'!E:AG,29,0),0)</f>
        <v>0</v>
      </c>
      <c r="AG11" s="99">
        <f t="shared" si="2"/>
        <v>0</v>
      </c>
      <c r="AH11" s="109">
        <f t="shared" si="3"/>
        <v>4974.51</v>
      </c>
      <c r="AI11" s="110"/>
      <c r="AJ11" s="109">
        <f t="shared" si="4"/>
        <v>4974.51</v>
      </c>
      <c r="AK11" s="111"/>
      <c r="AL11" s="109">
        <f t="shared" si="5"/>
        <v>4974.51</v>
      </c>
      <c r="AM11" s="111"/>
      <c r="AN11" s="111"/>
      <c r="AO11" s="111"/>
      <c r="AP11" s="111"/>
      <c r="AQ11" s="111"/>
      <c r="AR11" s="118" t="str">
        <f t="shared" si="6"/>
        <v>正确</v>
      </c>
      <c r="AS11" s="118" t="str">
        <f t="shared" si="7"/>
        <v>不</v>
      </c>
      <c r="AT11" s="118" t="str">
        <f t="shared" si="8"/>
        <v>重复</v>
      </c>
    </row>
    <row r="12" s="12" customFormat="1" ht="18" customHeight="1" spans="1:46">
      <c r="A12" s="36">
        <v>9</v>
      </c>
      <c r="B12" s="37" t="s">
        <v>196</v>
      </c>
      <c r="C12" s="37" t="s">
        <v>139</v>
      </c>
      <c r="D12" s="37" t="s">
        <v>197</v>
      </c>
      <c r="E12" s="383" t="s">
        <v>140</v>
      </c>
      <c r="F12" s="38" t="s">
        <v>200</v>
      </c>
      <c r="G12" s="41" t="s">
        <v>207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L12+IFERROR(VLOOKUP($E:$E,'（居民）工资表-1月'!$E:$S,15,0),0)</f>
        <v>9197.6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1186</v>
      </c>
      <c r="V12" s="125"/>
      <c r="W12" s="125"/>
      <c r="X12" s="125"/>
      <c r="Y12" s="125"/>
      <c r="Z12" s="125"/>
      <c r="AA12" s="125"/>
      <c r="AB12" s="92">
        <f t="shared" si="9"/>
        <v>0</v>
      </c>
      <c r="AC12" s="92">
        <f>R12+IFERROR(VLOOKUP($E:$E,'（居民）工资表-1月'!$E:$AC,25,0),0)</f>
        <v>0</v>
      </c>
      <c r="AD12" s="97">
        <f t="shared" si="1"/>
        <v>-1988.4</v>
      </c>
      <c r="AE12" s="98">
        <f>ROUND(MAX((AD12)*{0.03;0.1;0.2;0.25;0.3;0.35;0.45}-{0;2520;16920;31920;52920;85920;181920},0),2)</f>
        <v>0</v>
      </c>
      <c r="AF12" s="99">
        <f>IFERROR(VLOOKUP(E:E,'（居民）工资表-1月'!E:AF,28,0)+VLOOKUP(E:E,'（居民）工资表-1月'!E:AG,29,0),0)</f>
        <v>0</v>
      </c>
      <c r="AG12" s="99">
        <f t="shared" si="2"/>
        <v>0</v>
      </c>
      <c r="AH12" s="109">
        <f t="shared" si="3"/>
        <v>4005.8</v>
      </c>
      <c r="AI12" s="110"/>
      <c r="AJ12" s="109">
        <f t="shared" si="4"/>
        <v>4005.8</v>
      </c>
      <c r="AK12" s="111"/>
      <c r="AL12" s="109">
        <f t="shared" si="5"/>
        <v>4005.8</v>
      </c>
      <c r="AM12" s="111"/>
      <c r="AN12" s="111"/>
      <c r="AO12" s="111"/>
      <c r="AP12" s="111"/>
      <c r="AQ12" s="111"/>
      <c r="AR12" s="118" t="str">
        <f t="shared" si="6"/>
        <v>正确</v>
      </c>
      <c r="AS12" s="118" t="str">
        <f t="shared" si="7"/>
        <v>不</v>
      </c>
      <c r="AT12" s="118" t="str">
        <f t="shared" si="8"/>
        <v>重复</v>
      </c>
    </row>
    <row r="13" s="12" customFormat="1" ht="18" customHeight="1" spans="1:48">
      <c r="A13" s="36">
        <v>10</v>
      </c>
      <c r="B13" s="37" t="s">
        <v>196</v>
      </c>
      <c r="C13" s="37" t="s">
        <v>126</v>
      </c>
      <c r="D13" s="37" t="s">
        <v>197</v>
      </c>
      <c r="E13" s="383" t="s">
        <v>127</v>
      </c>
      <c r="F13" s="38" t="s">
        <v>198</v>
      </c>
      <c r="G13" s="41">
        <v>18356553626</v>
      </c>
      <c r="H13" s="40"/>
      <c r="I13" s="40"/>
      <c r="J13" s="70"/>
      <c r="K13" s="40"/>
      <c r="L13" s="73">
        <v>5600</v>
      </c>
      <c r="M13" s="72">
        <v>306.56</v>
      </c>
      <c r="N13" s="72">
        <v>112.49</v>
      </c>
      <c r="O13" s="72">
        <v>19.16</v>
      </c>
      <c r="P13" s="72">
        <v>75</v>
      </c>
      <c r="Q13" s="91">
        <f t="shared" ref="Q13:Q25" si="10">ROUND(SUM(M13:P13),2)</f>
        <v>513.21</v>
      </c>
      <c r="R13" s="73">
        <v>0</v>
      </c>
      <c r="S13" s="92">
        <f>L13+IFERROR(VLOOKUP($E:$E,'（居民）工资表-1月'!$E:$S,15,0),0)</f>
        <v>11200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1034.46</v>
      </c>
      <c r="V13" s="125"/>
      <c r="W13" s="125"/>
      <c r="X13" s="125"/>
      <c r="Y13" s="125"/>
      <c r="Z13" s="125"/>
      <c r="AA13" s="125"/>
      <c r="AB13" s="92">
        <f t="shared" ref="AB13:AB25" si="11">ROUND(SUM(V13:AA13),2)</f>
        <v>0</v>
      </c>
      <c r="AC13" s="92">
        <f>R13+IFERROR(VLOOKUP($E:$E,'（居民）工资表-1月'!$E:$AC,25,0),0)</f>
        <v>0</v>
      </c>
      <c r="AD13" s="97">
        <f t="shared" ref="AD13:AD25" si="12">ROUND(S13-T13-U13-AB13-AC13,2)</f>
        <v>165.54</v>
      </c>
      <c r="AE13" s="98">
        <f>ROUND(MAX((AD13)*{0.03;0.1;0.2;0.25;0.3;0.35;0.45}-{0;2520;16920;31920;52920;85920;181920},0),2)</f>
        <v>4.97</v>
      </c>
      <c r="AF13" s="99">
        <f>IFERROR(VLOOKUP(E:E,'（居民）工资表-1月'!E:AF,28,0)+VLOOKUP(E:E,'（居民）工资表-1月'!E:AG,29,0),0)</f>
        <v>2.36</v>
      </c>
      <c r="AG13" s="99">
        <f t="shared" ref="AG13:AG25" si="13">IF((AE13-AF13)&lt;0,0,AE13-AF13)</f>
        <v>2.61</v>
      </c>
      <c r="AH13" s="109">
        <f t="shared" ref="AH13:AH25" si="14">ROUND(IF((L13-Q13-AG13)&lt;0,0,(L13-Q13-AG13)),2)</f>
        <v>5084.18</v>
      </c>
      <c r="AI13" s="110"/>
      <c r="AJ13" s="109">
        <f t="shared" ref="AJ13:AJ25" si="15">AH13+AI13</f>
        <v>5084.18</v>
      </c>
      <c r="AK13" s="111"/>
      <c r="AL13" s="109">
        <f t="shared" ref="AL13:AL25" si="16">AJ13+AG13+AK13</f>
        <v>5086.79</v>
      </c>
      <c r="AM13" s="111"/>
      <c r="AN13" s="111"/>
      <c r="AO13" s="111"/>
      <c r="AP13" s="111"/>
      <c r="AQ13" s="111"/>
      <c r="AR13" s="118" t="str">
        <f t="shared" ref="AR13:AR25" si="17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8" t="str">
        <f t="shared" ref="AS13:AS25" si="18">IF(SUMPRODUCT(N(E$1:E$8=E13))&gt;1,"重复","不")</f>
        <v>不</v>
      </c>
      <c r="AT13" s="118" t="str">
        <f t="shared" ref="AT13:AT25" si="19">IF(SUMPRODUCT(N(AO$1:AO$8=AO13))&gt;1,"重复","不")</f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196</v>
      </c>
      <c r="C14" s="37" t="s">
        <v>121</v>
      </c>
      <c r="D14" s="37" t="s">
        <v>197</v>
      </c>
      <c r="E14" s="383" t="s">
        <v>122</v>
      </c>
      <c r="F14" s="38" t="s">
        <v>198</v>
      </c>
      <c r="G14" s="41">
        <v>18326897140</v>
      </c>
      <c r="H14" s="40"/>
      <c r="I14" s="40"/>
      <c r="J14" s="70"/>
      <c r="K14" s="40"/>
      <c r="L14" s="73">
        <v>4400</v>
      </c>
      <c r="M14" s="72">
        <v>306.56</v>
      </c>
      <c r="N14" s="72">
        <v>82.64</v>
      </c>
      <c r="O14" s="72">
        <v>19.16</v>
      </c>
      <c r="P14" s="72">
        <v>346</v>
      </c>
      <c r="Q14" s="91">
        <f t="shared" si="10"/>
        <v>754.36</v>
      </c>
      <c r="R14" s="73">
        <v>0</v>
      </c>
      <c r="S14" s="92">
        <f>L14+IFERROR(VLOOKUP($E:$E,'（居民）工资表-1月'!$E:$S,15,0),0)</f>
        <v>8800</v>
      </c>
      <c r="T14" s="93">
        <f>5000+IFERROR(VLOOKUP($E:$E,'（居民）工资表-1月'!$E:$T,16,0),0)</f>
        <v>10000</v>
      </c>
      <c r="U14" s="93">
        <f>Q14+IFERROR(VLOOKUP($E:$E,'（居民）工资表-1月'!$E:$U,17,0),0)</f>
        <v>1289.93</v>
      </c>
      <c r="V14" s="125"/>
      <c r="W14" s="125"/>
      <c r="X14" s="125"/>
      <c r="Y14" s="125"/>
      <c r="Z14" s="125"/>
      <c r="AA14" s="125"/>
      <c r="AB14" s="92">
        <f t="shared" si="11"/>
        <v>0</v>
      </c>
      <c r="AC14" s="92">
        <f>R14+IFERROR(VLOOKUP($E:$E,'（居民）工资表-1月'!$E:$AC,25,0),0)</f>
        <v>0</v>
      </c>
      <c r="AD14" s="97">
        <f t="shared" si="12"/>
        <v>-2489.93</v>
      </c>
      <c r="AE14" s="98">
        <f>ROUND(MAX((AD14)*{0.03;0.1;0.2;0.25;0.3;0.35;0.45}-{0;2520;16920;31920;52920;85920;181920},0),2)</f>
        <v>0</v>
      </c>
      <c r="AF14" s="99">
        <f>IFERROR(VLOOKUP(E:E,'（居民）工资表-1月'!E:AF,28,0)+VLOOKUP(E:E,'（居民）工资表-1月'!E:AG,29,0),0)</f>
        <v>0</v>
      </c>
      <c r="AG14" s="99">
        <f t="shared" si="13"/>
        <v>0</v>
      </c>
      <c r="AH14" s="109">
        <f t="shared" si="14"/>
        <v>3645.64</v>
      </c>
      <c r="AI14" s="110"/>
      <c r="AJ14" s="109">
        <f t="shared" si="15"/>
        <v>3645.64</v>
      </c>
      <c r="AK14" s="111"/>
      <c r="AL14" s="109">
        <f t="shared" si="16"/>
        <v>3645.64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196</v>
      </c>
      <c r="C15" s="37" t="s">
        <v>119</v>
      </c>
      <c r="D15" s="37" t="s">
        <v>197</v>
      </c>
      <c r="E15" s="383" t="s">
        <v>120</v>
      </c>
      <c r="F15" s="38" t="s">
        <v>198</v>
      </c>
      <c r="G15" s="41">
        <v>17201857014</v>
      </c>
      <c r="H15" s="40"/>
      <c r="I15" s="40"/>
      <c r="J15" s="70"/>
      <c r="K15" s="40"/>
      <c r="L15" s="73">
        <v>4400</v>
      </c>
      <c r="M15" s="72">
        <v>306.56</v>
      </c>
      <c r="N15" s="72">
        <v>82.64</v>
      </c>
      <c r="O15" s="72">
        <v>19.16</v>
      </c>
      <c r="P15" s="72">
        <v>346</v>
      </c>
      <c r="Q15" s="91">
        <f t="shared" si="10"/>
        <v>754.36</v>
      </c>
      <c r="R15" s="73">
        <v>0</v>
      </c>
      <c r="S15" s="92">
        <f>L15+IFERROR(VLOOKUP($E:$E,'（居民）工资表-1月'!$E:$S,15,0),0)</f>
        <v>8800</v>
      </c>
      <c r="T15" s="93">
        <f>5000+IFERROR(VLOOKUP($E:$E,'（居民）工资表-1月'!$E:$T,16,0),0)</f>
        <v>10000</v>
      </c>
      <c r="U15" s="93">
        <f>Q15+IFERROR(VLOOKUP($E:$E,'（居民）工资表-1月'!$E:$U,17,0),0)</f>
        <v>1289.93</v>
      </c>
      <c r="V15" s="125"/>
      <c r="W15" s="125"/>
      <c r="X15" s="125"/>
      <c r="Y15" s="125"/>
      <c r="Z15" s="125"/>
      <c r="AA15" s="125"/>
      <c r="AB15" s="92">
        <f t="shared" si="11"/>
        <v>0</v>
      </c>
      <c r="AC15" s="92">
        <f>R15+IFERROR(VLOOKUP($E:$E,'（居民）工资表-1月'!$E:$AC,25,0),0)</f>
        <v>0</v>
      </c>
      <c r="AD15" s="97">
        <f t="shared" si="12"/>
        <v>-2489.93</v>
      </c>
      <c r="AE15" s="98">
        <f>ROUND(MAX((AD15)*{0.03;0.1;0.2;0.25;0.3;0.35;0.45}-{0;2520;16920;31920;52920;85920;181920},0),2)</f>
        <v>0</v>
      </c>
      <c r="AF15" s="99">
        <f>IFERROR(VLOOKUP(E:E,'（居民）工资表-1月'!E:AF,28,0)+VLOOKUP(E:E,'（居民）工资表-1月'!E:AG,29,0),0)</f>
        <v>0</v>
      </c>
      <c r="AG15" s="99">
        <f t="shared" si="13"/>
        <v>0</v>
      </c>
      <c r="AH15" s="109">
        <f t="shared" si="14"/>
        <v>3645.64</v>
      </c>
      <c r="AI15" s="110"/>
      <c r="AJ15" s="109">
        <f t="shared" si="15"/>
        <v>3645.64</v>
      </c>
      <c r="AK15" s="111"/>
      <c r="AL15" s="109">
        <f t="shared" si="16"/>
        <v>3645.64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196</v>
      </c>
      <c r="C16" s="37" t="s">
        <v>124</v>
      </c>
      <c r="D16" s="37" t="s">
        <v>197</v>
      </c>
      <c r="E16" s="383" t="s">
        <v>125</v>
      </c>
      <c r="F16" s="38" t="s">
        <v>200</v>
      </c>
      <c r="G16" s="41" t="s">
        <v>209</v>
      </c>
      <c r="H16" s="40"/>
      <c r="I16" s="40"/>
      <c r="J16" s="70"/>
      <c r="K16" s="40"/>
      <c r="L16" s="73">
        <v>5600</v>
      </c>
      <c r="M16" s="72">
        <v>306.56</v>
      </c>
      <c r="N16" s="72">
        <v>112.49</v>
      </c>
      <c r="O16" s="72">
        <v>19.16</v>
      </c>
      <c r="P16" s="72">
        <v>75</v>
      </c>
      <c r="Q16" s="91">
        <f t="shared" si="10"/>
        <v>513.21</v>
      </c>
      <c r="R16" s="73">
        <v>0</v>
      </c>
      <c r="S16" s="92">
        <f>L16+IFERROR(VLOOKUP($E:$E,'（居民）工资表-1月'!$E:$S,15,0),0)</f>
        <v>11200</v>
      </c>
      <c r="T16" s="93">
        <f>5000+IFERROR(VLOOKUP($E:$E,'（居民）工资表-1月'!$E:$T,16,0),0)</f>
        <v>10000</v>
      </c>
      <c r="U16" s="93">
        <f>Q16+IFERROR(VLOOKUP($E:$E,'（居民）工资表-1月'!$E:$U,17,0),0)</f>
        <v>1042.5</v>
      </c>
      <c r="V16" s="125"/>
      <c r="W16" s="125"/>
      <c r="X16" s="125"/>
      <c r="Y16" s="125"/>
      <c r="Z16" s="125"/>
      <c r="AA16" s="125"/>
      <c r="AB16" s="92">
        <f t="shared" si="11"/>
        <v>0</v>
      </c>
      <c r="AC16" s="92">
        <f>R16+IFERROR(VLOOKUP($E:$E,'（居民）工资表-1月'!$E:$AC,25,0),0)</f>
        <v>0</v>
      </c>
      <c r="AD16" s="97">
        <f t="shared" si="12"/>
        <v>157.5</v>
      </c>
      <c r="AE16" s="98">
        <f>ROUND(MAX((AD16)*{0.03;0.1;0.2;0.25;0.3;0.35;0.45}-{0;2520;16920;31920;52920;85920;181920},0),2)</f>
        <v>4.73</v>
      </c>
      <c r="AF16" s="99">
        <f>IFERROR(VLOOKUP(E:E,'（居民）工资表-1月'!E:AF,28,0)+VLOOKUP(E:E,'（居民）工资表-1月'!E:AG,29,0),0)</f>
        <v>2.12</v>
      </c>
      <c r="AG16" s="99">
        <f t="shared" si="13"/>
        <v>2.61</v>
      </c>
      <c r="AH16" s="109">
        <f t="shared" si="14"/>
        <v>5084.18</v>
      </c>
      <c r="AI16" s="110"/>
      <c r="AJ16" s="109">
        <f t="shared" si="15"/>
        <v>5084.18</v>
      </c>
      <c r="AK16" s="111"/>
      <c r="AL16" s="109">
        <f t="shared" si="16"/>
        <v>5086.79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196</v>
      </c>
      <c r="C17" s="37" t="s">
        <v>113</v>
      </c>
      <c r="D17" s="37" t="s">
        <v>197</v>
      </c>
      <c r="E17" s="383" t="s">
        <v>114</v>
      </c>
      <c r="F17" s="38" t="s">
        <v>200</v>
      </c>
      <c r="G17" s="41">
        <v>15855788591</v>
      </c>
      <c r="H17" s="40"/>
      <c r="I17" s="40"/>
      <c r="J17" s="70"/>
      <c r="K17" s="40"/>
      <c r="L17" s="73">
        <v>4860</v>
      </c>
      <c r="M17" s="72">
        <v>306.56</v>
      </c>
      <c r="N17" s="72">
        <v>84.64</v>
      </c>
      <c r="O17" s="72">
        <v>19.16</v>
      </c>
      <c r="P17" s="72">
        <v>75</v>
      </c>
      <c r="Q17" s="91">
        <f t="shared" si="10"/>
        <v>485.36</v>
      </c>
      <c r="R17" s="73">
        <v>0</v>
      </c>
      <c r="S17" s="92">
        <f>L17+IFERROR(VLOOKUP($E:$E,'（居民）工资表-1月'!$E:$S,15,0),0)</f>
        <v>9240</v>
      </c>
      <c r="T17" s="93">
        <f>5000+IFERROR(VLOOKUP($E:$E,'（居民）工资表-1月'!$E:$T,16,0),0)</f>
        <v>10000</v>
      </c>
      <c r="U17" s="93">
        <f>Q17+IFERROR(VLOOKUP($E:$E,'（居民）工资表-1月'!$E:$U,17,0),0)</f>
        <v>1456.08</v>
      </c>
      <c r="V17" s="125"/>
      <c r="W17" s="125"/>
      <c r="X17" s="125"/>
      <c r="Y17" s="125"/>
      <c r="Z17" s="125"/>
      <c r="AA17" s="125"/>
      <c r="AB17" s="92">
        <f t="shared" si="11"/>
        <v>0</v>
      </c>
      <c r="AC17" s="92">
        <f>R17+IFERROR(VLOOKUP($E:$E,'（居民）工资表-1月'!$E:$AC,25,0),0)</f>
        <v>0</v>
      </c>
      <c r="AD17" s="97">
        <f t="shared" si="12"/>
        <v>-2216.08</v>
      </c>
      <c r="AE17" s="98">
        <f>ROUND(MAX((AD17)*{0.03;0.1;0.2;0.25;0.3;0.35;0.45}-{0;2520;16920;31920;52920;85920;181920},0),2)</f>
        <v>0</v>
      </c>
      <c r="AF17" s="99">
        <f>IFERROR(VLOOKUP(E:E,'（居民）工资表-1月'!E:AF,28,0)+VLOOKUP(E:E,'（居民）工资表-1月'!E:AG,29,0),0)</f>
        <v>0</v>
      </c>
      <c r="AG17" s="99">
        <f t="shared" si="13"/>
        <v>0</v>
      </c>
      <c r="AH17" s="109">
        <f t="shared" si="14"/>
        <v>4374.64</v>
      </c>
      <c r="AI17" s="110"/>
      <c r="AJ17" s="109">
        <f t="shared" si="15"/>
        <v>4374.64</v>
      </c>
      <c r="AK17" s="111"/>
      <c r="AL17" s="109">
        <f t="shared" si="16"/>
        <v>4374.64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U17" s="12" t="s">
        <v>146</v>
      </c>
      <c r="AV17" s="12" t="s">
        <v>51</v>
      </c>
    </row>
    <row r="18" s="12" customFormat="1" ht="18" customHeight="1" spans="1:48">
      <c r="A18" s="36">
        <v>15</v>
      </c>
      <c r="B18" s="37" t="s">
        <v>196</v>
      </c>
      <c r="C18" s="37" t="s">
        <v>143</v>
      </c>
      <c r="D18" s="37" t="s">
        <v>197</v>
      </c>
      <c r="E18" s="383" t="s">
        <v>144</v>
      </c>
      <c r="F18" s="38" t="s">
        <v>200</v>
      </c>
      <c r="G18" s="41">
        <v>13873717760</v>
      </c>
      <c r="H18" s="40"/>
      <c r="I18" s="40"/>
      <c r="J18" s="70"/>
      <c r="K18" s="40"/>
      <c r="L18" s="73">
        <v>5260</v>
      </c>
      <c r="M18" s="72">
        <v>286.88</v>
      </c>
      <c r="N18" s="72">
        <v>71.72</v>
      </c>
      <c r="O18" s="72">
        <v>10.76</v>
      </c>
      <c r="P18" s="72">
        <v>175</v>
      </c>
      <c r="Q18" s="91">
        <f t="shared" si="10"/>
        <v>544.36</v>
      </c>
      <c r="R18" s="73">
        <v>0</v>
      </c>
      <c r="S18" s="92">
        <f>L18+IFERROR(VLOOKUP($E:$E,'（居民）工资表-1月'!$E:$S,15,0),0)</f>
        <v>6560</v>
      </c>
      <c r="T18" s="93">
        <f>5000+IFERROR(VLOOKUP($E:$E,'（居民）工资表-1月'!$E:$T,16,0),0)</f>
        <v>10000</v>
      </c>
      <c r="U18" s="93">
        <f>Q18+IFERROR(VLOOKUP($E:$E,'（居民）工资表-1月'!$E:$U,17,0),0)</f>
        <v>1653.08</v>
      </c>
      <c r="V18" s="125"/>
      <c r="W18" s="125"/>
      <c r="X18" s="125"/>
      <c r="Y18" s="125"/>
      <c r="Z18" s="125"/>
      <c r="AA18" s="125"/>
      <c r="AB18" s="92">
        <f t="shared" si="11"/>
        <v>0</v>
      </c>
      <c r="AC18" s="92">
        <f>R18+IFERROR(VLOOKUP($E:$E,'（居民）工资表-1月'!$E:$AC,25,0),0)</f>
        <v>0</v>
      </c>
      <c r="AD18" s="97">
        <f t="shared" si="12"/>
        <v>-5093.08</v>
      </c>
      <c r="AE18" s="98">
        <f>ROUND(MAX((AD18)*{0.03;0.1;0.2;0.25;0.3;0.35;0.45}-{0;2520;16920;31920;52920;85920;181920},0),2)</f>
        <v>0</v>
      </c>
      <c r="AF18" s="99">
        <f>IFERROR(VLOOKUP(E:E,'（居民）工资表-1月'!E:AF,28,0)+VLOOKUP(E:E,'（居民）工资表-1月'!E:AG,29,0),0)</f>
        <v>0</v>
      </c>
      <c r="AG18" s="99">
        <f t="shared" si="13"/>
        <v>0</v>
      </c>
      <c r="AH18" s="109">
        <f t="shared" si="14"/>
        <v>4715.64</v>
      </c>
      <c r="AI18" s="110"/>
      <c r="AJ18" s="109">
        <f t="shared" si="15"/>
        <v>4715.64</v>
      </c>
      <c r="AK18" s="111"/>
      <c r="AL18" s="109">
        <f t="shared" si="16"/>
        <v>4715.64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U18" s="12" t="s">
        <v>204</v>
      </c>
      <c r="AV18" s="12" t="s">
        <v>51</v>
      </c>
    </row>
    <row r="19" s="12" customFormat="1" ht="18" customHeight="1" spans="1:48">
      <c r="A19" s="36">
        <v>16</v>
      </c>
      <c r="B19" s="37" t="s">
        <v>196</v>
      </c>
      <c r="C19" s="37" t="s">
        <v>231</v>
      </c>
      <c r="D19" s="37" t="s">
        <v>197</v>
      </c>
      <c r="E19" s="37"/>
      <c r="F19" s="38" t="s">
        <v>200</v>
      </c>
      <c r="G19" s="41"/>
      <c r="H19" s="40"/>
      <c r="I19" s="40"/>
      <c r="J19" s="70"/>
      <c r="K19" s="40"/>
      <c r="L19" s="73">
        <v>10956.52</v>
      </c>
      <c r="M19" s="72">
        <v>564.48</v>
      </c>
      <c r="N19" s="72">
        <v>185.62</v>
      </c>
      <c r="O19" s="72">
        <v>35.28</v>
      </c>
      <c r="P19" s="72">
        <v>284</v>
      </c>
      <c r="Q19" s="91">
        <f t="shared" si="10"/>
        <v>1069.38</v>
      </c>
      <c r="R19" s="73">
        <v>0</v>
      </c>
      <c r="S19" s="92">
        <f>L19+IFERROR(VLOOKUP($E:$E,'（居民）工资表-1月'!$E:$S,15,0),0)</f>
        <v>10956.52</v>
      </c>
      <c r="T19" s="93">
        <f>5000+IFERROR(VLOOKUP($E:$E,'（居民）工资表-1月'!$E:$T,16,0),0)</f>
        <v>5000</v>
      </c>
      <c r="U19" s="93">
        <f>Q19+IFERROR(VLOOKUP($E:$E,'（居民）工资表-1月'!$E:$U,17,0),0)</f>
        <v>1069.38</v>
      </c>
      <c r="V19" s="125"/>
      <c r="W19" s="125"/>
      <c r="X19" s="125"/>
      <c r="Y19" s="125"/>
      <c r="Z19" s="125"/>
      <c r="AA19" s="125"/>
      <c r="AB19" s="92">
        <f t="shared" si="11"/>
        <v>0</v>
      </c>
      <c r="AC19" s="92">
        <f>R19+IFERROR(VLOOKUP($E:$E,'（居民）工资表-1月'!$E:$AC,25,0),0)</f>
        <v>0</v>
      </c>
      <c r="AD19" s="97">
        <f t="shared" si="12"/>
        <v>4887.14</v>
      </c>
      <c r="AE19" s="98">
        <f>ROUND(MAX((AD19)*{0.03;0.1;0.2;0.25;0.3;0.35;0.45}-{0;2520;16920;31920;52920;85920;181920},0),2)</f>
        <v>146.61</v>
      </c>
      <c r="AF19" s="99">
        <f>IFERROR(VLOOKUP(E:E,'（居民）工资表-1月'!E:AF,28,0)+VLOOKUP(E:E,'（居民）工资表-1月'!E:AG,29,0),0)</f>
        <v>0</v>
      </c>
      <c r="AG19" s="99">
        <f t="shared" si="13"/>
        <v>146.61</v>
      </c>
      <c r="AH19" s="109">
        <f t="shared" si="14"/>
        <v>9740.53</v>
      </c>
      <c r="AI19" s="110"/>
      <c r="AJ19" s="109">
        <f t="shared" si="15"/>
        <v>9740.53</v>
      </c>
      <c r="AK19" s="111"/>
      <c r="AL19" s="109">
        <f t="shared" si="16"/>
        <v>9887.14</v>
      </c>
      <c r="AM19" s="111"/>
      <c r="AN19" s="111"/>
      <c r="AO19" s="111"/>
      <c r="AP19" s="111"/>
      <c r="AQ19" s="111"/>
      <c r="AR19" s="118" t="str">
        <f t="shared" si="17"/>
        <v>未填写身份证号码</v>
      </c>
      <c r="AS19" s="118" t="str">
        <f>IF(SUMPRODUCT(N(E$1:E$8=E19))&gt;1,"重复","不")</f>
        <v>重复</v>
      </c>
      <c r="AT19" s="118" t="str">
        <f>IF(SUMPRODUCT(N(AO$1:AO$8=AO19))&gt;1,"重复","不")</f>
        <v>重复</v>
      </c>
      <c r="AU19" s="12" t="s">
        <v>232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125"/>
      <c r="W20" s="125"/>
      <c r="X20" s="125"/>
      <c r="Y20" s="125"/>
      <c r="Z20" s="125"/>
      <c r="AA20" s="125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211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123495.32</v>
      </c>
      <c r="M21" s="76">
        <f t="shared" ref="M21:AL21" si="20">SUM(M4:M20)</f>
        <v>5504.74</v>
      </c>
      <c r="N21" s="76">
        <f t="shared" si="20"/>
        <v>1550.65</v>
      </c>
      <c r="O21" s="76">
        <f t="shared" si="20"/>
        <v>294.79</v>
      </c>
      <c r="P21" s="76">
        <f t="shared" si="20"/>
        <v>2669.3</v>
      </c>
      <c r="Q21" s="76">
        <f t="shared" si="20"/>
        <v>10019.48</v>
      </c>
      <c r="R21" s="76">
        <f t="shared" si="20"/>
        <v>0</v>
      </c>
      <c r="S21" s="76">
        <f t="shared" si="20"/>
        <v>231594.12</v>
      </c>
      <c r="T21" s="76">
        <f t="shared" si="20"/>
        <v>155000</v>
      </c>
      <c r="U21" s="76">
        <f t="shared" si="20"/>
        <v>19800.67</v>
      </c>
      <c r="V21" s="76">
        <f t="shared" si="20"/>
        <v>2000</v>
      </c>
      <c r="W21" s="76">
        <f t="shared" si="20"/>
        <v>0</v>
      </c>
      <c r="X21" s="76">
        <f t="shared" si="20"/>
        <v>2000</v>
      </c>
      <c r="Y21" s="76">
        <f t="shared" si="20"/>
        <v>0</v>
      </c>
      <c r="Z21" s="76">
        <f t="shared" si="20"/>
        <v>800</v>
      </c>
      <c r="AA21" s="76">
        <f t="shared" si="20"/>
        <v>0</v>
      </c>
      <c r="AB21" s="76">
        <f t="shared" si="20"/>
        <v>4800</v>
      </c>
      <c r="AC21" s="76">
        <f t="shared" si="20"/>
        <v>0</v>
      </c>
      <c r="AD21" s="76">
        <f t="shared" si="20"/>
        <v>51993.45</v>
      </c>
      <c r="AE21" s="76">
        <f t="shared" si="20"/>
        <v>2856.82</v>
      </c>
      <c r="AF21" s="76">
        <f t="shared" si="20"/>
        <v>918.23</v>
      </c>
      <c r="AG21" s="76">
        <f t="shared" si="20"/>
        <v>1938.59</v>
      </c>
      <c r="AH21" s="76">
        <f t="shared" si="20"/>
        <v>111537.25</v>
      </c>
      <c r="AI21" s="76">
        <f t="shared" si="20"/>
        <v>0</v>
      </c>
      <c r="AJ21" s="76">
        <f t="shared" si="20"/>
        <v>111537.25</v>
      </c>
      <c r="AK21" s="76">
        <f t="shared" si="20"/>
        <v>0</v>
      </c>
      <c r="AL21" s="76">
        <f t="shared" si="20"/>
        <v>113475.84</v>
      </c>
      <c r="AM21" s="112"/>
      <c r="AN21" s="112"/>
      <c r="AO21" s="112"/>
      <c r="AP21" s="112"/>
      <c r="AQ21" s="112"/>
      <c r="AR21" s="46"/>
      <c r="AS21" s="46"/>
      <c r="AT21" s="120"/>
    </row>
    <row r="22" spans="38:38">
      <c r="AL22" s="15">
        <v>31841.4778</v>
      </c>
    </row>
    <row r="24" spans="30:30">
      <c r="AD24" s="103"/>
    </row>
    <row r="25" ht="18.75" customHeight="1" spans="2:30">
      <c r="B25" s="48" t="s">
        <v>185</v>
      </c>
      <c r="C25" s="48" t="s">
        <v>212</v>
      </c>
      <c r="D25" s="48" t="s">
        <v>99</v>
      </c>
      <c r="E25" s="48" t="s">
        <v>23</v>
      </c>
      <c r="AD25" s="10"/>
    </row>
    <row r="26" ht="18.75" customHeight="1" spans="2:5">
      <c r="B26" s="49">
        <f>AJ21</f>
        <v>111537.25</v>
      </c>
      <c r="C26" s="49">
        <f>AG21</f>
        <v>1938.59</v>
      </c>
      <c r="D26" s="49">
        <f>AK21</f>
        <v>0</v>
      </c>
      <c r="E26" s="49">
        <f>B26+C26+D26</f>
        <v>113475.84</v>
      </c>
    </row>
    <row r="27" spans="2:5">
      <c r="B27" s="50"/>
      <c r="C27" s="50"/>
      <c r="D27" s="50"/>
      <c r="E27" s="50"/>
    </row>
    <row r="28" s="14" customFormat="1" spans="1:35">
      <c r="A28" s="52" t="s">
        <v>213</v>
      </c>
      <c r="B28" s="53" t="s">
        <v>214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215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216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217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218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219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220</v>
      </c>
    </row>
    <row r="36" spans="2:2">
      <c r="B36" s="60" t="s">
        <v>221</v>
      </c>
    </row>
    <row r="37" spans="2:2">
      <c r="B37" s="60" t="s">
        <v>222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3" priority="2" stopIfTrue="1"/>
  </conditionalFormatting>
  <conditionalFormatting sqref="B28:B32">
    <cfRule type="duplicateValues" dxfId="3" priority="3" stopIfTrue="1"/>
  </conditionalFormatting>
  <conditionalFormatting sqref="B36:B37">
    <cfRule type="duplicateValues" dxfId="3" priority="1" stopIfTrue="1"/>
  </conditionalFormatting>
  <conditionalFormatting sqref="C25:C27">
    <cfRule type="duplicateValues" dxfId="3" priority="4" stopIfTrue="1"/>
    <cfRule type="expression" dxfId="4" priority="5" stopIfTrue="1">
      <formula>AND(COUNTIF($B$21:$B$65457,C25)+COUNTIF($B$1:$B$3,C25)&gt;1,NOT(ISBLANK(C25)))</formula>
    </cfRule>
    <cfRule type="expression" dxfId="4" priority="6" stopIfTrue="1">
      <formula>AND(COUNTIF($B$32:$B$65408,C25)+COUNTIF($B$1:$B$31,C25)&gt;1,NOT(ISBLANK(C25)))</formula>
    </cfRule>
    <cfRule type="expression" dxfId="4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7"/>
  <sheetViews>
    <sheetView workbookViewId="0">
      <pane xSplit="6" ySplit="3" topLeftCell="AE4" activePane="bottomRight" state="frozen"/>
      <selection/>
      <selection pane="topRight"/>
      <selection pane="bottomLeft"/>
      <selection pane="bottomRight" activeCell="V14" sqref="V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196</v>
      </c>
      <c r="C4" s="37" t="s">
        <v>43</v>
      </c>
      <c r="D4" s="37" t="s">
        <v>197</v>
      </c>
      <c r="E4" s="37" t="s">
        <v>44</v>
      </c>
      <c r="F4" s="38" t="s">
        <v>198</v>
      </c>
      <c r="G4" s="41">
        <v>18035163638</v>
      </c>
      <c r="H4" s="40"/>
      <c r="I4" s="40"/>
      <c r="J4" s="70"/>
      <c r="K4" s="40"/>
      <c r="L4" s="73">
        <f>545.44+4295.45</f>
        <v>4840.89</v>
      </c>
      <c r="M4" s="72"/>
      <c r="N4" s="72"/>
      <c r="O4" s="72"/>
      <c r="P4" s="72"/>
      <c r="Q4" s="91">
        <f>ROUND(SUM(M4:P4),2)</f>
        <v>0</v>
      </c>
      <c r="R4" s="73">
        <v>0</v>
      </c>
      <c r="S4" s="92">
        <f>L4+IFERROR(VLOOKUP($E:$E,'（居民）工资表-2月'!$E:$S,15,0),0)</f>
        <v>25960.89</v>
      </c>
      <c r="T4" s="93">
        <f>5000+IFERROR(VLOOKUP($E:$E,'（居民）工资表-2月'!$E:$T,16,0),0)</f>
        <v>15000</v>
      </c>
      <c r="U4" s="93">
        <f>Q4+IFERROR(VLOOKUP($E:$E,'（居民）工资表-2月'!$E:$U,17,0),0)</f>
        <v>1090.88</v>
      </c>
      <c r="V4" s="73">
        <v>3000</v>
      </c>
      <c r="W4" s="73"/>
      <c r="X4" s="73">
        <v>3000</v>
      </c>
      <c r="Y4" s="73"/>
      <c r="Z4" s="73">
        <v>1200</v>
      </c>
      <c r="AA4" s="73"/>
      <c r="AB4" s="92">
        <f>ROUND(SUM(V4:AA4),2)</f>
        <v>7200</v>
      </c>
      <c r="AC4" s="92">
        <f>R4+IFERROR(VLOOKUP($E:$E,'（居民）工资表-2月'!$E:$AC,25,0),0)</f>
        <v>0</v>
      </c>
      <c r="AD4" s="97">
        <f>ROUND(S4-T4-U4-AB4-AC4,2)</f>
        <v>2670.01</v>
      </c>
      <c r="AE4" s="98">
        <f>ROUND(MAX((AD4)*{0.03;0.1;0.2;0.25;0.3;0.35;0.45}-{0;2520;16920;31920;52920;85920;181920},0),2)</f>
        <v>80.1</v>
      </c>
      <c r="AF4" s="99">
        <f>IFERROR(VLOOKUP(E:E,'（居民）工资表-2月'!E:AF,28,0)+VLOOKUP(E:E,'（居民）工资表-2月'!E:AG,29,0),0)</f>
        <v>156.87</v>
      </c>
      <c r="AG4" s="99">
        <f>IF((AE4-AF4)&lt;0,0,AE4-AF4)</f>
        <v>0</v>
      </c>
      <c r="AH4" s="109">
        <f>ROUND(IF((L4-Q4-AG4)&lt;0,0,(L4-Q4-AG4)),2)</f>
        <v>4840.89</v>
      </c>
      <c r="AI4" s="110"/>
      <c r="AJ4" s="109">
        <f>AH4+AI4</f>
        <v>4840.89</v>
      </c>
      <c r="AK4" s="111"/>
      <c r="AL4" s="109">
        <f>AJ4+AG4+AK4</f>
        <v>4840.89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IF(SUMPRODUCT(N(E$1:E$5=E4))&gt;1,"重复","不")</f>
        <v>不</v>
      </c>
      <c r="AT4" s="118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196</v>
      </c>
      <c r="C5" s="37" t="s">
        <v>61</v>
      </c>
      <c r="D5" s="37" t="s">
        <v>197</v>
      </c>
      <c r="E5" s="37" t="s">
        <v>62</v>
      </c>
      <c r="F5" s="38" t="s">
        <v>198</v>
      </c>
      <c r="G5" s="41">
        <v>13944441728</v>
      </c>
      <c r="H5" s="40"/>
      <c r="I5" s="40"/>
      <c r="J5" s="70"/>
      <c r="K5" s="40"/>
      <c r="L5" s="73">
        <v>8000</v>
      </c>
      <c r="M5" s="72">
        <v>296.26</v>
      </c>
      <c r="N5" s="72">
        <v>172.62</v>
      </c>
      <c r="O5" s="72">
        <v>11.11</v>
      </c>
      <c r="P5" s="72">
        <v>82</v>
      </c>
      <c r="Q5" s="91">
        <f>ROUND(SUM(M5:P5),2)</f>
        <v>561.99</v>
      </c>
      <c r="R5" s="73">
        <v>0</v>
      </c>
      <c r="S5" s="92">
        <f>L5+IFERROR(VLOOKUP($E:$E,'（居民）工资表-2月'!$E:$S,15,0),0)</f>
        <v>22000</v>
      </c>
      <c r="T5" s="93">
        <f>5000+IFERROR(VLOOKUP($E:$E,'（居民）工资表-2月'!$E:$T,16,0),0)</f>
        <v>15000</v>
      </c>
      <c r="U5" s="93">
        <f>Q5+IFERROR(VLOOKUP($E:$E,'（居民）工资表-2月'!$E:$U,17,0),0)</f>
        <v>1512.22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R5+IFERROR(VLOOKUP($E:$E,'（居民）工资表-2月'!$E:$AC,25,0),0)</f>
        <v>0</v>
      </c>
      <c r="AD5" s="97">
        <f>ROUND(S5-T5-U5-AB5-AC5,2)</f>
        <v>5487.78</v>
      </c>
      <c r="AE5" s="98">
        <f>ROUND(MAX((AD5)*{0.03;0.1;0.2;0.25;0.3;0.35;0.45}-{0;2520;16920;31920;52920;85920;181920},0),2)</f>
        <v>164.63</v>
      </c>
      <c r="AF5" s="99">
        <f>IFERROR(VLOOKUP(E:E,'（居民）工资表-2月'!E:AF,28,0)+VLOOKUP(E:E,'（居民）工资表-2月'!E:AG,29,0),0)</f>
        <v>91.49</v>
      </c>
      <c r="AG5" s="99">
        <f>IF((AE5-AF5)&lt;0,0,AE5-AF5)</f>
        <v>73.14</v>
      </c>
      <c r="AH5" s="109">
        <f>ROUND(IF((L5-Q5-AG5)&lt;0,0,(L5-Q5-AG5)),2)</f>
        <v>7364.87</v>
      </c>
      <c r="AI5" s="110"/>
      <c r="AJ5" s="109">
        <f>AH5+AI5</f>
        <v>7364.87</v>
      </c>
      <c r="AK5" s="111"/>
      <c r="AL5" s="109">
        <f>AJ5+AG5+AK5</f>
        <v>7438.01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IF(SUMPRODUCT(N(E$1:E$5=E5))&gt;1,"重复","不")</f>
        <v>不</v>
      </c>
      <c r="AT5" s="118" t="str">
        <f>IF(SUMPRODUCT(N(AO$1:AO$5=AO5))&gt;1,"重复","不")</f>
        <v>重复</v>
      </c>
      <c r="AU5" s="12" t="s">
        <v>199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101</v>
      </c>
      <c r="D6" s="37" t="s">
        <v>197</v>
      </c>
      <c r="E6" s="383" t="s">
        <v>102</v>
      </c>
      <c r="F6" s="38" t="s">
        <v>200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113.48</v>
      </c>
      <c r="O6" s="72">
        <v>4.6</v>
      </c>
      <c r="P6" s="72">
        <v>115</v>
      </c>
      <c r="Q6" s="91">
        <f t="shared" ref="Q6:Q12" si="0">ROUND(SUM(M6:P6),2)</f>
        <v>600.12</v>
      </c>
      <c r="R6" s="73">
        <v>0</v>
      </c>
      <c r="S6" s="92">
        <f>L6+IFERROR(VLOOKUP($E:$E,'（居民）工资表-2月'!$E:$S,15,0),0)</f>
        <v>17100</v>
      </c>
      <c r="T6" s="93">
        <f>5000+IFERROR(VLOOKUP($E:$E,'（居民）工资表-2月'!$E:$T,16,0),0)</f>
        <v>15000</v>
      </c>
      <c r="U6" s="93">
        <f>Q6+IFERROR(VLOOKUP($E:$E,'（居民）工资表-2月'!$E:$U,17,0),0)</f>
        <v>1800.36</v>
      </c>
      <c r="V6" s="73"/>
      <c r="W6" s="73"/>
      <c r="X6" s="73"/>
      <c r="Y6" s="73"/>
      <c r="Z6" s="73"/>
      <c r="AA6" s="73"/>
      <c r="AB6" s="92">
        <f t="shared" ref="AB6:AB12" si="1">ROUND(SUM(V6:AA6),2)</f>
        <v>0</v>
      </c>
      <c r="AC6" s="92">
        <f>R6+IFERROR(VLOOKUP($E:$E,'（居民）工资表-2月'!$E:$AC,25,0),0)</f>
        <v>0</v>
      </c>
      <c r="AD6" s="97">
        <f t="shared" ref="AD6:AD12" si="2">ROUND(S6-T6-U6-AB6-AC6,2)</f>
        <v>299.64</v>
      </c>
      <c r="AE6" s="98">
        <f>ROUND(MAX((AD6)*{0.03;0.1;0.2;0.25;0.3;0.35;0.45}-{0;2520;16920;31920;52920;85920;181920},0),2)</f>
        <v>8.99</v>
      </c>
      <c r="AF6" s="99">
        <f>IFERROR(VLOOKUP(E:E,'（居民）工资表-2月'!E:AF,28,0)+VLOOKUP(E:E,'（居民）工资表-2月'!E:AG,29,0),0)</f>
        <v>5.99</v>
      </c>
      <c r="AG6" s="99">
        <f t="shared" ref="AG6:AG12" si="3">IF((AE6-AF6)&lt;0,0,AE6-AF6)</f>
        <v>3</v>
      </c>
      <c r="AH6" s="109">
        <f t="shared" ref="AH6:AH12" si="4">ROUND(IF((L6-Q6-AG6)&lt;0,0,(L6-Q6-AG6)),2)</f>
        <v>5096.88</v>
      </c>
      <c r="AI6" s="110"/>
      <c r="AJ6" s="109">
        <f t="shared" ref="AJ6:AJ12" si="5">AH6+AI6</f>
        <v>5096.88</v>
      </c>
      <c r="AK6" s="111"/>
      <c r="AL6" s="109">
        <f t="shared" ref="AL6:AL12" si="6">AJ6+AG6+AK6</f>
        <v>5099.88</v>
      </c>
      <c r="AM6" s="111"/>
      <c r="AN6" s="111"/>
      <c r="AO6" s="111"/>
      <c r="AP6" s="111"/>
      <c r="AQ6" s="111"/>
      <c r="AR6" s="118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 t="shared" ref="AS6:AS12" si="8">IF(SUMPRODUCT(N(E$1:E$5=E6))&gt;1,"重复","不")</f>
        <v>不</v>
      </c>
      <c r="AT6" s="118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196</v>
      </c>
      <c r="C7" s="37" t="s">
        <v>105</v>
      </c>
      <c r="D7" s="37" t="s">
        <v>197</v>
      </c>
      <c r="E7" s="383" t="s">
        <v>106</v>
      </c>
      <c r="F7" s="38" t="s">
        <v>198</v>
      </c>
      <c r="G7" s="41" t="s">
        <v>201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L7+IFERROR(VLOOKUP($E:$E,'（居民）工资表-2月'!$E:$S,15,0),0)</f>
        <v>90180</v>
      </c>
      <c r="T7" s="93">
        <f>5000+IFERROR(VLOOKUP($E:$E,'（居民）工资表-2月'!$E:$T,16,0),0)</f>
        <v>15000</v>
      </c>
      <c r="U7" s="93">
        <f>Q7+IFERROR(VLOOKUP($E:$E,'（居民）工资表-2月'!$E:$U,17,0),0)</f>
        <v>2597.7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R7+IFERROR(VLOOKUP($E:$E,'（居民）工资表-2月'!$E:$AC,25,0),0)</f>
        <v>0</v>
      </c>
      <c r="AD7" s="97">
        <f t="shared" si="2"/>
        <v>72582.3</v>
      </c>
      <c r="AE7" s="98">
        <f>ROUND(MAX((AD7)*{0.03;0.1;0.2;0.25;0.3;0.35;0.45}-{0;2520;16920;31920;52920;85920;181920},0),2)</f>
        <v>4738.23</v>
      </c>
      <c r="AF7" s="99">
        <f>IFERROR(VLOOKUP(E:E,'（居民）工资表-2月'!E:AF,28,0)+VLOOKUP(E:E,'（居民）工资表-2月'!E:AG,29,0),0)</f>
        <v>2318.82</v>
      </c>
      <c r="AG7" s="99">
        <f t="shared" si="3"/>
        <v>2419.41</v>
      </c>
      <c r="AH7" s="109">
        <f t="shared" si="4"/>
        <v>26774.69</v>
      </c>
      <c r="AI7" s="110"/>
      <c r="AJ7" s="109">
        <f t="shared" si="5"/>
        <v>26774.69</v>
      </c>
      <c r="AK7" s="111"/>
      <c r="AL7" s="109">
        <f t="shared" si="6"/>
        <v>29194.1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196</v>
      </c>
      <c r="C8" s="37" t="s">
        <v>109</v>
      </c>
      <c r="D8" s="37" t="s">
        <v>197</v>
      </c>
      <c r="E8" s="383" t="s">
        <v>110</v>
      </c>
      <c r="F8" s="38" t="s">
        <v>198</v>
      </c>
      <c r="G8" s="41" t="s">
        <v>203</v>
      </c>
      <c r="H8" s="40"/>
      <c r="I8" s="40"/>
      <c r="J8" s="70"/>
      <c r="K8" s="40"/>
      <c r="L8" s="73">
        <v>7000</v>
      </c>
      <c r="M8" s="72">
        <v>306.56</v>
      </c>
      <c r="N8" s="72">
        <v>84.64</v>
      </c>
      <c r="O8" s="72">
        <v>19.16</v>
      </c>
      <c r="P8" s="72">
        <v>75</v>
      </c>
      <c r="Q8" s="91">
        <f t="shared" si="0"/>
        <v>485.36</v>
      </c>
      <c r="R8" s="73">
        <v>0</v>
      </c>
      <c r="S8" s="92">
        <f>L8+IFERROR(VLOOKUP($E:$E,'（居民）工资表-2月'!$E:$S,15,0),0)</f>
        <v>19000</v>
      </c>
      <c r="T8" s="93">
        <f>5000+IFERROR(VLOOKUP($E:$E,'（居民）工资表-2月'!$E:$T,16,0),0)</f>
        <v>15000</v>
      </c>
      <c r="U8" s="93">
        <f>Q8+IFERROR(VLOOKUP($E:$E,'（居民）工资表-2月'!$E:$U,17,0),0)</f>
        <v>1709.34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R8+IFERROR(VLOOKUP($E:$E,'（居民）工资表-2月'!$E:$AC,25,0),0)</f>
        <v>0</v>
      </c>
      <c r="AD8" s="97">
        <f t="shared" si="2"/>
        <v>2290.66</v>
      </c>
      <c r="AE8" s="98">
        <f>ROUND(MAX((AD8)*{0.03;0.1;0.2;0.25;0.3;0.35;0.45}-{0;2520;16920;31920;52920;85920;181920},0),2)</f>
        <v>68.72</v>
      </c>
      <c r="AF8" s="99">
        <f>IFERROR(VLOOKUP(E:E,'（居民）工资表-2月'!E:AF,28,0)+VLOOKUP(E:E,'（居民）工资表-2月'!E:AG,29,0),0)</f>
        <v>23.28</v>
      </c>
      <c r="AG8" s="99">
        <f t="shared" si="3"/>
        <v>45.44</v>
      </c>
      <c r="AH8" s="109">
        <f t="shared" si="4"/>
        <v>6469.2</v>
      </c>
      <c r="AI8" s="110"/>
      <c r="AJ8" s="109">
        <f t="shared" si="5"/>
        <v>6469.2</v>
      </c>
      <c r="AK8" s="111"/>
      <c r="AL8" s="109">
        <f t="shared" si="6"/>
        <v>6514.64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196</v>
      </c>
      <c r="C9" s="37" t="s">
        <v>117</v>
      </c>
      <c r="D9" s="37" t="s">
        <v>197</v>
      </c>
      <c r="E9" s="383" t="s">
        <v>118</v>
      </c>
      <c r="F9" s="38" t="s">
        <v>198</v>
      </c>
      <c r="G9" s="41">
        <v>19356875630</v>
      </c>
      <c r="H9" s="40"/>
      <c r="I9" s="40"/>
      <c r="J9" s="70"/>
      <c r="K9" s="40"/>
      <c r="L9" s="73">
        <v>8000</v>
      </c>
      <c r="M9" s="72">
        <v>306.56</v>
      </c>
      <c r="N9" s="72">
        <v>82.64</v>
      </c>
      <c r="O9" s="72">
        <v>19.16</v>
      </c>
      <c r="P9" s="72">
        <v>172</v>
      </c>
      <c r="Q9" s="91">
        <f t="shared" si="0"/>
        <v>580.36</v>
      </c>
      <c r="R9" s="73">
        <v>0</v>
      </c>
      <c r="S9" s="92">
        <f>L9+IFERROR(VLOOKUP($E:$E,'（居民）工资表-2月'!$E:$S,15,0),0)</f>
        <v>21000</v>
      </c>
      <c r="T9" s="93">
        <f>5000+IFERROR(VLOOKUP($E:$E,'（居民）工资表-2月'!$E:$T,16,0),0)</f>
        <v>15000</v>
      </c>
      <c r="U9" s="93">
        <f>Q9+IFERROR(VLOOKUP($E:$E,'（居民）工资表-2月'!$E:$U,17,0),0)</f>
        <v>2081.34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R9+IFERROR(VLOOKUP($E:$E,'（居民）工资表-2月'!$E:$AC,25,0),0)</f>
        <v>0</v>
      </c>
      <c r="AD9" s="97">
        <f t="shared" si="2"/>
        <v>3918.66</v>
      </c>
      <c r="AE9" s="98">
        <f>ROUND(MAX((AD9)*{0.03;0.1;0.2;0.25;0.3;0.35;0.45}-{0;2520;16920;31920;52920;85920;181920},0),2)</f>
        <v>117.56</v>
      </c>
      <c r="AF9" s="99">
        <f>IFERROR(VLOOKUP(E:E,'（居民）工资表-2月'!E:AF,28,0)+VLOOKUP(E:E,'（居民）工资表-2月'!E:AG,29,0),0)</f>
        <v>44.97</v>
      </c>
      <c r="AG9" s="99">
        <f t="shared" si="3"/>
        <v>72.59</v>
      </c>
      <c r="AH9" s="109">
        <f t="shared" si="4"/>
        <v>7347.05</v>
      </c>
      <c r="AI9" s="110"/>
      <c r="AJ9" s="109">
        <f t="shared" si="5"/>
        <v>7347.05</v>
      </c>
      <c r="AK9" s="111"/>
      <c r="AL9" s="109">
        <f t="shared" si="6"/>
        <v>7419.64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146</v>
      </c>
      <c r="AV9" s="12" t="s">
        <v>51</v>
      </c>
    </row>
    <row r="10" s="12" customFormat="1" ht="18" customHeight="1" spans="1:48">
      <c r="A10" s="36">
        <v>7</v>
      </c>
      <c r="B10" s="37" t="s">
        <v>196</v>
      </c>
      <c r="C10" s="37" t="s">
        <v>131</v>
      </c>
      <c r="D10" s="37" t="s">
        <v>197</v>
      </c>
      <c r="E10" s="383" t="s">
        <v>132</v>
      </c>
      <c r="F10" s="38" t="s">
        <v>198</v>
      </c>
      <c r="G10" s="41">
        <v>13973652684</v>
      </c>
      <c r="H10" s="40"/>
      <c r="I10" s="40"/>
      <c r="J10" s="70"/>
      <c r="K10" s="40"/>
      <c r="L10" s="73">
        <v>6500</v>
      </c>
      <c r="M10" s="72">
        <v>315.6</v>
      </c>
      <c r="N10" s="72">
        <v>98.32</v>
      </c>
      <c r="O10" s="72">
        <v>11.84</v>
      </c>
      <c r="P10" s="72">
        <v>100</v>
      </c>
      <c r="Q10" s="91">
        <f t="shared" si="0"/>
        <v>525.76</v>
      </c>
      <c r="R10" s="73">
        <v>0</v>
      </c>
      <c r="S10" s="92">
        <f>L10+IFERROR(VLOOKUP($E:$E,'（居民）工资表-2月'!$E:$S,15,0),0)</f>
        <v>19500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1555.98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R10+IFERROR(VLOOKUP($E:$E,'（居民）工资表-2月'!$E:$AC,25,0),0)</f>
        <v>0</v>
      </c>
      <c r="AD10" s="97">
        <f t="shared" si="2"/>
        <v>2944.02</v>
      </c>
      <c r="AE10" s="98">
        <f>ROUND(MAX((AD10)*{0.03;0.1;0.2;0.25;0.3;0.35;0.45}-{0;2520;16920;31920;52920;85920;181920},0),2)</f>
        <v>88.32</v>
      </c>
      <c r="AF10" s="99">
        <f>IFERROR(VLOOKUP(E:E,'（居民）工资表-2月'!E:AF,28,0)+VLOOKUP(E:E,'（居民）工资表-2月'!E:AG,29,0),0)</f>
        <v>59.09</v>
      </c>
      <c r="AG10" s="99">
        <f t="shared" si="3"/>
        <v>29.23</v>
      </c>
      <c r="AH10" s="109">
        <f t="shared" si="4"/>
        <v>5945.01</v>
      </c>
      <c r="AI10" s="110"/>
      <c r="AJ10" s="109">
        <f t="shared" si="5"/>
        <v>5945.01</v>
      </c>
      <c r="AK10" s="111"/>
      <c r="AL10" s="109">
        <f t="shared" si="6"/>
        <v>5974.24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204</v>
      </c>
      <c r="AV10" s="12" t="s">
        <v>51</v>
      </c>
    </row>
    <row r="11" s="12" customFormat="1" ht="18" customHeight="1" spans="1:47">
      <c r="A11" s="36">
        <v>8</v>
      </c>
      <c r="B11" s="37" t="s">
        <v>196</v>
      </c>
      <c r="C11" s="37" t="s">
        <v>136</v>
      </c>
      <c r="D11" s="37" t="s">
        <v>197</v>
      </c>
      <c r="E11" s="383" t="s">
        <v>137</v>
      </c>
      <c r="F11" s="38" t="s">
        <v>198</v>
      </c>
      <c r="G11" s="41" t="s">
        <v>205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L11+IFERROR(VLOOKUP($E:$E,'（居民）工资表-2月'!$E:$S,15,0),0)</f>
        <v>16500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1576.47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R11+IFERROR(VLOOKUP($E:$E,'（居民）工资表-2月'!$E:$AC,25,0),0)</f>
        <v>0</v>
      </c>
      <c r="AD11" s="97">
        <f t="shared" si="2"/>
        <v>-76.47</v>
      </c>
      <c r="AE11" s="98">
        <f>ROUND(MAX((AD11)*{0.03;0.1;0.2;0.25;0.3;0.35;0.45}-{0;2520;16920;31920;52920;85920;181920},0),2)</f>
        <v>0</v>
      </c>
      <c r="AF11" s="99">
        <f>IFERROR(VLOOKUP(E:E,'（居民）工资表-2月'!E:AF,28,0)+VLOOKUP(E:E,'（居民）工资表-2月'!E:AG,29,0),0)</f>
        <v>0</v>
      </c>
      <c r="AG11" s="99">
        <f t="shared" si="3"/>
        <v>0</v>
      </c>
      <c r="AH11" s="109">
        <f t="shared" si="4"/>
        <v>4974.51</v>
      </c>
      <c r="AI11" s="110"/>
      <c r="AJ11" s="109">
        <f t="shared" si="5"/>
        <v>4974.51</v>
      </c>
      <c r="AK11" s="111"/>
      <c r="AL11" s="109">
        <f t="shared" si="6"/>
        <v>4974.51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196</v>
      </c>
      <c r="C12" s="37" t="s">
        <v>139</v>
      </c>
      <c r="D12" s="37" t="s">
        <v>197</v>
      </c>
      <c r="E12" s="383" t="s">
        <v>140</v>
      </c>
      <c r="F12" s="38" t="s">
        <v>200</v>
      </c>
      <c r="G12" s="41" t="s">
        <v>207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L12+IFERROR(VLOOKUP($E:$E,'（居民）工资表-2月'!$E:$S,15,0),0)</f>
        <v>13796.4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1779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R12+IFERROR(VLOOKUP($E:$E,'（居民）工资表-2月'!$E:$AC,25,0),0)</f>
        <v>0</v>
      </c>
      <c r="AD12" s="97">
        <f t="shared" si="2"/>
        <v>-2982.6</v>
      </c>
      <c r="AE12" s="98">
        <f>ROUND(MAX((AD12)*{0.03;0.1;0.2;0.25;0.3;0.35;0.45}-{0;2520;16920;31920;52920;85920;181920},0),2)</f>
        <v>0</v>
      </c>
      <c r="AF12" s="99">
        <f>IFERROR(VLOOKUP(E:E,'（居民）工资表-2月'!E:AF,28,0)+VLOOKUP(E:E,'（居民）工资表-2月'!E:AG,29,0),0)</f>
        <v>0</v>
      </c>
      <c r="AG12" s="99">
        <f t="shared" si="3"/>
        <v>0</v>
      </c>
      <c r="AH12" s="109">
        <f t="shared" si="4"/>
        <v>4005.8</v>
      </c>
      <c r="AI12" s="110"/>
      <c r="AJ12" s="109">
        <f t="shared" si="5"/>
        <v>4005.8</v>
      </c>
      <c r="AK12" s="111"/>
      <c r="AL12" s="109">
        <f t="shared" si="6"/>
        <v>4005.8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196</v>
      </c>
      <c r="C13" s="37" t="s">
        <v>126</v>
      </c>
      <c r="D13" s="37" t="s">
        <v>197</v>
      </c>
      <c r="E13" s="383" t="s">
        <v>127</v>
      </c>
      <c r="F13" s="38" t="s">
        <v>198</v>
      </c>
      <c r="G13" s="41">
        <v>18356553626</v>
      </c>
      <c r="H13" s="40"/>
      <c r="I13" s="40"/>
      <c r="J13" s="70"/>
      <c r="K13" s="40"/>
      <c r="L13" s="73">
        <v>5918.18</v>
      </c>
      <c r="M13" s="72">
        <v>306.56</v>
      </c>
      <c r="N13" s="72">
        <v>112.49</v>
      </c>
      <c r="O13" s="72">
        <v>19.16</v>
      </c>
      <c r="P13" s="72">
        <v>75</v>
      </c>
      <c r="Q13" s="91">
        <f t="shared" ref="Q13:Q20" si="10">ROUND(SUM(M13:P13),2)</f>
        <v>513.21</v>
      </c>
      <c r="R13" s="73">
        <v>0</v>
      </c>
      <c r="S13" s="92">
        <f>L13+IFERROR(VLOOKUP($E:$E,'（居民）工资表-2月'!$E:$S,15,0),0)</f>
        <v>17118.18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1547.67</v>
      </c>
      <c r="V13" s="73"/>
      <c r="W13" s="73"/>
      <c r="X13" s="73"/>
      <c r="Y13" s="73"/>
      <c r="Z13" s="73"/>
      <c r="AA13" s="73"/>
      <c r="AB13" s="92">
        <f t="shared" ref="AB13:AB20" si="11">ROUND(SUM(V13:AA13),2)</f>
        <v>0</v>
      </c>
      <c r="AC13" s="92">
        <f>R13+IFERROR(VLOOKUP($E:$E,'（居民）工资表-2月'!$E:$AC,25,0),0)</f>
        <v>0</v>
      </c>
      <c r="AD13" s="97">
        <f t="shared" ref="AD13:AD20" si="12">ROUND(S13-T13-U13-AB13-AC13,2)</f>
        <v>570.51</v>
      </c>
      <c r="AE13" s="98">
        <f>ROUND(MAX((AD13)*{0.03;0.1;0.2;0.25;0.3;0.35;0.45}-{0;2520;16920;31920;52920;85920;181920},0),2)</f>
        <v>17.12</v>
      </c>
      <c r="AF13" s="99">
        <f>IFERROR(VLOOKUP(E:E,'（居民）工资表-2月'!E:AF,28,0)+VLOOKUP(E:E,'（居民）工资表-2月'!E:AG,29,0),0)</f>
        <v>4.97</v>
      </c>
      <c r="AG13" s="99">
        <f t="shared" ref="AG13:AG20" si="13">IF((AE13-AF13)&lt;0,0,AE13-AF13)</f>
        <v>12.15</v>
      </c>
      <c r="AH13" s="109">
        <f t="shared" ref="AH13:AH20" si="14">ROUND(IF((L13-Q13-AG13)&lt;0,0,(L13-Q13-AG13)),2)</f>
        <v>5392.82</v>
      </c>
      <c r="AI13" s="110"/>
      <c r="AJ13" s="109">
        <f t="shared" ref="AJ13:AJ20" si="15">AH13+AI13</f>
        <v>5392.82</v>
      </c>
      <c r="AK13" s="111"/>
      <c r="AL13" s="109">
        <f t="shared" ref="AL13:AL20" si="16">AJ13+AG13+AK13</f>
        <v>5404.97</v>
      </c>
      <c r="AM13" s="111"/>
      <c r="AN13" s="111"/>
      <c r="AO13" s="111"/>
      <c r="AP13" s="111"/>
      <c r="AQ13" s="111"/>
      <c r="AR13" s="118" t="str">
        <f t="shared" ref="AR13:AR20" si="17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8" t="str">
        <f t="shared" ref="AS13:AS20" si="18">IF(SUMPRODUCT(N(E$1:E$5=E13))&gt;1,"重复","不")</f>
        <v>不</v>
      </c>
      <c r="AT13" s="118" t="str">
        <f t="shared" ref="AT13:AT20" si="19">IF(SUMPRODUCT(N(AO$1:AO$5=AO13))&gt;1,"重复","不")</f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196</v>
      </c>
      <c r="C14" s="37" t="s">
        <v>121</v>
      </c>
      <c r="D14" s="37" t="s">
        <v>197</v>
      </c>
      <c r="E14" s="383" t="s">
        <v>122</v>
      </c>
      <c r="F14" s="38" t="s">
        <v>198</v>
      </c>
      <c r="G14" s="41">
        <v>18326897140</v>
      </c>
      <c r="H14" s="40"/>
      <c r="I14" s="40"/>
      <c r="J14" s="70"/>
      <c r="K14" s="40"/>
      <c r="L14" s="73">
        <v>4650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10"/>
        <v>580.36</v>
      </c>
      <c r="R14" s="73">
        <v>0</v>
      </c>
      <c r="S14" s="92">
        <f>L14+IFERROR(VLOOKUP($E:$E,'（居民）工资表-2月'!$E:$S,15,0),0)</f>
        <v>13450</v>
      </c>
      <c r="T14" s="93">
        <f>5000+IFERROR(VLOOKUP($E:$E,'（居民）工资表-2月'!$E:$T,16,0),0)</f>
        <v>15000</v>
      </c>
      <c r="U14" s="93">
        <f>Q14+IFERROR(VLOOKUP($E:$E,'（居民）工资表-2月'!$E:$U,17,0),0)</f>
        <v>1870.29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R14+IFERROR(VLOOKUP($E:$E,'（居民）工资表-2月'!$E:$AC,25,0),0)</f>
        <v>0</v>
      </c>
      <c r="AD14" s="97">
        <f t="shared" si="12"/>
        <v>-3420.29</v>
      </c>
      <c r="AE14" s="98">
        <f>ROUND(MAX((AD14)*{0.03;0.1;0.2;0.25;0.3;0.35;0.45}-{0;2520;16920;31920;52920;85920;181920},0),2)</f>
        <v>0</v>
      </c>
      <c r="AF14" s="99">
        <f>IFERROR(VLOOKUP(E:E,'（居民）工资表-2月'!E:AF,28,0)+VLOOKUP(E:E,'（居民）工资表-2月'!E:AG,29,0),0)</f>
        <v>0</v>
      </c>
      <c r="AG14" s="99">
        <f t="shared" si="13"/>
        <v>0</v>
      </c>
      <c r="AH14" s="109">
        <f t="shared" si="14"/>
        <v>4069.64</v>
      </c>
      <c r="AI14" s="110"/>
      <c r="AJ14" s="109">
        <f t="shared" si="15"/>
        <v>4069.64</v>
      </c>
      <c r="AK14" s="111"/>
      <c r="AL14" s="109">
        <f t="shared" si="16"/>
        <v>4069.64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196</v>
      </c>
      <c r="C15" s="37" t="s">
        <v>119</v>
      </c>
      <c r="D15" s="37" t="s">
        <v>197</v>
      </c>
      <c r="E15" s="383" t="s">
        <v>120</v>
      </c>
      <c r="F15" s="38" t="s">
        <v>198</v>
      </c>
      <c r="G15" s="41">
        <v>17201857014</v>
      </c>
      <c r="H15" s="40"/>
      <c r="I15" s="40"/>
      <c r="J15" s="70"/>
      <c r="K15" s="40"/>
      <c r="L15" s="73">
        <v>4750</v>
      </c>
      <c r="M15" s="72">
        <v>306.56</v>
      </c>
      <c r="N15" s="72">
        <v>82.64</v>
      </c>
      <c r="O15" s="72">
        <v>19.16</v>
      </c>
      <c r="P15" s="72">
        <v>172</v>
      </c>
      <c r="Q15" s="91">
        <f t="shared" si="10"/>
        <v>580.36</v>
      </c>
      <c r="R15" s="73">
        <v>0</v>
      </c>
      <c r="S15" s="92">
        <f>L15+IFERROR(VLOOKUP($E:$E,'（居民）工资表-2月'!$E:$S,15,0),0)</f>
        <v>13550</v>
      </c>
      <c r="T15" s="93">
        <f>5000+IFERROR(VLOOKUP($E:$E,'（居民）工资表-2月'!$E:$T,16,0),0)</f>
        <v>15000</v>
      </c>
      <c r="U15" s="93">
        <f>Q15+IFERROR(VLOOKUP($E:$E,'（居民）工资表-2月'!$E:$U,17,0),0)</f>
        <v>1870.29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R15+IFERROR(VLOOKUP($E:$E,'（居民）工资表-2月'!$E:$AC,25,0),0)</f>
        <v>0</v>
      </c>
      <c r="AD15" s="97">
        <f t="shared" si="12"/>
        <v>-3320.29</v>
      </c>
      <c r="AE15" s="98">
        <f>ROUND(MAX((AD15)*{0.03;0.1;0.2;0.25;0.3;0.35;0.45}-{0;2520;16920;31920;52920;85920;181920},0),2)</f>
        <v>0</v>
      </c>
      <c r="AF15" s="99">
        <f>IFERROR(VLOOKUP(E:E,'（居民）工资表-2月'!E:AF,28,0)+VLOOKUP(E:E,'（居民）工资表-2月'!E:AG,29,0),0)</f>
        <v>0</v>
      </c>
      <c r="AG15" s="99">
        <f t="shared" si="13"/>
        <v>0</v>
      </c>
      <c r="AH15" s="109">
        <f t="shared" si="14"/>
        <v>4169.64</v>
      </c>
      <c r="AI15" s="110"/>
      <c r="AJ15" s="109">
        <f t="shared" si="15"/>
        <v>4169.64</v>
      </c>
      <c r="AK15" s="111"/>
      <c r="AL15" s="109">
        <f t="shared" si="16"/>
        <v>4169.64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196</v>
      </c>
      <c r="C16" s="37" t="s">
        <v>124</v>
      </c>
      <c r="D16" s="37" t="s">
        <v>197</v>
      </c>
      <c r="E16" s="383" t="s">
        <v>125</v>
      </c>
      <c r="F16" s="38" t="s">
        <v>200</v>
      </c>
      <c r="G16" s="41" t="s">
        <v>209</v>
      </c>
      <c r="H16" s="40"/>
      <c r="I16" s="40"/>
      <c r="J16" s="70"/>
      <c r="K16" s="40"/>
      <c r="L16" s="73">
        <v>6109.09</v>
      </c>
      <c r="M16" s="72">
        <v>306.56</v>
      </c>
      <c r="N16" s="72">
        <v>112.49</v>
      </c>
      <c r="O16" s="72">
        <v>19.16</v>
      </c>
      <c r="P16" s="72">
        <v>75</v>
      </c>
      <c r="Q16" s="91">
        <f t="shared" si="10"/>
        <v>513.21</v>
      </c>
      <c r="R16" s="73">
        <v>0</v>
      </c>
      <c r="S16" s="92">
        <f>L16+IFERROR(VLOOKUP($E:$E,'（居民）工资表-2月'!$E:$S,15,0),0)</f>
        <v>17309.09</v>
      </c>
      <c r="T16" s="93">
        <f>5000+IFERROR(VLOOKUP($E:$E,'（居民）工资表-2月'!$E:$T,16,0),0)</f>
        <v>15000</v>
      </c>
      <c r="U16" s="93">
        <f>Q16+IFERROR(VLOOKUP($E:$E,'（居民）工资表-2月'!$E:$U,17,0),0)</f>
        <v>1555.71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R16+IFERROR(VLOOKUP($E:$E,'（居民）工资表-2月'!$E:$AC,25,0),0)</f>
        <v>0</v>
      </c>
      <c r="AD16" s="97">
        <f t="shared" si="12"/>
        <v>753.38</v>
      </c>
      <c r="AE16" s="98">
        <f>ROUND(MAX((AD16)*{0.03;0.1;0.2;0.25;0.3;0.35;0.45}-{0;2520;16920;31920;52920;85920;181920},0),2)</f>
        <v>22.6</v>
      </c>
      <c r="AF16" s="99">
        <f>IFERROR(VLOOKUP(E:E,'（居民）工资表-2月'!E:AF,28,0)+VLOOKUP(E:E,'（居民）工资表-2月'!E:AG,29,0),0)</f>
        <v>4.73</v>
      </c>
      <c r="AG16" s="99">
        <f t="shared" si="13"/>
        <v>17.87</v>
      </c>
      <c r="AH16" s="109">
        <f t="shared" si="14"/>
        <v>5578.01</v>
      </c>
      <c r="AI16" s="110"/>
      <c r="AJ16" s="109">
        <f t="shared" si="15"/>
        <v>5578.01</v>
      </c>
      <c r="AK16" s="111"/>
      <c r="AL16" s="109">
        <f t="shared" si="16"/>
        <v>5595.88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196</v>
      </c>
      <c r="C17" s="37" t="s">
        <v>113</v>
      </c>
      <c r="D17" s="37" t="s">
        <v>197</v>
      </c>
      <c r="E17" s="383" t="s">
        <v>114</v>
      </c>
      <c r="F17" s="38" t="s">
        <v>200</v>
      </c>
      <c r="G17" s="41">
        <v>15855788591</v>
      </c>
      <c r="H17" s="40"/>
      <c r="I17" s="40"/>
      <c r="J17" s="70"/>
      <c r="K17" s="40"/>
      <c r="L17" s="73">
        <v>4092</v>
      </c>
      <c r="M17" s="72">
        <v>306.56</v>
      </c>
      <c r="N17" s="72">
        <v>84.64</v>
      </c>
      <c r="O17" s="72">
        <v>19.16</v>
      </c>
      <c r="P17" s="72">
        <v>75</v>
      </c>
      <c r="Q17" s="91">
        <f t="shared" si="10"/>
        <v>485.36</v>
      </c>
      <c r="R17" s="73">
        <v>0</v>
      </c>
      <c r="S17" s="92">
        <f>L17+IFERROR(VLOOKUP($E:$E,'（居民）工资表-2月'!$E:$S,15,0),0)</f>
        <v>13332</v>
      </c>
      <c r="T17" s="93">
        <f>5000+IFERROR(VLOOKUP($E:$E,'（居民）工资表-2月'!$E:$T,16,0),0)</f>
        <v>15000</v>
      </c>
      <c r="U17" s="93">
        <f>Q17+IFERROR(VLOOKUP($E:$E,'（居民）工资表-2月'!$E:$U,17,0),0)</f>
        <v>1941.44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R17+IFERROR(VLOOKUP($E:$E,'（居民）工资表-2月'!$E:$AC,25,0),0)</f>
        <v>0</v>
      </c>
      <c r="AD17" s="97">
        <f t="shared" si="12"/>
        <v>-3609.44</v>
      </c>
      <c r="AE17" s="98">
        <f>ROUND(MAX((AD17)*{0.03;0.1;0.2;0.25;0.3;0.35;0.45}-{0;2520;16920;31920;52920;85920;181920},0),2)</f>
        <v>0</v>
      </c>
      <c r="AF17" s="99">
        <f>IFERROR(VLOOKUP(E:E,'（居民）工资表-2月'!E:AF,28,0)+VLOOKUP(E:E,'（居民）工资表-2月'!E:AG,29,0),0)</f>
        <v>0</v>
      </c>
      <c r="AG17" s="99">
        <f t="shared" si="13"/>
        <v>0</v>
      </c>
      <c r="AH17" s="109">
        <f t="shared" si="14"/>
        <v>3606.64</v>
      </c>
      <c r="AI17" s="110"/>
      <c r="AJ17" s="109">
        <f t="shared" si="15"/>
        <v>3606.64</v>
      </c>
      <c r="AK17" s="111"/>
      <c r="AL17" s="109">
        <f t="shared" si="16"/>
        <v>3606.64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U17" s="12" t="s">
        <v>146</v>
      </c>
      <c r="AV17" s="12" t="s">
        <v>51</v>
      </c>
    </row>
    <row r="18" s="12" customFormat="1" ht="18" customHeight="1" spans="1:48">
      <c r="A18" s="36">
        <v>15</v>
      </c>
      <c r="B18" s="37" t="s">
        <v>196</v>
      </c>
      <c r="C18" s="37" t="s">
        <v>143</v>
      </c>
      <c r="D18" s="37" t="s">
        <v>197</v>
      </c>
      <c r="E18" s="383" t="s">
        <v>144</v>
      </c>
      <c r="F18" s="38" t="s">
        <v>200</v>
      </c>
      <c r="G18" s="41">
        <v>13873717760</v>
      </c>
      <c r="H18" s="40"/>
      <c r="I18" s="40"/>
      <c r="J18" s="70"/>
      <c r="K18" s="40"/>
      <c r="L18" s="73">
        <v>5260</v>
      </c>
      <c r="M18" s="72">
        <v>401.76</v>
      </c>
      <c r="N18" s="72">
        <v>203.44</v>
      </c>
      <c r="O18" s="72">
        <v>15.07</v>
      </c>
      <c r="P18" s="72">
        <v>175</v>
      </c>
      <c r="Q18" s="91">
        <f t="shared" si="10"/>
        <v>795.27</v>
      </c>
      <c r="R18" s="73">
        <v>0</v>
      </c>
      <c r="S18" s="92">
        <f>L18+IFERROR(VLOOKUP($E:$E,'（居民）工资表-2月'!$E:$S,15,0),0)</f>
        <v>11820</v>
      </c>
      <c r="T18" s="93">
        <f>5000+IFERROR(VLOOKUP($E:$E,'（居民）工资表-2月'!$E:$T,16,0),0)</f>
        <v>15000</v>
      </c>
      <c r="U18" s="93">
        <f>Q18+IFERROR(VLOOKUP($E:$E,'（居民）工资表-2月'!$E:$U,17,0),0)</f>
        <v>2448.35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R18+IFERROR(VLOOKUP($E:$E,'（居民）工资表-2月'!$E:$AC,25,0),0)</f>
        <v>0</v>
      </c>
      <c r="AD18" s="97">
        <f t="shared" si="12"/>
        <v>-5628.35</v>
      </c>
      <c r="AE18" s="98">
        <f>ROUND(MAX((AD18)*{0.03;0.1;0.2;0.25;0.3;0.35;0.45}-{0;2520;16920;31920;52920;85920;181920},0),2)</f>
        <v>0</v>
      </c>
      <c r="AF18" s="99">
        <f>IFERROR(VLOOKUP(E:E,'（居民）工资表-2月'!E:AF,28,0)+VLOOKUP(E:E,'（居民）工资表-2月'!E:AG,29,0),0)</f>
        <v>0</v>
      </c>
      <c r="AG18" s="99">
        <f t="shared" si="13"/>
        <v>0</v>
      </c>
      <c r="AH18" s="109">
        <f t="shared" si="14"/>
        <v>4464.73</v>
      </c>
      <c r="AI18" s="110"/>
      <c r="AJ18" s="109">
        <f t="shared" si="15"/>
        <v>4464.73</v>
      </c>
      <c r="AK18" s="111"/>
      <c r="AL18" s="109">
        <f t="shared" si="16"/>
        <v>4464.73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U18" s="12" t="s">
        <v>204</v>
      </c>
      <c r="AV18" s="12" t="s">
        <v>51</v>
      </c>
    </row>
    <row r="19" s="12" customFormat="1" ht="18" customHeight="1" spans="1:47">
      <c r="A19" s="36">
        <v>16</v>
      </c>
      <c r="B19" s="37" t="s">
        <v>196</v>
      </c>
      <c r="C19" s="37" t="s">
        <v>231</v>
      </c>
      <c r="D19" s="37" t="s">
        <v>197</v>
      </c>
      <c r="E19" s="383" t="s">
        <v>233</v>
      </c>
      <c r="F19" s="38" t="s">
        <v>200</v>
      </c>
      <c r="G19" s="41">
        <v>13979183143</v>
      </c>
      <c r="H19" s="40"/>
      <c r="I19" s="40"/>
      <c r="J19" s="70"/>
      <c r="K19" s="40"/>
      <c r="L19" s="73">
        <v>9545.45</v>
      </c>
      <c r="M19" s="72">
        <v>282.24</v>
      </c>
      <c r="N19" s="72">
        <v>92.81</v>
      </c>
      <c r="O19" s="72">
        <v>17.64</v>
      </c>
      <c r="P19" s="72">
        <v>142</v>
      </c>
      <c r="Q19" s="91">
        <f t="shared" si="10"/>
        <v>534.69</v>
      </c>
      <c r="R19" s="73">
        <v>0</v>
      </c>
      <c r="S19" s="92">
        <f>L19+IFERROR(VLOOKUP($E:$E,'（居民）工资表-2月'!$E:$S,15,0),0)</f>
        <v>9545.45</v>
      </c>
      <c r="T19" s="93">
        <f>5000+IFERROR(VLOOKUP($E:$E,'（居民）工资表-2月'!$E:$T,16,0),0)</f>
        <v>5000</v>
      </c>
      <c r="U19" s="93">
        <f>Q19+IFERROR(VLOOKUP($E:$E,'（居民）工资表-2月'!$E:$U,17,0),0)</f>
        <v>534.69</v>
      </c>
      <c r="V19" s="73"/>
      <c r="W19" s="73"/>
      <c r="X19" s="73"/>
      <c r="Y19" s="73"/>
      <c r="Z19" s="73"/>
      <c r="AA19" s="73"/>
      <c r="AB19" s="92">
        <f t="shared" si="11"/>
        <v>0</v>
      </c>
      <c r="AC19" s="92">
        <f>R19+IFERROR(VLOOKUP($E:$E,'（居民）工资表-2月'!$E:$AC,25,0),0)</f>
        <v>0</v>
      </c>
      <c r="AD19" s="97">
        <f t="shared" si="12"/>
        <v>4010.76</v>
      </c>
      <c r="AE19" s="98">
        <f>ROUND(MAX((AD19)*{0.03;0.1;0.2;0.25;0.3;0.35;0.45}-{0;2520;16920;31920;52920;85920;181920},0),2)</f>
        <v>120.32</v>
      </c>
      <c r="AF19" s="99">
        <f>IFERROR(VLOOKUP(E:E,'（居民）工资表-2月'!E:AF,28,0)+VLOOKUP(E:E,'（居民）工资表-2月'!E:AG,29,0),0)</f>
        <v>0</v>
      </c>
      <c r="AG19" s="99">
        <f t="shared" si="13"/>
        <v>120.32</v>
      </c>
      <c r="AH19" s="109">
        <f t="shared" si="14"/>
        <v>8890.44</v>
      </c>
      <c r="AI19" s="110"/>
      <c r="AJ19" s="109">
        <f t="shared" si="15"/>
        <v>8890.44</v>
      </c>
      <c r="AK19" s="111"/>
      <c r="AL19" s="109">
        <f t="shared" si="16"/>
        <v>9010.76</v>
      </c>
      <c r="AM19" s="111"/>
      <c r="AN19" s="111"/>
      <c r="AO19" s="111"/>
      <c r="AP19" s="111"/>
      <c r="AQ19" s="111"/>
      <c r="AR19" s="118" t="str">
        <f t="shared" si="17"/>
        <v>正确</v>
      </c>
      <c r="AS19" s="118" t="str">
        <f t="shared" si="18"/>
        <v>不</v>
      </c>
      <c r="AT19" s="118" t="str">
        <f t="shared" si="19"/>
        <v>重复</v>
      </c>
      <c r="AU19" s="12" t="s">
        <v>232</v>
      </c>
    </row>
    <row r="20" s="12" customFormat="1" ht="18" customHeight="1" spans="1:46">
      <c r="A20" s="36"/>
      <c r="B20" s="37"/>
      <c r="C20" s="121"/>
      <c r="D20" s="37"/>
      <c r="E20" s="122"/>
      <c r="F20" s="38"/>
      <c r="G20" s="39"/>
      <c r="H20" s="123"/>
      <c r="I20" s="123"/>
      <c r="J20" s="124"/>
      <c r="K20" s="123"/>
      <c r="L20" s="71"/>
      <c r="M20" s="71"/>
      <c r="N20" s="71"/>
      <c r="O20" s="71"/>
      <c r="P20" s="71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211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120524.41</v>
      </c>
      <c r="M21" s="76">
        <f>SUM(M4:M20)</f>
        <v>4998.98</v>
      </c>
      <c r="N21" s="76">
        <f>SUM(N4:N20)</f>
        <v>1647.39</v>
      </c>
      <c r="O21" s="76">
        <f>SUM(O4:O20)</f>
        <v>268.77</v>
      </c>
      <c r="P21" s="76">
        <f t="shared" ref="P21:AL21" si="20">SUM(P4:P20)</f>
        <v>1825.3</v>
      </c>
      <c r="Q21" s="76">
        <f t="shared" si="20"/>
        <v>8740.44</v>
      </c>
      <c r="R21" s="76">
        <f t="shared" si="20"/>
        <v>0</v>
      </c>
      <c r="S21" s="76">
        <f t="shared" si="20"/>
        <v>341162.01</v>
      </c>
      <c r="T21" s="76">
        <f t="shared" si="20"/>
        <v>230000</v>
      </c>
      <c r="U21" s="76">
        <f t="shared" si="20"/>
        <v>27471.73</v>
      </c>
      <c r="V21" s="76">
        <f t="shared" si="20"/>
        <v>3000</v>
      </c>
      <c r="W21" s="76">
        <f t="shared" si="20"/>
        <v>0</v>
      </c>
      <c r="X21" s="76">
        <f t="shared" si="20"/>
        <v>3000</v>
      </c>
      <c r="Y21" s="76">
        <f t="shared" si="20"/>
        <v>0</v>
      </c>
      <c r="Z21" s="76">
        <f t="shared" si="20"/>
        <v>1200</v>
      </c>
      <c r="AA21" s="76">
        <f t="shared" si="20"/>
        <v>0</v>
      </c>
      <c r="AB21" s="76">
        <f t="shared" si="20"/>
        <v>7200</v>
      </c>
      <c r="AC21" s="76">
        <f t="shared" si="20"/>
        <v>0</v>
      </c>
      <c r="AD21" s="76">
        <f t="shared" si="20"/>
        <v>76490.28</v>
      </c>
      <c r="AE21" s="76">
        <f t="shared" si="20"/>
        <v>5426.59</v>
      </c>
      <c r="AF21" s="76">
        <f t="shared" si="20"/>
        <v>2710.21</v>
      </c>
      <c r="AG21" s="76">
        <f t="shared" si="20"/>
        <v>2793.15</v>
      </c>
      <c r="AH21" s="76">
        <f t="shared" si="20"/>
        <v>108990.82</v>
      </c>
      <c r="AI21" s="76">
        <f t="shared" si="20"/>
        <v>0</v>
      </c>
      <c r="AJ21" s="76">
        <f t="shared" si="20"/>
        <v>108990.82</v>
      </c>
      <c r="AK21" s="76">
        <f t="shared" si="20"/>
        <v>0</v>
      </c>
      <c r="AL21" s="76">
        <f t="shared" si="20"/>
        <v>111783.97</v>
      </c>
      <c r="AM21" s="112"/>
      <c r="AN21" s="112"/>
      <c r="AO21" s="112"/>
      <c r="AP21" s="112"/>
      <c r="AQ21" s="112"/>
      <c r="AR21" s="46"/>
      <c r="AS21" s="46"/>
      <c r="AT21" s="120"/>
    </row>
    <row r="24" spans="12:30">
      <c r="L24" s="15">
        <v>111783.97</v>
      </c>
      <c r="AD24" s="103"/>
    </row>
    <row r="25" ht="18.75" customHeight="1" spans="2:30">
      <c r="B25" s="48" t="s">
        <v>185</v>
      </c>
      <c r="C25" s="48" t="s">
        <v>212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108990.82</v>
      </c>
      <c r="C26" s="49">
        <f>AG21</f>
        <v>2793.15</v>
      </c>
      <c r="D26" s="49">
        <f>AK21</f>
        <v>0</v>
      </c>
      <c r="E26" s="49">
        <f>B26+C26+D26</f>
        <v>111783.97</v>
      </c>
    </row>
    <row r="27" spans="2:5">
      <c r="B27" s="50"/>
      <c r="C27" s="50"/>
      <c r="D27" s="50"/>
      <c r="E27" s="50">
        <f>社保1!BC32</f>
        <v>35452.72</v>
      </c>
    </row>
    <row r="28" s="14" customFormat="1" spans="1:35">
      <c r="A28" s="52" t="s">
        <v>213</v>
      </c>
      <c r="B28" s="53" t="s">
        <v>214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215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216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217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218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219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220</v>
      </c>
    </row>
    <row r="36" spans="2:2">
      <c r="B36" s="60" t="s">
        <v>221</v>
      </c>
    </row>
    <row r="37" spans="2:2">
      <c r="B37" s="60" t="s">
        <v>222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3" priority="2" stopIfTrue="1"/>
  </conditionalFormatting>
  <conditionalFormatting sqref="B28:B32">
    <cfRule type="duplicateValues" dxfId="3" priority="3" stopIfTrue="1"/>
  </conditionalFormatting>
  <conditionalFormatting sqref="B36:B37">
    <cfRule type="duplicateValues" dxfId="3" priority="1" stopIfTrue="1"/>
  </conditionalFormatting>
  <conditionalFormatting sqref="C25:C27">
    <cfRule type="duplicateValues" dxfId="3" priority="4" stopIfTrue="1"/>
    <cfRule type="expression" dxfId="4" priority="5" stopIfTrue="1">
      <formula>AND(COUNTIF($B$21:$B$65457,C25)+COUNTIF($B$1:$B$3,C25)&gt;1,NOT(ISBLANK(C25)))</formula>
    </cfRule>
    <cfRule type="expression" dxfId="4" priority="6" stopIfTrue="1">
      <formula>AND(COUNTIF($B$32:$B$65408,C25)+COUNTIF($B$1:$B$31,C25)&gt;1,NOT(ISBLANK(C25)))</formula>
    </cfRule>
    <cfRule type="expression" dxfId="4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39">
        <v>13944441728</v>
      </c>
      <c r="H4" s="40"/>
      <c r="I4" s="40"/>
      <c r="J4" s="70"/>
      <c r="K4" s="40"/>
      <c r="L4" s="71">
        <v>8000</v>
      </c>
      <c r="M4" s="72">
        <v>296.26</v>
      </c>
      <c r="N4" s="72">
        <v>76.62</v>
      </c>
      <c r="O4" s="72">
        <v>11.11</v>
      </c>
      <c r="P4" s="72">
        <v>463</v>
      </c>
      <c r="Q4" s="91">
        <f t="shared" ref="Q4:Q22" si="0">ROUND(SUM(M4:P4),2)</f>
        <v>846.99</v>
      </c>
      <c r="R4" s="73">
        <v>0</v>
      </c>
      <c r="S4" s="92">
        <f>L4+IFERROR(VLOOKUP($E:$E,'（居民）工资表-3月'!$E:$S,15,0),0)</f>
        <v>30000</v>
      </c>
      <c r="T4" s="93">
        <f>5000+IFERROR(VLOOKUP($E:$E,'（居民）工资表-3月'!$E:$T,16,0),0)</f>
        <v>20000</v>
      </c>
      <c r="U4" s="93">
        <f>Q4+IFERROR(VLOOKUP($E:$E,'（居民）工资表-3月'!$E:$U,17,0),0)</f>
        <v>2359.21</v>
      </c>
      <c r="V4" s="73"/>
      <c r="W4" s="73"/>
      <c r="X4" s="73"/>
      <c r="Y4" s="73"/>
      <c r="Z4" s="73"/>
      <c r="AA4" s="73"/>
      <c r="AB4" s="92">
        <f t="shared" ref="AB4:AB22" si="1">ROUND(SUM(V4:AA4),2)</f>
        <v>0</v>
      </c>
      <c r="AC4" s="92">
        <f>R4+IFERROR(VLOOKUP($E:$E,'（居民）工资表-3月'!$E:$AC,25,0),0)</f>
        <v>0</v>
      </c>
      <c r="AD4" s="97">
        <f t="shared" ref="AD4:AD22" si="2">ROUND(S4-T4-U4-AB4-AC4,2)</f>
        <v>7640.79</v>
      </c>
      <c r="AE4" s="98">
        <f>ROUND(MAX((AD4)*{0.03;0.1;0.2;0.25;0.3;0.35;0.45}-{0;2520;16920;31920;52920;85920;181920},0),2)</f>
        <v>229.22</v>
      </c>
      <c r="AF4" s="99">
        <f>IFERROR(VLOOKUP(E:E,'（居民）工资表-3月'!E:AF,28,0)+VLOOKUP(E:E,'（居民）工资表-3月'!E:AG,29,0),0)</f>
        <v>164.63</v>
      </c>
      <c r="AG4" s="99">
        <f t="shared" ref="AG4:AG22" si="3">IF((AE4-AF4)&lt;0,0,AE4-AF4)</f>
        <v>64.59</v>
      </c>
      <c r="AH4" s="109">
        <f t="shared" ref="AH4:AH22" si="4">ROUND(IF((L4-Q4-AG4)&lt;0,0,(L4-Q4-AG4)),2)</f>
        <v>7088.42</v>
      </c>
      <c r="AI4" s="110"/>
      <c r="AJ4" s="109">
        <f t="shared" ref="AJ4:AJ22" si="5">AH4+AI4</f>
        <v>7088.42</v>
      </c>
      <c r="AK4" s="111"/>
      <c r="AL4" s="109">
        <f t="shared" ref="AL4:AL22" si="6">AJ4+AG4+AK4</f>
        <v>7153.01</v>
      </c>
      <c r="AM4" s="111"/>
      <c r="AN4" s="111"/>
      <c r="AO4" s="111"/>
      <c r="AP4" s="111"/>
      <c r="AQ4" s="111"/>
      <c r="AR4" s="118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1" si="8">IF(SUMPRODUCT(N(E$1:E$5=E4))&gt;1,"重复","不")</f>
        <v>不</v>
      </c>
      <c r="AT4" s="118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39">
        <v>15360550807</v>
      </c>
      <c r="H5" s="40"/>
      <c r="I5" s="40"/>
      <c r="J5" s="70"/>
      <c r="K5" s="40"/>
      <c r="L5" s="71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 t="shared" si="0"/>
        <v>600.12</v>
      </c>
      <c r="R5" s="73">
        <v>0</v>
      </c>
      <c r="S5" s="92">
        <f>L5+IFERROR(VLOOKUP($E:$E,'（居民）工资表-3月'!$E:$S,15,0),0)</f>
        <v>22800</v>
      </c>
      <c r="T5" s="93">
        <f>5000+IFERROR(VLOOKUP($E:$E,'（居民）工资表-3月'!$E:$T,16,0),0)</f>
        <v>20000</v>
      </c>
      <c r="U5" s="93">
        <f>Q5+IFERROR(VLOOKUP($E:$E,'（居民）工资表-3月'!$E:$U,17,0),0)</f>
        <v>2400.48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R5+IFERROR(VLOOKUP($E:$E,'（居民）工资表-3月'!$E:$AC,25,0),0)</f>
        <v>0</v>
      </c>
      <c r="AD5" s="97">
        <f t="shared" si="2"/>
        <v>399.52</v>
      </c>
      <c r="AE5" s="98">
        <f>ROUND(MAX((AD5)*{0.03;0.1;0.2;0.25;0.3;0.35;0.45}-{0;2520;16920;31920;52920;85920;181920},0),2)</f>
        <v>11.99</v>
      </c>
      <c r="AF5" s="99">
        <f>IFERROR(VLOOKUP(E:E,'（居民）工资表-3月'!E:AF,28,0)+VLOOKUP(E:E,'（居民）工资表-3月'!E:AG,29,0),0)</f>
        <v>8.99</v>
      </c>
      <c r="AG5" s="99">
        <f t="shared" si="3"/>
        <v>3</v>
      </c>
      <c r="AH5" s="109">
        <f t="shared" si="4"/>
        <v>5096.88</v>
      </c>
      <c r="AI5" s="110"/>
      <c r="AJ5" s="109">
        <f t="shared" si="5"/>
        <v>5096.88</v>
      </c>
      <c r="AK5" s="111"/>
      <c r="AL5" s="109">
        <f t="shared" si="6"/>
        <v>5099.88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 t="shared" si="8"/>
        <v>不</v>
      </c>
      <c r="AT5" s="118" t="str">
        <f t="shared" si="9"/>
        <v>重复</v>
      </c>
    </row>
    <row r="6" s="12" customFormat="1" ht="18" customHeight="1" spans="1:46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39" t="s">
        <v>201</v>
      </c>
      <c r="H6" s="40"/>
      <c r="I6" s="40"/>
      <c r="J6" s="70"/>
      <c r="K6" s="40"/>
      <c r="L6" s="71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 t="shared" si="0"/>
        <v>865.9</v>
      </c>
      <c r="R6" s="73">
        <v>0</v>
      </c>
      <c r="S6" s="92">
        <f>L6+IFERROR(VLOOKUP($E:$E,'（居民）工资表-3月'!$E:$S,15,0),0)</f>
        <v>120240</v>
      </c>
      <c r="T6" s="93">
        <f>5000+IFERROR(VLOOKUP($E:$E,'（居民）工资表-3月'!$E:$T,16,0),0)</f>
        <v>20000</v>
      </c>
      <c r="U6" s="93">
        <f>Q6+IFERROR(VLOOKUP($E:$E,'（居民）工资表-3月'!$E:$U,17,0),0)</f>
        <v>3463.6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R6+IFERROR(VLOOKUP($E:$E,'（居民）工资表-3月'!$E:$AC,25,0),0)</f>
        <v>0</v>
      </c>
      <c r="AD6" s="97">
        <f t="shared" si="2"/>
        <v>96776.4</v>
      </c>
      <c r="AE6" s="98">
        <f>ROUND(MAX((AD6)*{0.03;0.1;0.2;0.25;0.3;0.35;0.45}-{0;2520;16920;31920;52920;85920;181920},0),2)</f>
        <v>7157.64</v>
      </c>
      <c r="AF6" s="99">
        <f>IFERROR(VLOOKUP(E:E,'（居民）工资表-3月'!E:AF,28,0)+VLOOKUP(E:E,'（居民）工资表-3月'!E:AG,29,0),0)</f>
        <v>4738.23</v>
      </c>
      <c r="AG6" s="99">
        <f t="shared" si="3"/>
        <v>2419.41</v>
      </c>
      <c r="AH6" s="109">
        <f t="shared" si="4"/>
        <v>26774.69</v>
      </c>
      <c r="AI6" s="110"/>
      <c r="AJ6" s="109">
        <f t="shared" si="5"/>
        <v>26774.69</v>
      </c>
      <c r="AK6" s="111"/>
      <c r="AL6" s="109">
        <f t="shared" si="6"/>
        <v>29194.1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39" t="s">
        <v>203</v>
      </c>
      <c r="H7" s="40"/>
      <c r="I7" s="40"/>
      <c r="J7" s="70"/>
      <c r="K7" s="40"/>
      <c r="L7" s="71">
        <v>7000</v>
      </c>
      <c r="M7" s="72">
        <v>306.56</v>
      </c>
      <c r="N7" s="72">
        <v>84.64</v>
      </c>
      <c r="O7" s="72">
        <v>19.16</v>
      </c>
      <c r="P7" s="72">
        <v>75</v>
      </c>
      <c r="Q7" s="91">
        <f t="shared" si="0"/>
        <v>485.36</v>
      </c>
      <c r="R7" s="73">
        <v>0</v>
      </c>
      <c r="S7" s="92">
        <f>L7+IFERROR(VLOOKUP($E:$E,'（居民）工资表-3月'!$E:$S,15,0),0)</f>
        <v>26000</v>
      </c>
      <c r="T7" s="93">
        <f>5000+IFERROR(VLOOKUP($E:$E,'（居民）工资表-3月'!$E:$T,16,0),0)</f>
        <v>20000</v>
      </c>
      <c r="U7" s="93">
        <f>Q7+IFERROR(VLOOKUP($E:$E,'（居民）工资表-3月'!$E:$U,17,0),0)</f>
        <v>2194.7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R7+IFERROR(VLOOKUP($E:$E,'（居民）工资表-3月'!$E:$AC,25,0),0)</f>
        <v>0</v>
      </c>
      <c r="AD7" s="97">
        <f t="shared" si="2"/>
        <v>3805.3</v>
      </c>
      <c r="AE7" s="98">
        <f>ROUND(MAX((AD7)*{0.03;0.1;0.2;0.25;0.3;0.35;0.45}-{0;2520;16920;31920;52920;85920;181920},0),2)</f>
        <v>114.16</v>
      </c>
      <c r="AF7" s="99">
        <f>IFERROR(VLOOKUP(E:E,'（居民）工资表-3月'!E:AF,28,0)+VLOOKUP(E:E,'（居民）工资表-3月'!E:AG,29,0),0)</f>
        <v>68.72</v>
      </c>
      <c r="AG7" s="99">
        <f t="shared" si="3"/>
        <v>45.44</v>
      </c>
      <c r="AH7" s="109">
        <f t="shared" si="4"/>
        <v>6469.2</v>
      </c>
      <c r="AI7" s="110"/>
      <c r="AJ7" s="109">
        <f t="shared" si="5"/>
        <v>6469.2</v>
      </c>
      <c r="AK7" s="111"/>
      <c r="AL7" s="109">
        <f t="shared" si="6"/>
        <v>6514.64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38" t="s">
        <v>198</v>
      </c>
      <c r="G8" s="39">
        <v>19356875630</v>
      </c>
      <c r="H8" s="40"/>
      <c r="I8" s="40"/>
      <c r="J8" s="70"/>
      <c r="K8" s="40"/>
      <c r="L8" s="71">
        <v>8000</v>
      </c>
      <c r="M8" s="72">
        <v>306.56</v>
      </c>
      <c r="N8" s="72">
        <v>82.64</v>
      </c>
      <c r="O8" s="72">
        <v>19.16</v>
      </c>
      <c r="P8" s="72">
        <v>172</v>
      </c>
      <c r="Q8" s="73">
        <f t="shared" si="0"/>
        <v>580.36</v>
      </c>
      <c r="R8" s="73">
        <v>0</v>
      </c>
      <c r="S8" s="94">
        <f>L8+IFERROR(VLOOKUP($E:$E,'（居民）工资表-3月'!$E:$S,15,0),0)</f>
        <v>29000</v>
      </c>
      <c r="T8" s="95">
        <f>5000+IFERROR(VLOOKUP($E:$E,'（居民）工资表-3月'!$E:$T,16,0),0)</f>
        <v>20000</v>
      </c>
      <c r="U8" s="95">
        <f>Q8+IFERROR(VLOOKUP($E:$E,'（居民）工资表-3月'!$E:$U,17,0),0)</f>
        <v>2661.7</v>
      </c>
      <c r="V8" s="73"/>
      <c r="W8" s="73"/>
      <c r="X8" s="73"/>
      <c r="Y8" s="73"/>
      <c r="Z8" s="73"/>
      <c r="AA8" s="73"/>
      <c r="AB8" s="94">
        <f t="shared" si="1"/>
        <v>0</v>
      </c>
      <c r="AC8" s="94">
        <f>R8+IFERROR(VLOOKUP($E:$E,'（居民）工资表-3月'!$E:$AC,25,0),0)</f>
        <v>0</v>
      </c>
      <c r="AD8" s="100">
        <f t="shared" si="2"/>
        <v>6338.3</v>
      </c>
      <c r="AE8" s="101">
        <f>ROUND(MAX((AD8)*{0.03;0.1;0.2;0.25;0.3;0.35;0.45}-{0;2520;16920;31920;52920;85920;181920},0),2)</f>
        <v>190.15</v>
      </c>
      <c r="AF8" s="102">
        <f>IFERROR(VLOOKUP(E:E,'（居民）工资表-3月'!E:AF,28,0)+VLOOKUP(E:E,'（居民）工资表-3月'!E:AG,29,0),0)</f>
        <v>117.56</v>
      </c>
      <c r="AG8" s="102">
        <f t="shared" si="3"/>
        <v>72.59</v>
      </c>
      <c r="AH8" s="111">
        <f t="shared" si="4"/>
        <v>7347.05</v>
      </c>
      <c r="AI8" s="110"/>
      <c r="AJ8" s="111">
        <f t="shared" si="5"/>
        <v>7347.05</v>
      </c>
      <c r="AK8" s="111"/>
      <c r="AL8" s="111">
        <f t="shared" si="6"/>
        <v>7419.64</v>
      </c>
      <c r="AM8" s="111"/>
      <c r="AN8" s="111"/>
      <c r="AO8" s="111"/>
      <c r="AP8" s="111"/>
      <c r="AQ8" s="111"/>
      <c r="AR8" s="119" t="str">
        <f t="shared" si="7"/>
        <v>正确</v>
      </c>
      <c r="AS8" s="119" t="str">
        <f t="shared" si="8"/>
        <v>不</v>
      </c>
      <c r="AT8" s="119" t="str">
        <f t="shared" si="9"/>
        <v>重复</v>
      </c>
    </row>
    <row r="9" s="12" customFormat="1" ht="18" customHeight="1" spans="1:46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38" t="s">
        <v>198</v>
      </c>
      <c r="G9" s="39">
        <v>13973652684</v>
      </c>
      <c r="H9" s="40"/>
      <c r="I9" s="40"/>
      <c r="J9" s="70"/>
      <c r="K9" s="40"/>
      <c r="L9" s="71">
        <v>6500</v>
      </c>
      <c r="M9" s="72">
        <v>315.6</v>
      </c>
      <c r="N9" s="72">
        <v>114.72</v>
      </c>
      <c r="O9" s="72">
        <v>11.84</v>
      </c>
      <c r="P9" s="72">
        <v>100</v>
      </c>
      <c r="Q9" s="91">
        <f t="shared" si="0"/>
        <v>542.16</v>
      </c>
      <c r="R9" s="73">
        <v>0</v>
      </c>
      <c r="S9" s="92">
        <f>L9+IFERROR(VLOOKUP($E:$E,'（居民）工资表-3月'!$E:$S,15,0),0)</f>
        <v>26000</v>
      </c>
      <c r="T9" s="93">
        <f>5000+IFERROR(VLOOKUP($E:$E,'（居民）工资表-3月'!$E:$T,16,0),0)</f>
        <v>20000</v>
      </c>
      <c r="U9" s="93">
        <f>Q9+IFERROR(VLOOKUP($E:$E,'（居民）工资表-3月'!$E:$U,17,0),0)</f>
        <v>2098.14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R9+IFERROR(VLOOKUP($E:$E,'（居民）工资表-3月'!$E:$AC,25,0),0)</f>
        <v>0</v>
      </c>
      <c r="AD9" s="97">
        <f t="shared" si="2"/>
        <v>3901.86</v>
      </c>
      <c r="AE9" s="98">
        <f>ROUND(MAX((AD9)*{0.03;0.1;0.2;0.25;0.3;0.35;0.45}-{0;2520;16920;31920;52920;85920;181920},0),2)</f>
        <v>117.06</v>
      </c>
      <c r="AF9" s="99">
        <f>IFERROR(VLOOKUP(E:E,'（居民）工资表-3月'!E:AF,28,0)+VLOOKUP(E:E,'（居民）工资表-3月'!E:AG,29,0),0)</f>
        <v>88.32</v>
      </c>
      <c r="AG9" s="99">
        <f t="shared" si="3"/>
        <v>28.74</v>
      </c>
      <c r="AH9" s="109">
        <f t="shared" si="4"/>
        <v>5929.1</v>
      </c>
      <c r="AI9" s="110"/>
      <c r="AJ9" s="109">
        <f t="shared" si="5"/>
        <v>5929.1</v>
      </c>
      <c r="AK9" s="111"/>
      <c r="AL9" s="109">
        <f t="shared" si="6"/>
        <v>5957.84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39" t="s">
        <v>205</v>
      </c>
      <c r="H10" s="40"/>
      <c r="I10" s="40"/>
      <c r="J10" s="70"/>
      <c r="K10" s="40"/>
      <c r="L10" s="71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L10+IFERROR(VLOOKUP($E:$E,'（居民）工资表-3月'!$E:$S,15,0),0)</f>
        <v>22000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2101.96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R10+IFERROR(VLOOKUP($E:$E,'（居民）工资表-3月'!$E:$AC,25,0),0)</f>
        <v>0</v>
      </c>
      <c r="AD10" s="97">
        <f t="shared" si="2"/>
        <v>-101.96</v>
      </c>
      <c r="AE10" s="98">
        <f>ROUND(MAX((AD10)*{0.03;0.1;0.2;0.25;0.3;0.35;0.45}-{0;2520;16920;31920;52920;85920;181920},0),2)</f>
        <v>0</v>
      </c>
      <c r="AF10" s="99">
        <f>IFERROR(VLOOKUP(E:E,'（居民）工资表-3月'!E:AF,28,0)+VLOOKUP(E:E,'（居民）工资表-3月'!E:AG,29,0),0)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39" t="s">
        <v>207</v>
      </c>
      <c r="H11" s="40"/>
      <c r="I11" s="40"/>
      <c r="J11" s="70"/>
      <c r="K11" s="40"/>
      <c r="L11" s="71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L11+IFERROR(VLOOKUP($E:$E,'（居民）工资表-3月'!$E:$S,15,0),0)</f>
        <v>18395.2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2372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R11+IFERROR(VLOOKUP($E:$E,'（居民）工资表-3月'!$E:$AC,25,0),0)</f>
        <v>0</v>
      </c>
      <c r="AD11" s="97">
        <f t="shared" si="2"/>
        <v>-3976.8</v>
      </c>
      <c r="AE11" s="98">
        <f>ROUND(MAX((AD11)*{0.03;0.1;0.2;0.25;0.3;0.35;0.45}-{0;2520;16920;31920;52920;85920;181920},0),2)</f>
        <v>0</v>
      </c>
      <c r="AF11" s="99">
        <f>IFERROR(VLOOKUP(E:E,'（居民）工资表-3月'!E:AF,28,0)+VLOOKUP(E:E,'（居民）工资表-3月'!E:AG,29,0),0)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</row>
    <row r="12" s="12" customFormat="1" ht="18" customHeight="1" spans="1:46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39">
        <v>18356553626</v>
      </c>
      <c r="H12" s="40"/>
      <c r="I12" s="40"/>
      <c r="J12" s="70"/>
      <c r="K12" s="40"/>
      <c r="L12" s="71">
        <v>7000</v>
      </c>
      <c r="M12" s="72">
        <v>306.56</v>
      </c>
      <c r="N12" s="72">
        <v>112.49</v>
      </c>
      <c r="O12" s="72">
        <v>19.16</v>
      </c>
      <c r="P12" s="72">
        <v>140</v>
      </c>
      <c r="Q12" s="91">
        <f t="shared" si="0"/>
        <v>578.21</v>
      </c>
      <c r="R12" s="73">
        <v>0</v>
      </c>
      <c r="S12" s="92">
        <f>L12+IFERROR(VLOOKUP($E:$E,'（居民）工资表-3月'!$E:$S,15,0),0)</f>
        <v>24118.18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2125.88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R12+IFERROR(VLOOKUP($E:$E,'（居民）工资表-3月'!$E:$AC,25,0),0)</f>
        <v>0</v>
      </c>
      <c r="AD12" s="97">
        <f t="shared" si="2"/>
        <v>1992.3</v>
      </c>
      <c r="AE12" s="98">
        <f>ROUND(MAX((AD12)*{0.03;0.1;0.2;0.25;0.3;0.35;0.45}-{0;2520;16920;31920;52920;85920;181920},0),2)</f>
        <v>59.77</v>
      </c>
      <c r="AF12" s="99">
        <f>IFERROR(VLOOKUP(E:E,'（居民）工资表-3月'!E:AF,28,0)+VLOOKUP(E:E,'（居民）工资表-3月'!E:AG,29,0),0)</f>
        <v>17.12</v>
      </c>
      <c r="AG12" s="99">
        <f t="shared" si="3"/>
        <v>42.65</v>
      </c>
      <c r="AH12" s="109">
        <f t="shared" si="4"/>
        <v>6379.14</v>
      </c>
      <c r="AI12" s="110"/>
      <c r="AJ12" s="109">
        <f t="shared" si="5"/>
        <v>6379.14</v>
      </c>
      <c r="AK12" s="111"/>
      <c r="AL12" s="109">
        <f t="shared" si="6"/>
        <v>6421.79</v>
      </c>
      <c r="AM12" s="111"/>
      <c r="AN12" s="111"/>
      <c r="AO12" s="111"/>
      <c r="AP12" s="111"/>
      <c r="AQ12" s="111"/>
      <c r="AR12" s="118"/>
      <c r="AS12" s="118"/>
      <c r="AT12" s="118"/>
    </row>
    <row r="13" s="12" customFormat="1" ht="18" customHeight="1" spans="1:46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39">
        <v>18326897140</v>
      </c>
      <c r="H13" s="40"/>
      <c r="I13" s="40"/>
      <c r="J13" s="70"/>
      <c r="K13" s="40"/>
      <c r="L13" s="71">
        <v>5500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L13+IFERROR(VLOOKUP($E:$E,'（居民）工资表-3月'!$E:$S,15,0),0)</f>
        <v>18950</v>
      </c>
      <c r="T13" s="93">
        <f>5000+IFERROR(VLOOKUP($E:$E,'（居民）工资表-3月'!$E:$T,16,0),0)</f>
        <v>20000</v>
      </c>
      <c r="U13" s="93">
        <f>Q13+IFERROR(VLOOKUP($E:$E,'（居民）工资表-3月'!$E:$U,17,0),0)</f>
        <v>2450.65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R13+IFERROR(VLOOKUP($E:$E,'（居民）工资表-3月'!$E:$AC,25,0),0)</f>
        <v>0</v>
      </c>
      <c r="AD13" s="97">
        <f t="shared" si="2"/>
        <v>-3500.65</v>
      </c>
      <c r="AE13" s="98">
        <f>ROUND(MAX((AD13)*{0.03;0.1;0.2;0.25;0.3;0.35;0.45}-{0;2520;16920;31920;52920;85920;181920},0),2)</f>
        <v>0</v>
      </c>
      <c r="AF13" s="99">
        <f>IFERROR(VLOOKUP(E:E,'（居民）工资表-3月'!E:AF,28,0)+VLOOKUP(E:E,'（居民）工资表-3月'!E:AG,29,0),0)</f>
        <v>0</v>
      </c>
      <c r="AG13" s="99">
        <f t="shared" si="3"/>
        <v>0</v>
      </c>
      <c r="AH13" s="109">
        <f t="shared" si="4"/>
        <v>4919.64</v>
      </c>
      <c r="AI13" s="110"/>
      <c r="AJ13" s="109">
        <f t="shared" si="5"/>
        <v>4919.64</v>
      </c>
      <c r="AK13" s="111"/>
      <c r="AL13" s="109">
        <f t="shared" si="6"/>
        <v>4919.64</v>
      </c>
      <c r="AM13" s="111"/>
      <c r="AN13" s="111"/>
      <c r="AO13" s="111"/>
      <c r="AP13" s="111"/>
      <c r="AQ13" s="111"/>
      <c r="AR13" s="118"/>
      <c r="AS13" s="118"/>
      <c r="AT13" s="118"/>
    </row>
    <row r="14" s="12" customFormat="1" ht="17" customHeight="1" spans="1:46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39">
        <v>17201857014</v>
      </c>
      <c r="H14" s="40"/>
      <c r="I14" s="40"/>
      <c r="J14" s="70"/>
      <c r="K14" s="40"/>
      <c r="L14" s="71">
        <v>5500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L14+IFERROR(VLOOKUP($E:$E,'（居民）工资表-3月'!$E:$S,15,0),0)</f>
        <v>19050</v>
      </c>
      <c r="T14" s="93">
        <f>5000+IFERROR(VLOOKUP($E:$E,'（居民）工资表-3月'!$E:$T,16,0),0)</f>
        <v>20000</v>
      </c>
      <c r="U14" s="93">
        <f>Q14+IFERROR(VLOOKUP($E:$E,'（居民）工资表-3月'!$E:$U,17,0),0)</f>
        <v>2450.65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R14+IFERROR(VLOOKUP($E:$E,'（居民）工资表-3月'!$E:$AC,25,0),0)</f>
        <v>0</v>
      </c>
      <c r="AD14" s="97">
        <f t="shared" si="2"/>
        <v>-3400.65</v>
      </c>
      <c r="AE14" s="98">
        <f>ROUND(MAX((AD14)*{0.03;0.1;0.2;0.25;0.3;0.35;0.45}-{0;2520;16920;31920;52920;85920;181920},0),2)</f>
        <v>0</v>
      </c>
      <c r="AF14" s="99">
        <f>IFERROR(VLOOKUP(E:E,'（居民）工资表-3月'!E:AF,28,0)+VLOOKUP(E:E,'（居民）工资表-3月'!E:AG,29,0),0)</f>
        <v>0</v>
      </c>
      <c r="AG14" s="99">
        <f t="shared" si="3"/>
        <v>0</v>
      </c>
      <c r="AH14" s="109">
        <f t="shared" si="4"/>
        <v>4919.64</v>
      </c>
      <c r="AI14" s="110"/>
      <c r="AJ14" s="109">
        <f t="shared" si="5"/>
        <v>4919.64</v>
      </c>
      <c r="AK14" s="111"/>
      <c r="AL14" s="109">
        <f t="shared" si="6"/>
        <v>4919.64</v>
      </c>
      <c r="AM14" s="111"/>
      <c r="AN14" s="111"/>
      <c r="AO14" s="111"/>
      <c r="AP14" s="111"/>
      <c r="AQ14" s="111"/>
      <c r="AR14" s="118"/>
      <c r="AS14" s="118"/>
      <c r="AT14" s="118"/>
    </row>
    <row r="15" s="12" customFormat="1" ht="17" customHeight="1" spans="1:46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39" t="s">
        <v>209</v>
      </c>
      <c r="H15" s="40"/>
      <c r="I15" s="40"/>
      <c r="J15" s="70"/>
      <c r="K15" s="40"/>
      <c r="L15" s="71">
        <v>7000</v>
      </c>
      <c r="M15" s="72">
        <v>306.56</v>
      </c>
      <c r="N15" s="72">
        <v>112.49</v>
      </c>
      <c r="O15" s="72">
        <v>19.16</v>
      </c>
      <c r="P15" s="72">
        <v>140</v>
      </c>
      <c r="Q15" s="91">
        <f t="shared" si="0"/>
        <v>578.21</v>
      </c>
      <c r="R15" s="73">
        <v>0</v>
      </c>
      <c r="S15" s="92">
        <f>L15+IFERROR(VLOOKUP($E:$E,'（居民）工资表-3月'!$E:$S,15,0),0)</f>
        <v>24309.09</v>
      </c>
      <c r="T15" s="93">
        <f>5000+IFERROR(VLOOKUP($E:$E,'（居民）工资表-3月'!$E:$T,16,0),0)</f>
        <v>20000</v>
      </c>
      <c r="U15" s="93">
        <f>Q15+IFERROR(VLOOKUP($E:$E,'（居民）工资表-3月'!$E:$U,17,0),0)</f>
        <v>2133.92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R15+IFERROR(VLOOKUP($E:$E,'（居民）工资表-3月'!$E:$AC,25,0),0)</f>
        <v>0</v>
      </c>
      <c r="AD15" s="97">
        <f t="shared" si="2"/>
        <v>2175.17</v>
      </c>
      <c r="AE15" s="98">
        <f>ROUND(MAX((AD15)*{0.03;0.1;0.2;0.25;0.3;0.35;0.45}-{0;2520;16920;31920;52920;85920;181920},0),2)</f>
        <v>65.26</v>
      </c>
      <c r="AF15" s="99">
        <f>IFERROR(VLOOKUP(E:E,'（居民）工资表-3月'!E:AF,28,0)+VLOOKUP(E:E,'（居民）工资表-3月'!E:AG,29,0),0)</f>
        <v>22.6</v>
      </c>
      <c r="AG15" s="99">
        <f t="shared" si="3"/>
        <v>42.66</v>
      </c>
      <c r="AH15" s="109">
        <f t="shared" si="4"/>
        <v>6379.13</v>
      </c>
      <c r="AI15" s="110"/>
      <c r="AJ15" s="109">
        <f t="shared" si="5"/>
        <v>6379.13</v>
      </c>
      <c r="AK15" s="111"/>
      <c r="AL15" s="109">
        <f t="shared" si="6"/>
        <v>6421.79</v>
      </c>
      <c r="AM15" s="111"/>
      <c r="AN15" s="111"/>
      <c r="AO15" s="111"/>
      <c r="AP15" s="111"/>
      <c r="AQ15" s="111"/>
      <c r="AR15" s="118"/>
      <c r="AS15" s="118"/>
      <c r="AT15" s="118"/>
    </row>
    <row r="16" s="12" customFormat="1" ht="17" customHeight="1" spans="1:46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39">
        <v>15855788591</v>
      </c>
      <c r="H16" s="40"/>
      <c r="I16" s="40"/>
      <c r="J16" s="70"/>
      <c r="K16" s="40"/>
      <c r="L16" s="71">
        <v>5880</v>
      </c>
      <c r="M16" s="72">
        <v>306.56</v>
      </c>
      <c r="N16" s="72">
        <v>84.64</v>
      </c>
      <c r="O16" s="72">
        <v>19.16</v>
      </c>
      <c r="P16" s="72">
        <v>75</v>
      </c>
      <c r="Q16" s="91">
        <f t="shared" si="0"/>
        <v>485.36</v>
      </c>
      <c r="R16" s="73">
        <v>0</v>
      </c>
      <c r="S16" s="92">
        <f>L16+IFERROR(VLOOKUP($E:$E,'（居民）工资表-3月'!$E:$S,15,0),0)</f>
        <v>19212</v>
      </c>
      <c r="T16" s="93">
        <f>5000+IFERROR(VLOOKUP($E:$E,'（居民）工资表-3月'!$E:$T,16,0),0)</f>
        <v>20000</v>
      </c>
      <c r="U16" s="93">
        <f>Q16+IFERROR(VLOOKUP($E:$E,'（居民）工资表-3月'!$E:$U,17,0),0)</f>
        <v>2426.8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R16+IFERROR(VLOOKUP($E:$E,'（居民）工资表-3月'!$E:$AC,25,0),0)</f>
        <v>0</v>
      </c>
      <c r="AD16" s="97">
        <f t="shared" si="2"/>
        <v>-3214.8</v>
      </c>
      <c r="AE16" s="98">
        <f>ROUND(MAX((AD16)*{0.03;0.1;0.2;0.25;0.3;0.35;0.45}-{0;2520;16920;31920;52920;85920;181920},0),2)</f>
        <v>0</v>
      </c>
      <c r="AF16" s="99">
        <f>IFERROR(VLOOKUP(E:E,'（居民）工资表-3月'!E:AF,28,0)+VLOOKUP(E:E,'（居民）工资表-3月'!E:AG,29,0),0)</f>
        <v>0</v>
      </c>
      <c r="AG16" s="99">
        <f t="shared" si="3"/>
        <v>0</v>
      </c>
      <c r="AH16" s="109">
        <f t="shared" si="4"/>
        <v>5394.64</v>
      </c>
      <c r="AI16" s="110"/>
      <c r="AJ16" s="109">
        <f t="shared" si="5"/>
        <v>5394.64</v>
      </c>
      <c r="AK16" s="111"/>
      <c r="AL16" s="109">
        <f t="shared" si="6"/>
        <v>5394.64</v>
      </c>
      <c r="AM16" s="111"/>
      <c r="AN16" s="111"/>
      <c r="AO16" s="111"/>
      <c r="AP16" s="111"/>
      <c r="AQ16" s="111"/>
      <c r="AR16" s="118"/>
      <c r="AS16" s="118"/>
      <c r="AT16" s="118"/>
    </row>
    <row r="17" s="12" customFormat="1" ht="17" customHeight="1" spans="1:46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39">
        <v>13873717760</v>
      </c>
      <c r="H17" s="40"/>
      <c r="I17" s="40"/>
      <c r="J17" s="70"/>
      <c r="K17" s="40"/>
      <c r="L17" s="71">
        <v>5585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L17+IFERROR(VLOOKUP($E:$E,'（居民）工资表-3月'!$E:$S,15,0),0)</f>
        <v>17405</v>
      </c>
      <c r="T17" s="93">
        <f>5000+IFERROR(VLOOKUP($E:$E,'（居民）工资表-3月'!$E:$T,16,0),0)</f>
        <v>20000</v>
      </c>
      <c r="U17" s="93">
        <f>Q17+IFERROR(VLOOKUP($E:$E,'（居民）工资表-3月'!$E:$U,17,0),0)</f>
        <v>3037.51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R17+IFERROR(VLOOKUP($E:$E,'（居民）工资表-3月'!$E:$AC,25,0),0)</f>
        <v>0</v>
      </c>
      <c r="AD17" s="97">
        <f t="shared" si="2"/>
        <v>-5632.51</v>
      </c>
      <c r="AE17" s="98">
        <f>ROUND(MAX((AD17)*{0.03;0.1;0.2;0.25;0.3;0.35;0.45}-{0;2520;16920;31920;52920;85920;181920},0),2)</f>
        <v>0</v>
      </c>
      <c r="AF17" s="99">
        <f>IFERROR(VLOOKUP(E:E,'（居民）工资表-3月'!E:AF,28,0)+VLOOKUP(E:E,'（居民）工资表-3月'!E:AG,29,0),0)</f>
        <v>0</v>
      </c>
      <c r="AG17" s="99">
        <f t="shared" si="3"/>
        <v>0</v>
      </c>
      <c r="AH17" s="109">
        <f t="shared" si="4"/>
        <v>4995.84</v>
      </c>
      <c r="AI17" s="110"/>
      <c r="AJ17" s="109">
        <f t="shared" si="5"/>
        <v>4995.84</v>
      </c>
      <c r="AK17" s="111"/>
      <c r="AL17" s="109">
        <f t="shared" si="6"/>
        <v>4995.84</v>
      </c>
      <c r="AM17" s="111"/>
      <c r="AN17" s="111"/>
      <c r="AO17" s="111"/>
      <c r="AP17" s="111"/>
      <c r="AQ17" s="111"/>
      <c r="AR17" s="118"/>
      <c r="AS17" s="118"/>
      <c r="AT17" s="118"/>
    </row>
    <row r="18" s="12" customFormat="1" ht="17" customHeight="1" spans="1:46">
      <c r="A18" s="36">
        <v>15</v>
      </c>
      <c r="B18" s="37" t="s">
        <v>196</v>
      </c>
      <c r="C18" s="37" t="s">
        <v>231</v>
      </c>
      <c r="D18" s="37" t="s">
        <v>197</v>
      </c>
      <c r="E18" s="383" t="s">
        <v>233</v>
      </c>
      <c r="F18" s="38" t="s">
        <v>200</v>
      </c>
      <c r="G18" s="39">
        <v>13979183143</v>
      </c>
      <c r="H18" s="40"/>
      <c r="I18" s="40"/>
      <c r="J18" s="70"/>
      <c r="K18" s="40"/>
      <c r="L18" s="71">
        <v>6000</v>
      </c>
      <c r="M18" s="72">
        <v>-282.24</v>
      </c>
      <c r="N18" s="72">
        <v>-92.81</v>
      </c>
      <c r="O18" s="72">
        <v>-17.64</v>
      </c>
      <c r="P18" s="72">
        <v>-142</v>
      </c>
      <c r="Q18" s="91">
        <f t="shared" si="0"/>
        <v>-534.69</v>
      </c>
      <c r="R18" s="73">
        <v>0</v>
      </c>
      <c r="S18" s="92">
        <f>L18+IFERROR(VLOOKUP($E:$E,'（居民）工资表-3月'!$E:$S,15,0),0)</f>
        <v>15545.45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0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R18+IFERROR(VLOOKUP($E:$E,'（居民）工资表-3月'!$E:$AC,25,0),0)</f>
        <v>0</v>
      </c>
      <c r="AD18" s="97">
        <f t="shared" si="2"/>
        <v>5545.45</v>
      </c>
      <c r="AE18" s="98">
        <f>ROUND(MAX((AD18)*{0.03;0.1;0.2;0.25;0.3;0.35;0.45}-{0;2520;16920;31920;52920;85920;181920},0),2)</f>
        <v>166.36</v>
      </c>
      <c r="AF18" s="99">
        <f>IFERROR(VLOOKUP(E:E,'（居民）工资表-3月'!E:AF,28,0)+VLOOKUP(E:E,'（居民）工资表-3月'!E:AG,29,0),0)</f>
        <v>120.32</v>
      </c>
      <c r="AG18" s="99">
        <f t="shared" si="3"/>
        <v>46.04</v>
      </c>
      <c r="AH18" s="109">
        <f t="shared" si="4"/>
        <v>6488.65</v>
      </c>
      <c r="AI18" s="110"/>
      <c r="AJ18" s="109">
        <f t="shared" si="5"/>
        <v>6488.65</v>
      </c>
      <c r="AK18" s="111"/>
      <c r="AL18" s="109">
        <f t="shared" si="6"/>
        <v>6534.69</v>
      </c>
      <c r="AM18" s="111"/>
      <c r="AN18" s="111"/>
      <c r="AO18" s="111"/>
      <c r="AP18" s="111"/>
      <c r="AQ18" s="111"/>
      <c r="AR18" s="118"/>
      <c r="AS18" s="118"/>
      <c r="AT18" s="118"/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211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117823.8</v>
      </c>
      <c r="M20" s="76">
        <f t="shared" ref="M20:AL20" si="10">SUM(M4:M19)</f>
        <v>4348.34</v>
      </c>
      <c r="N20" s="76">
        <f t="shared" si="10"/>
        <v>1265.45</v>
      </c>
      <c r="O20" s="76">
        <f t="shared" si="10"/>
        <v>230.26</v>
      </c>
      <c r="P20" s="76">
        <f t="shared" si="10"/>
        <v>2052.3</v>
      </c>
      <c r="Q20" s="76">
        <f t="shared" si="10"/>
        <v>7896.35</v>
      </c>
      <c r="R20" s="76">
        <f t="shared" si="10"/>
        <v>0</v>
      </c>
      <c r="S20" s="76">
        <f t="shared" si="10"/>
        <v>433024.92</v>
      </c>
      <c r="T20" s="76">
        <f t="shared" si="10"/>
        <v>290000</v>
      </c>
      <c r="U20" s="76">
        <f t="shared" si="10"/>
        <v>34277.2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108747.72</v>
      </c>
      <c r="AE20" s="76">
        <f t="shared" si="10"/>
        <v>8111.61</v>
      </c>
      <c r="AF20" s="76">
        <f t="shared" si="10"/>
        <v>5346.49</v>
      </c>
      <c r="AG20" s="76">
        <f t="shared" si="10"/>
        <v>2765.12</v>
      </c>
      <c r="AH20" s="76">
        <f t="shared" si="10"/>
        <v>107162.33</v>
      </c>
      <c r="AI20" s="76">
        <f t="shared" si="10"/>
        <v>0</v>
      </c>
      <c r="AJ20" s="76">
        <f t="shared" si="10"/>
        <v>107162.33</v>
      </c>
      <c r="AK20" s="76">
        <f t="shared" si="10"/>
        <v>0</v>
      </c>
      <c r="AL20" s="76">
        <f t="shared" si="10"/>
        <v>109927.45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3">
      <c r="B24" s="48" t="s">
        <v>185</v>
      </c>
      <c r="C24" s="48" t="s">
        <v>212</v>
      </c>
      <c r="D24" s="48" t="s">
        <v>22</v>
      </c>
      <c r="E24" s="48" t="s">
        <v>23</v>
      </c>
      <c r="AD24" s="10"/>
      <c r="AG24" s="113"/>
    </row>
    <row r="25" ht="18.75" customHeight="1" spans="2:5">
      <c r="B25" s="49">
        <f>AJ20</f>
        <v>107162.33</v>
      </c>
      <c r="C25" s="49">
        <f>AG20</f>
        <v>2765.12</v>
      </c>
      <c r="D25" s="49">
        <f>AK20</f>
        <v>0</v>
      </c>
      <c r="E25" s="49">
        <f>B25+C25+D25</f>
        <v>109927.45</v>
      </c>
    </row>
    <row r="26" spans="2:5">
      <c r="B26" s="50"/>
      <c r="C26" s="50"/>
      <c r="D26" s="50"/>
      <c r="E26" s="51"/>
    </row>
    <row r="27" s="14" customFormat="1" spans="1:35">
      <c r="A27" s="52" t="s">
        <v>213</v>
      </c>
      <c r="B27" s="53" t="s">
        <v>214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216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217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218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219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220</v>
      </c>
    </row>
    <row r="35" spans="2:2">
      <c r="B35" s="60" t="s">
        <v>221</v>
      </c>
    </row>
    <row r="36" spans="2:2">
      <c r="B36" s="60" t="s">
        <v>222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234</v>
      </c>
      <c r="C1" s="1"/>
      <c r="D1" s="1"/>
      <c r="E1" s="1"/>
    </row>
    <row r="2" ht="21" spans="2:2">
      <c r="B2" s="2"/>
    </row>
    <row r="3" ht="27.75" customHeight="1" spans="2:5">
      <c r="B3" s="3" t="s">
        <v>235</v>
      </c>
      <c r="C3" s="4" t="s">
        <v>236</v>
      </c>
      <c r="D3" s="4" t="s">
        <v>237</v>
      </c>
      <c r="E3" s="4" t="s">
        <v>238</v>
      </c>
    </row>
    <row r="4" ht="29.25" customHeight="1" spans="2:5">
      <c r="B4" s="5">
        <v>1</v>
      </c>
      <c r="C4" s="6" t="s">
        <v>239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240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241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242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243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244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245</v>
      </c>
      <c r="D10" s="7">
        <v>0.45</v>
      </c>
      <c r="E10" s="8">
        <v>181920</v>
      </c>
    </row>
    <row r="13" ht="57" customHeight="1" spans="2:5">
      <c r="B13" s="1" t="s">
        <v>246</v>
      </c>
      <c r="C13" s="1"/>
      <c r="D13" s="1"/>
      <c r="E13" s="1"/>
    </row>
    <row r="14" ht="21" spans="2:2">
      <c r="B14" s="2"/>
    </row>
    <row r="15" ht="27.75" customHeight="1" spans="2:5">
      <c r="B15" s="3" t="s">
        <v>235</v>
      </c>
      <c r="C15" s="4" t="s">
        <v>247</v>
      </c>
      <c r="D15" s="4" t="s">
        <v>237</v>
      </c>
      <c r="E15" s="4" t="s">
        <v>238</v>
      </c>
    </row>
    <row r="16" ht="29.25" customHeight="1" spans="2:5">
      <c r="B16" s="5">
        <v>1</v>
      </c>
      <c r="C16" s="6" t="s">
        <v>248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249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250</v>
      </c>
      <c r="D18" s="7">
        <v>0.4</v>
      </c>
      <c r="E18" s="8">
        <v>7000</v>
      </c>
    </row>
    <row r="21" ht="47.25" customHeight="1" spans="2:5">
      <c r="B21" s="1" t="s">
        <v>251</v>
      </c>
      <c r="C21" s="1"/>
      <c r="D21" s="1"/>
      <c r="E21" s="1"/>
    </row>
    <row r="22" ht="21" spans="2:2">
      <c r="B22" s="2"/>
    </row>
    <row r="23" ht="27.75" customHeight="1" spans="2:5">
      <c r="B23" s="3" t="s">
        <v>235</v>
      </c>
      <c r="C23" s="4" t="s">
        <v>252</v>
      </c>
      <c r="D23" s="4" t="s">
        <v>237</v>
      </c>
      <c r="E23" s="4" t="s">
        <v>238</v>
      </c>
    </row>
    <row r="24" ht="29.25" customHeight="1" spans="2:5">
      <c r="B24" s="5">
        <v>1</v>
      </c>
      <c r="C24" s="6" t="s">
        <v>253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254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255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256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257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258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259</v>
      </c>
      <c r="D30" s="7">
        <v>0.45</v>
      </c>
      <c r="E30" s="8">
        <v>15160</v>
      </c>
    </row>
    <row r="35" ht="57" customHeight="1" spans="2:5">
      <c r="B35" s="9" t="s">
        <v>260</v>
      </c>
      <c r="C35" s="9"/>
      <c r="D35" s="9"/>
      <c r="E35" s="9"/>
    </row>
    <row r="36" ht="14.25"/>
    <row r="37" ht="21.75" customHeight="1" spans="2:5">
      <c r="B37" s="3" t="s">
        <v>235</v>
      </c>
      <c r="C37" s="4" t="s">
        <v>261</v>
      </c>
      <c r="D37" s="4" t="s">
        <v>262</v>
      </c>
      <c r="E37" s="4" t="s">
        <v>238</v>
      </c>
    </row>
    <row r="38" ht="21.75" customHeight="1" spans="2:5">
      <c r="B38" s="5">
        <v>1</v>
      </c>
      <c r="C38" s="6" t="s">
        <v>253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254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255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256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257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258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259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D23" sqref="D23:F23"/>
    </sheetView>
  </sheetViews>
  <sheetFormatPr defaultColWidth="9" defaultRowHeight="13.5"/>
  <cols>
    <col min="1" max="2" width="9" style="251"/>
    <col min="3" max="3" width="10.725" style="251" customWidth="1"/>
    <col min="4" max="4" width="16.725" style="251" customWidth="1"/>
    <col min="5" max="5" width="11.725" style="251" customWidth="1"/>
    <col min="6" max="6" width="9" style="251"/>
    <col min="7" max="7" width="10.725" style="251" customWidth="1"/>
    <col min="8" max="12" width="9" style="251"/>
    <col min="13" max="13" width="9.45" style="251" customWidth="1"/>
    <col min="14" max="14" width="16.45" style="251" customWidth="1"/>
    <col min="15" max="16384" width="9" style="251"/>
  </cols>
  <sheetData>
    <row r="1" ht="25.5" spans="1:14">
      <c r="A1" s="252" t="s">
        <v>67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ht="14.25" spans="1:14">
      <c r="A2" s="253"/>
      <c r="B2" s="254"/>
      <c r="C2" s="254"/>
      <c r="D2" s="255"/>
      <c r="E2" s="255"/>
      <c r="F2" s="255"/>
      <c r="G2" s="253"/>
      <c r="H2" s="253"/>
      <c r="I2" s="253"/>
      <c r="J2" s="255"/>
      <c r="K2" s="255"/>
      <c r="L2" s="255"/>
      <c r="M2" s="255"/>
      <c r="N2" s="255"/>
    </row>
    <row r="3" spans="1:14">
      <c r="A3" s="256"/>
      <c r="B3" s="257"/>
      <c r="C3" s="258"/>
      <c r="D3" s="259"/>
      <c r="E3" s="260"/>
      <c r="F3" s="260"/>
      <c r="G3" s="261"/>
      <c r="H3" s="262"/>
      <c r="I3" s="257"/>
      <c r="J3" s="258"/>
      <c r="K3" s="259"/>
      <c r="L3" s="330"/>
      <c r="M3" s="255"/>
      <c r="N3" s="255"/>
    </row>
    <row r="4" spans="1:14">
      <c r="A4" s="256"/>
      <c r="B4" s="263" t="s">
        <v>68</v>
      </c>
      <c r="C4" s="263"/>
      <c r="D4" s="263"/>
      <c r="E4" s="263"/>
      <c r="F4" s="264"/>
      <c r="G4" s="263"/>
      <c r="H4" s="262"/>
      <c r="K4" s="255"/>
      <c r="L4" s="331"/>
      <c r="M4" s="332"/>
      <c r="N4" s="255"/>
    </row>
    <row r="5" spans="1:14">
      <c r="A5" s="265"/>
      <c r="B5" s="266" t="s">
        <v>69</v>
      </c>
      <c r="C5" s="259"/>
      <c r="D5" s="259"/>
      <c r="E5" s="259"/>
      <c r="F5" s="259"/>
      <c r="G5" s="259"/>
      <c r="H5" s="267"/>
      <c r="I5" s="262"/>
      <c r="J5" s="257"/>
      <c r="K5" s="258"/>
      <c r="L5" s="330"/>
      <c r="M5" s="255"/>
      <c r="N5" s="255"/>
    </row>
    <row r="6" ht="9.75" customHeight="1" spans="1:14">
      <c r="A6" s="268"/>
      <c r="B6" s="268"/>
      <c r="C6" s="268"/>
      <c r="D6" s="268"/>
      <c r="E6" s="268"/>
      <c r="F6" s="268"/>
      <c r="G6" s="268"/>
      <c r="H6" s="268"/>
      <c r="I6" s="333"/>
      <c r="J6" s="333"/>
      <c r="K6" s="334"/>
      <c r="L6" s="334"/>
      <c r="M6" s="334"/>
      <c r="N6" s="334"/>
    </row>
    <row r="7" ht="15" spans="1:14">
      <c r="A7" s="268"/>
      <c r="B7" s="269" t="s">
        <v>70</v>
      </c>
      <c r="C7" s="270"/>
      <c r="D7" s="270"/>
      <c r="E7" s="270"/>
      <c r="F7" s="270"/>
      <c r="G7" s="270"/>
      <c r="H7" s="270"/>
      <c r="I7" s="335" t="s">
        <v>71</v>
      </c>
      <c r="J7" s="335"/>
      <c r="K7" s="336"/>
      <c r="L7" s="254"/>
      <c r="M7" s="254"/>
      <c r="N7" s="337"/>
    </row>
    <row r="8" ht="14.25" spans="1:14">
      <c r="A8" s="268"/>
      <c r="B8" s="271" t="s">
        <v>72</v>
      </c>
      <c r="C8" s="272"/>
      <c r="D8" s="272"/>
      <c r="E8" s="273">
        <f>D10</f>
        <v>171254.44</v>
      </c>
      <c r="F8" s="274"/>
      <c r="G8" s="274"/>
      <c r="H8" s="275"/>
      <c r="I8" s="338"/>
      <c r="J8" s="339" t="s">
        <v>73</v>
      </c>
      <c r="K8" s="339"/>
      <c r="L8" s="339"/>
      <c r="M8" s="339"/>
      <c r="N8" s="339"/>
    </row>
    <row r="9" ht="14.25" spans="1:14">
      <c r="A9" s="268"/>
      <c r="B9" s="276" t="s">
        <v>74</v>
      </c>
      <c r="C9" s="277"/>
      <c r="D9" s="277"/>
      <c r="E9" s="278">
        <f>G24</f>
        <v>171254.44</v>
      </c>
      <c r="F9" s="279"/>
      <c r="G9" s="279"/>
      <c r="H9" s="280"/>
      <c r="I9" s="339"/>
      <c r="J9" s="340" t="s">
        <v>75</v>
      </c>
      <c r="K9" s="340"/>
      <c r="L9" s="340"/>
      <c r="M9" s="340"/>
      <c r="N9" s="341"/>
    </row>
    <row r="10" ht="15" spans="1:14">
      <c r="A10" s="268"/>
      <c r="B10" s="281" t="s">
        <v>76</v>
      </c>
      <c r="C10" s="282"/>
      <c r="D10" s="283">
        <f>G24</f>
        <v>171254.44</v>
      </c>
      <c r="E10" s="284" t="s">
        <v>77</v>
      </c>
      <c r="F10" s="285"/>
      <c r="G10" s="286"/>
      <c r="H10" s="287">
        <v>0</v>
      </c>
      <c r="I10" s="342"/>
      <c r="J10" s="343" t="s">
        <v>78</v>
      </c>
      <c r="K10" s="343"/>
      <c r="L10" s="343"/>
      <c r="M10" s="343"/>
      <c r="N10" s="344"/>
    </row>
    <row r="11" ht="14.25" spans="1:14">
      <c r="A11" s="268"/>
      <c r="B11" s="288" t="s">
        <v>79</v>
      </c>
      <c r="C11" s="289"/>
      <c r="D11" s="290"/>
      <c r="E11" s="291" t="s">
        <v>80</v>
      </c>
      <c r="F11" s="292"/>
      <c r="G11" s="293"/>
      <c r="H11" s="294"/>
      <c r="I11" s="345"/>
      <c r="J11" s="346"/>
      <c r="K11" s="345"/>
      <c r="L11" s="345"/>
      <c r="M11" s="345"/>
      <c r="N11" s="347"/>
    </row>
    <row r="12" spans="1:14">
      <c r="A12" s="265"/>
      <c r="B12" s="288" t="s">
        <v>81</v>
      </c>
      <c r="C12" s="289"/>
      <c r="D12" s="290">
        <v>0</v>
      </c>
      <c r="E12" s="291" t="s">
        <v>82</v>
      </c>
      <c r="F12" s="292"/>
      <c r="G12" s="293"/>
      <c r="H12" s="294"/>
      <c r="I12" s="348"/>
      <c r="J12" s="349"/>
      <c r="K12" s="350"/>
      <c r="L12" s="350"/>
      <c r="M12" s="350"/>
      <c r="N12" s="350"/>
    </row>
    <row r="13" ht="14.25" spans="1:14">
      <c r="A13" s="255"/>
      <c r="B13" s="295" t="s">
        <v>83</v>
      </c>
      <c r="C13" s="296"/>
      <c r="D13" s="297">
        <v>0</v>
      </c>
      <c r="E13" s="298"/>
      <c r="F13" s="299"/>
      <c r="G13" s="300"/>
      <c r="H13" s="301"/>
      <c r="I13" s="268"/>
      <c r="J13" s="351"/>
      <c r="K13" s="352"/>
      <c r="L13" s="352"/>
      <c r="M13" s="352"/>
      <c r="N13" s="352"/>
    </row>
    <row r="14" ht="5.25" customHeight="1" spans="1:14">
      <c r="A14" s="302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>
      <c r="A15" s="255" t="s">
        <v>84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</row>
    <row r="16" ht="3" customHeight="1" spans="1:14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</row>
    <row r="17" ht="18.75" spans="2:13">
      <c r="B17" s="303" t="s">
        <v>0</v>
      </c>
      <c r="C17" s="304" t="s">
        <v>85</v>
      </c>
      <c r="D17" s="304" t="s">
        <v>86</v>
      </c>
      <c r="E17" s="304"/>
      <c r="F17" s="305" t="s">
        <v>87</v>
      </c>
      <c r="G17" s="306" t="s">
        <v>31</v>
      </c>
      <c r="H17" s="307" t="s">
        <v>24</v>
      </c>
      <c r="J17" s="353" t="s">
        <v>88</v>
      </c>
      <c r="K17" s="353"/>
      <c r="L17" s="353"/>
      <c r="M17" s="353"/>
    </row>
    <row r="18" ht="16.5" spans="2:13">
      <c r="B18" s="308">
        <v>1</v>
      </c>
      <c r="C18" s="309" t="s">
        <v>89</v>
      </c>
      <c r="D18" s="310" t="s">
        <v>90</v>
      </c>
      <c r="E18" s="310"/>
      <c r="F18" s="311"/>
      <c r="G18" s="312">
        <f>'（居民）工资表-10月'!E26</f>
        <v>135801.72</v>
      </c>
      <c r="H18" s="313"/>
      <c r="J18" s="353"/>
      <c r="K18" s="353"/>
      <c r="L18" s="353"/>
      <c r="M18" s="353"/>
    </row>
    <row r="19" ht="16.5" spans="2:13">
      <c r="B19" s="308">
        <v>2</v>
      </c>
      <c r="C19" s="309"/>
      <c r="D19" s="314" t="s">
        <v>91</v>
      </c>
      <c r="E19" s="315" t="s">
        <v>92</v>
      </c>
      <c r="F19" s="311"/>
      <c r="G19" s="312">
        <f>社保1!AX32</f>
        <v>30033.72</v>
      </c>
      <c r="H19" s="316"/>
      <c r="J19" s="353"/>
      <c r="K19" s="353"/>
      <c r="L19" s="353"/>
      <c r="M19" s="353"/>
    </row>
    <row r="20" ht="16.5" spans="2:13">
      <c r="B20" s="308">
        <v>3</v>
      </c>
      <c r="C20" s="309"/>
      <c r="D20" s="314" t="s">
        <v>93</v>
      </c>
      <c r="E20" s="315" t="s">
        <v>92</v>
      </c>
      <c r="F20" s="311"/>
      <c r="G20" s="312">
        <f>社保1!AZ32</f>
        <v>4139</v>
      </c>
      <c r="H20" s="316"/>
      <c r="J20" s="353"/>
      <c r="K20" s="353"/>
      <c r="L20" s="353"/>
      <c r="M20" s="353"/>
    </row>
    <row r="21" ht="16.5" spans="2:13">
      <c r="B21" s="308">
        <v>4</v>
      </c>
      <c r="C21" s="309"/>
      <c r="D21" s="317" t="s">
        <v>38</v>
      </c>
      <c r="E21" s="317"/>
      <c r="F21" s="311"/>
      <c r="G21" s="318">
        <f>G18+G19+G20</f>
        <v>169974.44</v>
      </c>
      <c r="H21" s="319"/>
      <c r="J21" s="353"/>
      <c r="K21" s="353"/>
      <c r="L21" s="353"/>
      <c r="M21" s="353"/>
    </row>
    <row r="22" ht="16.5" spans="2:13">
      <c r="B22" s="308">
        <v>5</v>
      </c>
      <c r="C22" s="309" t="s">
        <v>94</v>
      </c>
      <c r="D22" s="317" t="s">
        <v>95</v>
      </c>
      <c r="E22" s="317"/>
      <c r="F22" s="311"/>
      <c r="G22" s="318">
        <f>社保1!BB32</f>
        <v>1280</v>
      </c>
      <c r="H22" s="313"/>
      <c r="J22" s="353"/>
      <c r="K22" s="353"/>
      <c r="L22" s="353"/>
      <c r="M22" s="353"/>
    </row>
    <row r="23" ht="18" customHeight="1" spans="2:13">
      <c r="B23" s="308">
        <v>6</v>
      </c>
      <c r="C23" s="320" t="s">
        <v>96</v>
      </c>
      <c r="D23" s="321">
        <v>0.056</v>
      </c>
      <c r="E23" s="321"/>
      <c r="F23" s="321"/>
      <c r="G23" s="318"/>
      <c r="H23" s="313"/>
      <c r="J23" s="353"/>
      <c r="K23" s="353"/>
      <c r="L23" s="353"/>
      <c r="M23" s="353"/>
    </row>
    <row r="24" ht="16.5" spans="2:8">
      <c r="B24" s="322" t="s">
        <v>97</v>
      </c>
      <c r="C24" s="323"/>
      <c r="D24" s="323"/>
      <c r="E24" s="323"/>
      <c r="F24" s="323"/>
      <c r="G24" s="324">
        <f>G21+G22</f>
        <v>171254.44</v>
      </c>
      <c r="H24" s="325"/>
    </row>
    <row r="25" ht="16" customHeight="1" spans="2:8">
      <c r="B25" s="326" t="s">
        <v>98</v>
      </c>
      <c r="C25" s="327"/>
      <c r="D25" s="327"/>
      <c r="E25" s="327"/>
      <c r="F25" s="327"/>
      <c r="G25" s="328">
        <f>G24</f>
        <v>171254.44</v>
      </c>
      <c r="H25" s="329"/>
    </row>
    <row r="26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1" priority="1" stopIfTrue="1" operator="equal">
      <formula>"信用卡"</formula>
    </cfRule>
    <cfRule type="cellIs" dxfId="2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H36"/>
  <sheetViews>
    <sheetView workbookViewId="0">
      <pane xSplit="11" ySplit="2" topLeftCell="BB19" activePane="bottomRight" state="frozen"/>
      <selection/>
      <selection pane="topRight"/>
      <selection pane="bottomLeft"/>
      <selection pane="bottomRight" activeCell="BC33" sqref="BC32:BC33"/>
    </sheetView>
  </sheetViews>
  <sheetFormatPr defaultColWidth="9" defaultRowHeight="16.5"/>
  <cols>
    <col min="1" max="1" width="3.26666666666667" style="155" customWidth="1"/>
    <col min="2" max="2" width="19.2666666666667" style="155" customWidth="1"/>
    <col min="3" max="3" width="6" style="155" customWidth="1"/>
    <col min="4" max="4" width="8.45" style="155" hidden="1" customWidth="1"/>
    <col min="5" max="5" width="8.26666666666667" style="155" hidden="1" customWidth="1"/>
    <col min="6" max="6" width="11.9083333333333" style="155" customWidth="1"/>
    <col min="7" max="7" width="16.3666666666667" style="155" customWidth="1"/>
    <col min="8" max="11" width="8.45" style="155" customWidth="1"/>
    <col min="12" max="12" width="9.09166666666667" style="155" customWidth="1"/>
    <col min="13" max="14" width="9.26666666666667" style="155" customWidth="1"/>
    <col min="15" max="15" width="7.45" style="155" customWidth="1"/>
    <col min="16" max="16" width="11.2666666666667" style="155" customWidth="1"/>
    <col min="17" max="17" width="9.09166666666667" style="155" customWidth="1"/>
    <col min="18" max="21" width="9.26666666666667" style="155" customWidth="1"/>
    <col min="22" max="22" width="9.09166666666667" style="155" customWidth="1"/>
    <col min="23" max="26" width="9.26666666666667" style="155" customWidth="1"/>
    <col min="27" max="28" width="9.09166666666667" style="155" customWidth="1"/>
    <col min="29" max="29" width="9" style="155" customWidth="1"/>
    <col min="30" max="30" width="9.09166666666667" style="155" customWidth="1"/>
    <col min="31" max="31" width="9.26666666666667" style="155" customWidth="1"/>
    <col min="32" max="32" width="8.90833333333333" style="155" customWidth="1"/>
    <col min="33" max="33" width="9.09166666666667" style="155" customWidth="1"/>
    <col min="34" max="34" width="9.26666666666667" style="155" customWidth="1"/>
    <col min="35" max="35" width="11.0916666666667" style="155" customWidth="1"/>
    <col min="36" max="36" width="9.26666666666667" style="155" customWidth="1"/>
    <col min="37" max="37" width="8.26666666666667" style="155" customWidth="1"/>
    <col min="38" max="38" width="9.09166666666667" style="155" hidden="1" customWidth="1"/>
    <col min="39" max="39" width="9.26666666666667" style="155" hidden="1" customWidth="1"/>
    <col min="40" max="40" width="9.26666666666667" style="155" customWidth="1"/>
    <col min="41" max="42" width="9.26666666666667" style="155" hidden="1" customWidth="1"/>
    <col min="43" max="43" width="9.90833333333333" style="155" customWidth="1"/>
    <col min="44" max="44" width="9.36666666666667" style="155" customWidth="1"/>
    <col min="45" max="45" width="10.2666666666667" style="156" customWidth="1"/>
    <col min="46" max="46" width="10" style="156" customWidth="1"/>
    <col min="47" max="49" width="9.26666666666667" style="156" customWidth="1"/>
    <col min="50" max="50" width="9.26666666666667" style="155" customWidth="1"/>
    <col min="51" max="51" width="5.90833333333333" style="155" customWidth="1"/>
    <col min="52" max="52" width="8.36666666666667" style="155" customWidth="1"/>
    <col min="53" max="53" width="5.90833333333333" style="155" customWidth="1"/>
    <col min="54" max="54" width="8.90833333333333" style="155" customWidth="1"/>
    <col min="55" max="55" width="10.9083333333333" style="155" customWidth="1"/>
    <col min="56" max="56" width="40.2666666666667" style="157" customWidth="1"/>
    <col min="57" max="57" width="10.6333333333333" style="155" customWidth="1"/>
    <col min="58" max="16384" width="9" style="155"/>
  </cols>
  <sheetData>
    <row r="1" s="148" customFormat="1" ht="22.5" customHeight="1" spans="1:56">
      <c r="A1" s="158" t="s">
        <v>0</v>
      </c>
      <c r="B1" s="159" t="s">
        <v>1</v>
      </c>
      <c r="C1" s="159" t="s">
        <v>2</v>
      </c>
      <c r="D1" s="158" t="s">
        <v>3</v>
      </c>
      <c r="E1" s="159" t="s">
        <v>4</v>
      </c>
      <c r="F1" s="159" t="s">
        <v>5</v>
      </c>
      <c r="G1" s="159" t="s">
        <v>6</v>
      </c>
      <c r="H1" s="159" t="s">
        <v>7</v>
      </c>
      <c r="I1" s="159" t="s">
        <v>8</v>
      </c>
      <c r="J1" s="159" t="s">
        <v>9</v>
      </c>
      <c r="K1" s="159" t="s">
        <v>10</v>
      </c>
      <c r="L1" s="194" t="s">
        <v>11</v>
      </c>
      <c r="M1" s="194"/>
      <c r="N1" s="194"/>
      <c r="O1" s="194"/>
      <c r="P1" s="194"/>
      <c r="Q1" s="194" t="s">
        <v>12</v>
      </c>
      <c r="R1" s="194"/>
      <c r="S1" s="194"/>
      <c r="T1" s="194"/>
      <c r="U1" s="194"/>
      <c r="V1" s="194" t="s">
        <v>13</v>
      </c>
      <c r="W1" s="194"/>
      <c r="X1" s="194"/>
      <c r="Y1" s="194"/>
      <c r="Z1" s="194"/>
      <c r="AA1" s="158" t="s">
        <v>14</v>
      </c>
      <c r="AB1" s="158"/>
      <c r="AC1" s="158"/>
      <c r="AD1" s="158" t="s">
        <v>15</v>
      </c>
      <c r="AE1" s="158"/>
      <c r="AF1" s="158"/>
      <c r="AG1" s="194" t="s">
        <v>16</v>
      </c>
      <c r="AH1" s="194"/>
      <c r="AI1" s="194"/>
      <c r="AJ1" s="194"/>
      <c r="AK1" s="194"/>
      <c r="AL1" s="158" t="s">
        <v>99</v>
      </c>
      <c r="AM1" s="158"/>
      <c r="AN1" s="158"/>
      <c r="AO1" s="158"/>
      <c r="AP1" s="158"/>
      <c r="AQ1" s="158" t="s">
        <v>18</v>
      </c>
      <c r="AR1" s="158"/>
      <c r="AS1" s="211" t="s">
        <v>19</v>
      </c>
      <c r="AT1" s="211"/>
      <c r="AU1" s="211"/>
      <c r="AV1" s="211"/>
      <c r="AW1" s="211"/>
      <c r="AX1" s="158" t="s">
        <v>20</v>
      </c>
      <c r="AY1" s="158"/>
      <c r="AZ1" s="158" t="s">
        <v>21</v>
      </c>
      <c r="BA1" s="158"/>
      <c r="BB1" s="158" t="s">
        <v>22</v>
      </c>
      <c r="BC1" s="158" t="s">
        <v>23</v>
      </c>
      <c r="BD1" s="224" t="s">
        <v>24</v>
      </c>
    </row>
    <row r="2" ht="22.5" customHeight="1" spans="1:56">
      <c r="A2" s="158"/>
      <c r="B2" s="160"/>
      <c r="C2" s="159"/>
      <c r="D2" s="158"/>
      <c r="E2" s="159"/>
      <c r="F2" s="161"/>
      <c r="G2" s="161"/>
      <c r="H2" s="159"/>
      <c r="I2" s="159"/>
      <c r="J2" s="159"/>
      <c r="K2" s="159"/>
      <c r="L2" s="195" t="s">
        <v>25</v>
      </c>
      <c r="M2" s="195" t="s">
        <v>26</v>
      </c>
      <c r="N2" s="195" t="s">
        <v>27</v>
      </c>
      <c r="O2" s="195" t="s">
        <v>28</v>
      </c>
      <c r="P2" s="195" t="s">
        <v>29</v>
      </c>
      <c r="Q2" s="195" t="s">
        <v>25</v>
      </c>
      <c r="R2" s="195" t="s">
        <v>26</v>
      </c>
      <c r="S2" s="195" t="s">
        <v>27</v>
      </c>
      <c r="T2" s="195" t="s">
        <v>28</v>
      </c>
      <c r="U2" s="195" t="s">
        <v>29</v>
      </c>
      <c r="V2" s="195" t="s">
        <v>25</v>
      </c>
      <c r="W2" s="195" t="s">
        <v>26</v>
      </c>
      <c r="X2" s="195" t="s">
        <v>27</v>
      </c>
      <c r="Y2" s="195" t="s">
        <v>28</v>
      </c>
      <c r="Z2" s="195" t="s">
        <v>29</v>
      </c>
      <c r="AA2" s="195" t="s">
        <v>25</v>
      </c>
      <c r="AB2" s="195" t="s">
        <v>30</v>
      </c>
      <c r="AC2" s="195" t="s">
        <v>31</v>
      </c>
      <c r="AD2" s="195" t="s">
        <v>25</v>
      </c>
      <c r="AE2" s="195" t="s">
        <v>30</v>
      </c>
      <c r="AF2" s="195" t="s">
        <v>31</v>
      </c>
      <c r="AG2" s="195" t="s">
        <v>25</v>
      </c>
      <c r="AH2" s="195" t="s">
        <v>26</v>
      </c>
      <c r="AI2" s="195" t="s">
        <v>27</v>
      </c>
      <c r="AJ2" s="195" t="s">
        <v>28</v>
      </c>
      <c r="AK2" s="195" t="s">
        <v>29</v>
      </c>
      <c r="AL2" s="195" t="s">
        <v>25</v>
      </c>
      <c r="AM2" s="195" t="s">
        <v>26</v>
      </c>
      <c r="AN2" s="195" t="s">
        <v>27</v>
      </c>
      <c r="AO2" s="195" t="s">
        <v>28</v>
      </c>
      <c r="AP2" s="195" t="s">
        <v>29</v>
      </c>
      <c r="AQ2" s="195" t="s">
        <v>32</v>
      </c>
      <c r="AR2" s="195" t="s">
        <v>33</v>
      </c>
      <c r="AS2" s="212" t="s">
        <v>34</v>
      </c>
      <c r="AT2" s="212" t="s">
        <v>35</v>
      </c>
      <c r="AU2" s="212" t="s">
        <v>36</v>
      </c>
      <c r="AV2" s="212" t="s">
        <v>37</v>
      </c>
      <c r="AW2" s="212" t="s">
        <v>38</v>
      </c>
      <c r="AX2" s="158"/>
      <c r="AY2" s="158"/>
      <c r="AZ2" s="158"/>
      <c r="BA2" s="158"/>
      <c r="BB2" s="158"/>
      <c r="BC2" s="158"/>
      <c r="BD2" s="224"/>
    </row>
    <row r="3" s="149" customFormat="1" ht="21" customHeight="1" spans="1:60">
      <c r="A3" s="162">
        <v>1</v>
      </c>
      <c r="B3" s="163" t="s">
        <v>39</v>
      </c>
      <c r="C3" s="164" t="s">
        <v>60</v>
      </c>
      <c r="D3" s="163" t="s">
        <v>41</v>
      </c>
      <c r="E3" s="163" t="s">
        <v>51</v>
      </c>
      <c r="F3" s="165" t="s">
        <v>61</v>
      </c>
      <c r="G3" s="166" t="s">
        <v>62</v>
      </c>
      <c r="H3" s="163" t="s">
        <v>63</v>
      </c>
      <c r="I3" s="163" t="s">
        <v>63</v>
      </c>
      <c r="J3" s="163" t="s">
        <v>100</v>
      </c>
      <c r="K3" s="163" t="s">
        <v>100</v>
      </c>
      <c r="L3" s="162">
        <v>3993.2</v>
      </c>
      <c r="M3" s="162">
        <v>0.16</v>
      </c>
      <c r="N3" s="162">
        <f>ROUND(L3*M3,2)</f>
        <v>638.91</v>
      </c>
      <c r="O3" s="162">
        <v>0.08</v>
      </c>
      <c r="P3" s="162">
        <f>ROUND(L3*O3,2)</f>
        <v>319.46</v>
      </c>
      <c r="Q3" s="162">
        <v>3993.2</v>
      </c>
      <c r="R3" s="162">
        <v>0.067</v>
      </c>
      <c r="S3" s="162">
        <f>ROUND(Q3*R3,2)</f>
        <v>267.54</v>
      </c>
      <c r="T3" s="162">
        <v>0.02</v>
      </c>
      <c r="U3" s="162">
        <f>ROUND(Q3*T3,2)</f>
        <v>79.86</v>
      </c>
      <c r="V3" s="162">
        <v>3993.2</v>
      </c>
      <c r="W3" s="162">
        <v>0.007</v>
      </c>
      <c r="X3" s="162">
        <f>ROUND(V3*W3,2)</f>
        <v>27.95</v>
      </c>
      <c r="Y3" s="162">
        <v>0.003</v>
      </c>
      <c r="Z3" s="162">
        <f>ROUND(V3*Y3,2)</f>
        <v>11.98</v>
      </c>
      <c r="AA3" s="162"/>
      <c r="AB3" s="162"/>
      <c r="AC3" s="162"/>
      <c r="AD3" s="162">
        <v>3993.2</v>
      </c>
      <c r="AE3" s="162">
        <v>0.002</v>
      </c>
      <c r="AF3" s="162">
        <f>ROUND(AD3*AE3,2)</f>
        <v>7.99</v>
      </c>
      <c r="AG3" s="162">
        <v>3548</v>
      </c>
      <c r="AH3" s="162">
        <v>0.05</v>
      </c>
      <c r="AI3" s="162">
        <f>ROUND(AG3*AH3,0)</f>
        <v>177</v>
      </c>
      <c r="AJ3" s="162">
        <v>0.05</v>
      </c>
      <c r="AK3" s="162">
        <f>ROUND(AG3*AJ3,0)</f>
        <v>177</v>
      </c>
      <c r="AL3" s="207"/>
      <c r="AM3" s="162"/>
      <c r="AN3" s="162"/>
      <c r="AO3" s="162"/>
      <c r="AP3" s="163"/>
      <c r="AQ3" s="213"/>
      <c r="AR3" s="213"/>
      <c r="AS3" s="206">
        <f>N3+S3+X3+AC3+AF3+AN3+AQ3</f>
        <v>942.39</v>
      </c>
      <c r="AT3" s="206">
        <f>P3+U3+Z3+AR3</f>
        <v>411.3</v>
      </c>
      <c r="AU3" s="206">
        <f>AI3</f>
        <v>177</v>
      </c>
      <c r="AV3" s="206">
        <f>AK3</f>
        <v>177</v>
      </c>
      <c r="AW3" s="206">
        <f>AV3+AS3+AT3+AU3</f>
        <v>1707.69</v>
      </c>
      <c r="AX3" s="225">
        <f>AS3+AT3</f>
        <v>1353.69</v>
      </c>
      <c r="AY3" s="225"/>
      <c r="AZ3" s="225">
        <f>AU3+AV3</f>
        <v>354</v>
      </c>
      <c r="BA3" s="225"/>
      <c r="BB3" s="226">
        <v>80</v>
      </c>
      <c r="BC3" s="225">
        <f>AX3+AZ3+BB3</f>
        <v>1787.69</v>
      </c>
      <c r="BD3" s="227"/>
      <c r="BE3" s="247"/>
      <c r="BF3" s="248"/>
      <c r="BG3" s="248"/>
      <c r="BH3" s="248"/>
    </row>
    <row r="4" s="149" customFormat="1" ht="18" customHeight="1" spans="1:60">
      <c r="A4" s="162">
        <v>2</v>
      </c>
      <c r="B4" s="163" t="s">
        <v>39</v>
      </c>
      <c r="C4" s="164" t="s">
        <v>50</v>
      </c>
      <c r="D4" s="163" t="s">
        <v>41</v>
      </c>
      <c r="E4" s="163" t="s">
        <v>51</v>
      </c>
      <c r="F4" s="165" t="s">
        <v>101</v>
      </c>
      <c r="G4" s="166" t="s">
        <v>102</v>
      </c>
      <c r="H4" s="163" t="s">
        <v>103</v>
      </c>
      <c r="I4" s="163" t="s">
        <v>103</v>
      </c>
      <c r="J4" s="163" t="s">
        <v>100</v>
      </c>
      <c r="K4" s="163" t="s">
        <v>100</v>
      </c>
      <c r="L4" s="162">
        <v>5284</v>
      </c>
      <c r="M4" s="162">
        <v>0.14</v>
      </c>
      <c r="N4" s="162">
        <f>ROUND(L4*M4,2)</f>
        <v>739.76</v>
      </c>
      <c r="O4" s="162">
        <v>0.08</v>
      </c>
      <c r="P4" s="162">
        <f>ROUND(L4*O4,2)</f>
        <v>422.72</v>
      </c>
      <c r="Q4" s="162">
        <v>5674</v>
      </c>
      <c r="R4" s="162">
        <v>0.0685</v>
      </c>
      <c r="S4" s="162">
        <f>ROUND(Q4*R4,2)</f>
        <v>388.67</v>
      </c>
      <c r="T4" s="162">
        <v>0.02</v>
      </c>
      <c r="U4" s="162">
        <f>ROUND(Q4*T4,2)</f>
        <v>113.48</v>
      </c>
      <c r="V4" s="162">
        <v>2300</v>
      </c>
      <c r="W4" s="162">
        <v>0.008</v>
      </c>
      <c r="X4" s="162">
        <f>ROUND(V4*W4,2)</f>
        <v>18.4</v>
      </c>
      <c r="Y4" s="162">
        <v>0.002</v>
      </c>
      <c r="Z4" s="162">
        <f>ROUND(V4*Y4,2)</f>
        <v>4.6</v>
      </c>
      <c r="AA4" s="162"/>
      <c r="AB4" s="162"/>
      <c r="AC4" s="162"/>
      <c r="AD4" s="162">
        <v>2300</v>
      </c>
      <c r="AE4" s="162">
        <v>0.0032</v>
      </c>
      <c r="AF4" s="162">
        <f>ROUND(AD4*AE4,2)</f>
        <v>7.36</v>
      </c>
      <c r="AG4" s="162">
        <v>2300</v>
      </c>
      <c r="AH4" s="162">
        <v>0.05</v>
      </c>
      <c r="AI4" s="162">
        <f>ROUND(AG4*AH4,2)</f>
        <v>115</v>
      </c>
      <c r="AJ4" s="162">
        <v>0.05</v>
      </c>
      <c r="AK4" s="162">
        <f>ROUND(AG4*AJ4,2)</f>
        <v>115</v>
      </c>
      <c r="AL4" s="207"/>
      <c r="AM4" s="162"/>
      <c r="AN4" s="162"/>
      <c r="AO4" s="162"/>
      <c r="AP4" s="163"/>
      <c r="AQ4" s="213">
        <f>ROUND(12024*0.0026,2)</f>
        <v>31.26</v>
      </c>
      <c r="AR4" s="213"/>
      <c r="AS4" s="206">
        <f>N4+S4+X4+AC4+AF4+AN4+AQ4</f>
        <v>1185.45</v>
      </c>
      <c r="AT4" s="206">
        <f>P4+U4+Z4+AR4</f>
        <v>540.8</v>
      </c>
      <c r="AU4" s="206">
        <f>AI4</f>
        <v>115</v>
      </c>
      <c r="AV4" s="206">
        <f>AK4</f>
        <v>115</v>
      </c>
      <c r="AW4" s="206">
        <f>AV4+AS4+AT4+AU4</f>
        <v>1956.25</v>
      </c>
      <c r="AX4" s="225">
        <f>AS4+AT4</f>
        <v>1726.25</v>
      </c>
      <c r="AY4" s="225"/>
      <c r="AZ4" s="225">
        <f>AU4+AV4</f>
        <v>230</v>
      </c>
      <c r="BA4" s="225"/>
      <c r="BB4" s="226">
        <v>80</v>
      </c>
      <c r="BC4" s="225">
        <f>AX4+AZ4+BB4</f>
        <v>2036.25</v>
      </c>
      <c r="BD4" s="227"/>
      <c r="BE4" s="248"/>
      <c r="BF4" s="248"/>
      <c r="BG4" s="248"/>
      <c r="BH4" s="248"/>
    </row>
    <row r="5" s="149" customFormat="1" ht="20" customHeight="1" spans="1:60">
      <c r="A5" s="162">
        <v>3</v>
      </c>
      <c r="B5" s="163" t="s">
        <v>39</v>
      </c>
      <c r="C5" s="164" t="s">
        <v>104</v>
      </c>
      <c r="D5" s="163" t="s">
        <v>41</v>
      </c>
      <c r="E5" s="163" t="s">
        <v>51</v>
      </c>
      <c r="F5" s="165" t="s">
        <v>105</v>
      </c>
      <c r="G5" s="380" t="s">
        <v>106</v>
      </c>
      <c r="H5" s="163">
        <v>202208</v>
      </c>
      <c r="I5" s="163" t="s">
        <v>107</v>
      </c>
      <c r="J5" s="163" t="s">
        <v>100</v>
      </c>
      <c r="K5" s="163" t="s">
        <v>100</v>
      </c>
      <c r="L5" s="162">
        <v>7310</v>
      </c>
      <c r="M5" s="162">
        <v>0.16</v>
      </c>
      <c r="N5" s="162">
        <f t="shared" ref="N5:N20" si="0">ROUND(L5*M5,2)</f>
        <v>1169.6</v>
      </c>
      <c r="O5" s="162">
        <v>0.08</v>
      </c>
      <c r="P5" s="162">
        <f t="shared" ref="P5:P20" si="1">ROUND(L5*O5,2)</f>
        <v>584.8</v>
      </c>
      <c r="Q5" s="162">
        <v>7310</v>
      </c>
      <c r="R5" s="162">
        <v>0.1</v>
      </c>
      <c r="S5" s="162">
        <f t="shared" ref="S5:S29" si="2">ROUND(Q5*R5,2)</f>
        <v>731</v>
      </c>
      <c r="T5" s="162">
        <v>0.02</v>
      </c>
      <c r="U5" s="162">
        <f t="shared" ref="U5:U29" si="3">ROUND(Q5*T5,2)</f>
        <v>146.2</v>
      </c>
      <c r="V5" s="162">
        <v>7310</v>
      </c>
      <c r="W5" s="162">
        <v>0.005</v>
      </c>
      <c r="X5" s="162">
        <f t="shared" ref="X5:X20" si="4">ROUND(V5*W5,2)</f>
        <v>36.55</v>
      </c>
      <c r="Y5" s="162">
        <v>0.005</v>
      </c>
      <c r="Z5" s="162">
        <f t="shared" ref="Z5:Z20" si="5">ROUND(V5*Y5,2)</f>
        <v>36.55</v>
      </c>
      <c r="AA5" s="162"/>
      <c r="AB5" s="162"/>
      <c r="AC5" s="162"/>
      <c r="AD5" s="162">
        <v>7310</v>
      </c>
      <c r="AE5" s="162">
        <v>0.00256</v>
      </c>
      <c r="AF5" s="162">
        <f t="shared" ref="AF5:AF20" si="6">ROUND(AD5*AE5,2)</f>
        <v>18.71</v>
      </c>
      <c r="AG5" s="162">
        <v>2590</v>
      </c>
      <c r="AH5" s="162">
        <v>0.07</v>
      </c>
      <c r="AI5" s="162">
        <f>ROUND(AG5*AH5,0)</f>
        <v>181</v>
      </c>
      <c r="AJ5" s="162">
        <v>0.07</v>
      </c>
      <c r="AK5" s="162">
        <f>ROUND(AG5*AJ5,0)</f>
        <v>181</v>
      </c>
      <c r="AL5" s="207"/>
      <c r="AM5" s="162"/>
      <c r="AN5" s="162">
        <f>ROUND(L5*1.5%,1)</f>
        <v>109.7</v>
      </c>
      <c r="AO5" s="162"/>
      <c r="AP5" s="163"/>
      <c r="AQ5" s="213"/>
      <c r="AR5" s="213"/>
      <c r="AS5" s="206">
        <f t="shared" ref="AS5:AS29" si="7">N5+S5+X5+AC5+AF5+AN5+AQ5</f>
        <v>2065.56</v>
      </c>
      <c r="AT5" s="206">
        <f t="shared" ref="AT5:AT29" si="8">P5+U5+Z5+AR5</f>
        <v>767.55</v>
      </c>
      <c r="AU5" s="206">
        <f t="shared" ref="AU5:AU29" si="9">AI5</f>
        <v>181</v>
      </c>
      <c r="AV5" s="206">
        <f t="shared" ref="AV5:AV29" si="10">AK5</f>
        <v>181</v>
      </c>
      <c r="AW5" s="206">
        <f t="shared" ref="AW5:AW29" si="11">AV5+AS5+AT5+AU5</f>
        <v>3195.11</v>
      </c>
      <c r="AX5" s="225">
        <f t="shared" ref="AX5:AX29" si="12">AS5+AT5</f>
        <v>2833.11</v>
      </c>
      <c r="AY5" s="225"/>
      <c r="AZ5" s="225">
        <f t="shared" ref="AZ5:AZ29" si="13">AU5+AV5</f>
        <v>362</v>
      </c>
      <c r="BA5" s="225"/>
      <c r="BB5" s="226">
        <v>80</v>
      </c>
      <c r="BC5" s="225">
        <f t="shared" ref="BC5:BC29" si="14">AX5+AZ5+BB5</f>
        <v>3275.11</v>
      </c>
      <c r="BD5" s="228"/>
      <c r="BE5" s="248"/>
      <c r="BF5" s="248"/>
      <c r="BG5" s="248"/>
      <c r="BH5" s="248"/>
    </row>
    <row r="6" s="149" customFormat="1" ht="20" customHeight="1" spans="1:60">
      <c r="A6" s="162">
        <v>4</v>
      </c>
      <c r="B6" s="163" t="s">
        <v>39</v>
      </c>
      <c r="C6" s="164" t="s">
        <v>108</v>
      </c>
      <c r="D6" s="163" t="s">
        <v>41</v>
      </c>
      <c r="E6" s="163" t="s">
        <v>51</v>
      </c>
      <c r="F6" s="165" t="s">
        <v>109</v>
      </c>
      <c r="G6" s="380" t="s">
        <v>110</v>
      </c>
      <c r="H6" s="163">
        <v>202208</v>
      </c>
      <c r="I6" s="163">
        <v>202208</v>
      </c>
      <c r="J6" s="163" t="s">
        <v>111</v>
      </c>
      <c r="K6" s="163" t="s">
        <v>111</v>
      </c>
      <c r="L6" s="162">
        <v>4019</v>
      </c>
      <c r="M6" s="162">
        <v>0.16</v>
      </c>
      <c r="N6" s="162">
        <f t="shared" si="0"/>
        <v>643.04</v>
      </c>
      <c r="O6" s="162">
        <v>0.08</v>
      </c>
      <c r="P6" s="162">
        <f t="shared" si="1"/>
        <v>321.52</v>
      </c>
      <c r="Q6" s="162">
        <v>4019</v>
      </c>
      <c r="R6" s="162">
        <v>0.088</v>
      </c>
      <c r="S6" s="162">
        <f t="shared" si="2"/>
        <v>353.67</v>
      </c>
      <c r="T6" s="162">
        <v>0.02</v>
      </c>
      <c r="U6" s="162">
        <f t="shared" si="3"/>
        <v>80.38</v>
      </c>
      <c r="V6" s="162">
        <v>4019</v>
      </c>
      <c r="W6" s="162">
        <v>0.005</v>
      </c>
      <c r="X6" s="162">
        <f t="shared" si="4"/>
        <v>20.1</v>
      </c>
      <c r="Y6" s="162">
        <v>0.005</v>
      </c>
      <c r="Z6" s="162">
        <f t="shared" si="5"/>
        <v>20.1</v>
      </c>
      <c r="AA6" s="162"/>
      <c r="AB6" s="162"/>
      <c r="AC6" s="162"/>
      <c r="AD6" s="162">
        <v>4019</v>
      </c>
      <c r="AE6" s="162">
        <v>0.0032</v>
      </c>
      <c r="AF6" s="162">
        <f t="shared" si="6"/>
        <v>12.86</v>
      </c>
      <c r="AG6" s="162">
        <v>1930</v>
      </c>
      <c r="AH6" s="162">
        <v>0.05</v>
      </c>
      <c r="AI6" s="162">
        <f>ROUND(AG6*AH6,0)</f>
        <v>97</v>
      </c>
      <c r="AJ6" s="162">
        <v>0.05</v>
      </c>
      <c r="AK6" s="162">
        <f>ROUND(AG6*AJ6,0)</f>
        <v>97</v>
      </c>
      <c r="AL6" s="207"/>
      <c r="AM6" s="162"/>
      <c r="AN6" s="162"/>
      <c r="AO6" s="162"/>
      <c r="AP6" s="163"/>
      <c r="AQ6" s="213">
        <v>14</v>
      </c>
      <c r="AR6" s="213">
        <v>8</v>
      </c>
      <c r="AS6" s="206">
        <f t="shared" si="7"/>
        <v>1043.67</v>
      </c>
      <c r="AT6" s="206">
        <f t="shared" si="8"/>
        <v>430</v>
      </c>
      <c r="AU6" s="206">
        <f t="shared" si="9"/>
        <v>97</v>
      </c>
      <c r="AV6" s="206">
        <f t="shared" si="10"/>
        <v>97</v>
      </c>
      <c r="AW6" s="206">
        <f t="shared" si="11"/>
        <v>1667.67</v>
      </c>
      <c r="AX6" s="225">
        <f t="shared" si="12"/>
        <v>1473.67</v>
      </c>
      <c r="AY6" s="225"/>
      <c r="AZ6" s="225">
        <f t="shared" si="13"/>
        <v>194</v>
      </c>
      <c r="BA6" s="225"/>
      <c r="BB6" s="226">
        <v>80</v>
      </c>
      <c r="BC6" s="225">
        <f t="shared" si="14"/>
        <v>1747.67</v>
      </c>
      <c r="BD6" s="229" t="s">
        <v>112</v>
      </c>
      <c r="BE6" s="248"/>
      <c r="BF6" s="248"/>
      <c r="BG6" s="248"/>
      <c r="BH6" s="248"/>
    </row>
    <row r="7" s="149" customFormat="1" ht="20" customHeight="1" spans="1:60">
      <c r="A7" s="162">
        <v>5</v>
      </c>
      <c r="B7" s="163" t="s">
        <v>39</v>
      </c>
      <c r="C7" s="164" t="s">
        <v>108</v>
      </c>
      <c r="D7" s="163" t="s">
        <v>41</v>
      </c>
      <c r="E7" s="163" t="s">
        <v>51</v>
      </c>
      <c r="F7" s="165" t="s">
        <v>113</v>
      </c>
      <c r="G7" s="380" t="s">
        <v>114</v>
      </c>
      <c r="H7" s="163" t="s">
        <v>115</v>
      </c>
      <c r="I7" s="163" t="s">
        <v>115</v>
      </c>
      <c r="J7" s="163" t="s">
        <v>111</v>
      </c>
      <c r="K7" s="163" t="s">
        <v>111</v>
      </c>
      <c r="L7" s="162">
        <v>4019</v>
      </c>
      <c r="M7" s="162">
        <v>0.16</v>
      </c>
      <c r="N7" s="162">
        <f t="shared" si="0"/>
        <v>643.04</v>
      </c>
      <c r="O7" s="162">
        <v>0.08</v>
      </c>
      <c r="P7" s="162">
        <f t="shared" si="1"/>
        <v>321.52</v>
      </c>
      <c r="Q7" s="162">
        <v>4019</v>
      </c>
      <c r="R7" s="162">
        <v>0.088</v>
      </c>
      <c r="S7" s="162">
        <f t="shared" si="2"/>
        <v>353.67</v>
      </c>
      <c r="T7" s="162">
        <v>0.02</v>
      </c>
      <c r="U7" s="162">
        <f t="shared" si="3"/>
        <v>80.38</v>
      </c>
      <c r="V7" s="162">
        <v>4019</v>
      </c>
      <c r="W7" s="197">
        <v>0.005</v>
      </c>
      <c r="X7" s="162">
        <f t="shared" si="4"/>
        <v>20.1</v>
      </c>
      <c r="Y7" s="197">
        <v>0.005</v>
      </c>
      <c r="Z7" s="162">
        <f t="shared" si="5"/>
        <v>20.1</v>
      </c>
      <c r="AA7" s="162"/>
      <c r="AB7" s="162"/>
      <c r="AC7" s="162"/>
      <c r="AD7" s="162">
        <v>4019</v>
      </c>
      <c r="AE7" s="162">
        <v>0.0032</v>
      </c>
      <c r="AF7" s="162">
        <f t="shared" si="6"/>
        <v>12.86</v>
      </c>
      <c r="AG7" s="162">
        <v>1930</v>
      </c>
      <c r="AH7" s="162">
        <v>0.05</v>
      </c>
      <c r="AI7" s="162">
        <f>ROUND(AG7*AH7,0)</f>
        <v>97</v>
      </c>
      <c r="AJ7" s="162">
        <v>0.05</v>
      </c>
      <c r="AK7" s="162">
        <f>ROUND(AG7*AJ7,0)</f>
        <v>97</v>
      </c>
      <c r="AL7" s="207"/>
      <c r="AM7" s="162"/>
      <c r="AN7" s="162"/>
      <c r="AO7" s="162"/>
      <c r="AP7" s="163"/>
      <c r="AQ7" s="213">
        <v>14</v>
      </c>
      <c r="AR7" s="213">
        <v>8</v>
      </c>
      <c r="AS7" s="206">
        <f t="shared" si="7"/>
        <v>1043.67</v>
      </c>
      <c r="AT7" s="206">
        <f t="shared" si="8"/>
        <v>430</v>
      </c>
      <c r="AU7" s="206">
        <f t="shared" si="9"/>
        <v>97</v>
      </c>
      <c r="AV7" s="206">
        <f t="shared" si="10"/>
        <v>97</v>
      </c>
      <c r="AW7" s="206">
        <f t="shared" si="11"/>
        <v>1667.67</v>
      </c>
      <c r="AX7" s="225">
        <f t="shared" si="12"/>
        <v>1473.67</v>
      </c>
      <c r="AY7" s="225"/>
      <c r="AZ7" s="225">
        <f t="shared" si="13"/>
        <v>194</v>
      </c>
      <c r="BA7" s="225"/>
      <c r="BB7" s="226">
        <v>80</v>
      </c>
      <c r="BC7" s="225">
        <f t="shared" si="14"/>
        <v>1747.67</v>
      </c>
      <c r="BD7" s="229" t="s">
        <v>112</v>
      </c>
      <c r="BE7" s="248"/>
      <c r="BF7" s="248"/>
      <c r="BG7" s="248"/>
      <c r="BH7" s="248"/>
    </row>
    <row r="8" s="149" customFormat="1" ht="19.5" customHeight="1" spans="1:60">
      <c r="A8" s="162">
        <v>6</v>
      </c>
      <c r="B8" s="163" t="s">
        <v>39</v>
      </c>
      <c r="C8" s="164" t="s">
        <v>116</v>
      </c>
      <c r="D8" s="163" t="s">
        <v>41</v>
      </c>
      <c r="E8" s="163" t="s">
        <v>51</v>
      </c>
      <c r="F8" s="165" t="s">
        <v>117</v>
      </c>
      <c r="G8" s="380" t="s">
        <v>118</v>
      </c>
      <c r="H8" s="163">
        <v>202208</v>
      </c>
      <c r="I8" s="163">
        <v>202208</v>
      </c>
      <c r="J8" s="163" t="s">
        <v>111</v>
      </c>
      <c r="K8" s="163" t="s">
        <v>111</v>
      </c>
      <c r="L8" s="162">
        <v>4019</v>
      </c>
      <c r="M8" s="162">
        <v>0.16</v>
      </c>
      <c r="N8" s="162">
        <f t="shared" si="0"/>
        <v>643.04</v>
      </c>
      <c r="O8" s="162">
        <v>0.08</v>
      </c>
      <c r="P8" s="162">
        <f t="shared" si="1"/>
        <v>321.52</v>
      </c>
      <c r="Q8" s="162">
        <v>4019</v>
      </c>
      <c r="R8" s="162">
        <v>0.069</v>
      </c>
      <c r="S8" s="162">
        <f t="shared" si="2"/>
        <v>277.31</v>
      </c>
      <c r="T8" s="162">
        <v>0.02</v>
      </c>
      <c r="U8" s="162">
        <f t="shared" si="3"/>
        <v>80.38</v>
      </c>
      <c r="V8" s="162">
        <v>4019</v>
      </c>
      <c r="W8" s="162">
        <v>0.005</v>
      </c>
      <c r="X8" s="162">
        <f t="shared" si="4"/>
        <v>20.1</v>
      </c>
      <c r="Y8" s="162">
        <v>0.005</v>
      </c>
      <c r="Z8" s="162">
        <f t="shared" si="5"/>
        <v>20.1</v>
      </c>
      <c r="AA8" s="162"/>
      <c r="AB8" s="162"/>
      <c r="AC8" s="162"/>
      <c r="AD8" s="162">
        <v>4019</v>
      </c>
      <c r="AE8" s="162">
        <v>0.004</v>
      </c>
      <c r="AF8" s="162">
        <f t="shared" si="6"/>
        <v>16.08</v>
      </c>
      <c r="AG8" s="162">
        <v>3440</v>
      </c>
      <c r="AH8" s="162">
        <v>0.05</v>
      </c>
      <c r="AI8" s="162">
        <f>ROUND(AG8*AH8,2)</f>
        <v>172</v>
      </c>
      <c r="AJ8" s="162">
        <v>0.05</v>
      </c>
      <c r="AK8" s="162">
        <f>ROUND(AG8*AJ8,2)</f>
        <v>172</v>
      </c>
      <c r="AL8" s="207"/>
      <c r="AM8" s="162"/>
      <c r="AN8" s="162"/>
      <c r="AO8" s="162"/>
      <c r="AP8" s="163"/>
      <c r="AQ8" s="213">
        <v>9</v>
      </c>
      <c r="AR8" s="213">
        <v>6</v>
      </c>
      <c r="AS8" s="206">
        <f t="shared" si="7"/>
        <v>965.53</v>
      </c>
      <c r="AT8" s="206">
        <f t="shared" si="8"/>
        <v>428</v>
      </c>
      <c r="AU8" s="206">
        <f t="shared" si="9"/>
        <v>172</v>
      </c>
      <c r="AV8" s="206">
        <f t="shared" si="10"/>
        <v>172</v>
      </c>
      <c r="AW8" s="206">
        <f t="shared" si="11"/>
        <v>1737.53</v>
      </c>
      <c r="AX8" s="225">
        <f t="shared" si="12"/>
        <v>1393.53</v>
      </c>
      <c r="AY8" s="225"/>
      <c r="AZ8" s="225">
        <f t="shared" si="13"/>
        <v>344</v>
      </c>
      <c r="BA8" s="225"/>
      <c r="BB8" s="226">
        <v>80</v>
      </c>
      <c r="BC8" s="225">
        <f t="shared" si="14"/>
        <v>1817.53</v>
      </c>
      <c r="BD8" s="229" t="s">
        <v>112</v>
      </c>
      <c r="BE8" s="248"/>
      <c r="BF8" s="248"/>
      <c r="BG8" s="248"/>
      <c r="BH8" s="248"/>
    </row>
    <row r="9" s="149" customFormat="1" ht="20" customHeight="1" spans="1:60">
      <c r="A9" s="162">
        <v>7</v>
      </c>
      <c r="B9" s="163" t="s">
        <v>39</v>
      </c>
      <c r="C9" s="164" t="s">
        <v>116</v>
      </c>
      <c r="D9" s="163" t="s">
        <v>41</v>
      </c>
      <c r="E9" s="163" t="s">
        <v>51</v>
      </c>
      <c r="F9" s="165" t="s">
        <v>119</v>
      </c>
      <c r="G9" s="380" t="s">
        <v>120</v>
      </c>
      <c r="H9" s="163">
        <v>202301</v>
      </c>
      <c r="I9" s="163">
        <v>202301</v>
      </c>
      <c r="J9" s="163" t="s">
        <v>111</v>
      </c>
      <c r="K9" s="163" t="s">
        <v>111</v>
      </c>
      <c r="L9" s="162">
        <v>4019</v>
      </c>
      <c r="M9" s="162">
        <v>0.16</v>
      </c>
      <c r="N9" s="162">
        <f t="shared" si="0"/>
        <v>643.04</v>
      </c>
      <c r="O9" s="162">
        <v>0.08</v>
      </c>
      <c r="P9" s="162">
        <f t="shared" si="1"/>
        <v>321.52</v>
      </c>
      <c r="Q9" s="162">
        <v>4019</v>
      </c>
      <c r="R9" s="162">
        <v>0.069</v>
      </c>
      <c r="S9" s="162">
        <f t="shared" si="2"/>
        <v>277.31</v>
      </c>
      <c r="T9" s="162">
        <v>0.02</v>
      </c>
      <c r="U9" s="162">
        <f t="shared" si="3"/>
        <v>80.38</v>
      </c>
      <c r="V9" s="162">
        <v>4019</v>
      </c>
      <c r="W9" s="162">
        <v>0.005</v>
      </c>
      <c r="X9" s="162">
        <f t="shared" si="4"/>
        <v>20.1</v>
      </c>
      <c r="Y9" s="162">
        <v>0.005</v>
      </c>
      <c r="Z9" s="162">
        <f t="shared" si="5"/>
        <v>20.1</v>
      </c>
      <c r="AA9" s="162"/>
      <c r="AB9" s="162"/>
      <c r="AC9" s="162"/>
      <c r="AD9" s="162">
        <v>4019</v>
      </c>
      <c r="AE9" s="162">
        <v>0.004</v>
      </c>
      <c r="AF9" s="162">
        <f t="shared" si="6"/>
        <v>16.08</v>
      </c>
      <c r="AG9" s="162">
        <v>3440</v>
      </c>
      <c r="AH9" s="162">
        <v>0.05</v>
      </c>
      <c r="AI9" s="162">
        <f>ROUND(AG9*AH9,2)</f>
        <v>172</v>
      </c>
      <c r="AJ9" s="162">
        <v>0.05</v>
      </c>
      <c r="AK9" s="162">
        <f>ROUND(AG9*AJ9,2)</f>
        <v>172</v>
      </c>
      <c r="AL9" s="207"/>
      <c r="AM9" s="162"/>
      <c r="AN9" s="162"/>
      <c r="AO9" s="162"/>
      <c r="AP9" s="163"/>
      <c r="AQ9" s="213">
        <v>9</v>
      </c>
      <c r="AR9" s="213">
        <v>6</v>
      </c>
      <c r="AS9" s="206">
        <f t="shared" si="7"/>
        <v>965.53</v>
      </c>
      <c r="AT9" s="206">
        <f t="shared" si="8"/>
        <v>428</v>
      </c>
      <c r="AU9" s="206">
        <f t="shared" si="9"/>
        <v>172</v>
      </c>
      <c r="AV9" s="206">
        <f t="shared" si="10"/>
        <v>172</v>
      </c>
      <c r="AW9" s="206">
        <f t="shared" si="11"/>
        <v>1737.53</v>
      </c>
      <c r="AX9" s="225">
        <f t="shared" si="12"/>
        <v>1393.53</v>
      </c>
      <c r="AY9" s="225"/>
      <c r="AZ9" s="225">
        <f t="shared" si="13"/>
        <v>344</v>
      </c>
      <c r="BA9" s="225"/>
      <c r="BB9" s="226">
        <v>80</v>
      </c>
      <c r="BC9" s="225">
        <f t="shared" si="14"/>
        <v>1817.53</v>
      </c>
      <c r="BD9" s="229" t="s">
        <v>112</v>
      </c>
      <c r="BE9" s="248"/>
      <c r="BF9" s="248"/>
      <c r="BG9" s="248"/>
      <c r="BH9" s="248"/>
    </row>
    <row r="10" s="149" customFormat="1" ht="20" customHeight="1" spans="1:60">
      <c r="A10" s="162">
        <v>8</v>
      </c>
      <c r="B10" s="163" t="s">
        <v>39</v>
      </c>
      <c r="C10" s="164" t="s">
        <v>116</v>
      </c>
      <c r="D10" s="163" t="s">
        <v>41</v>
      </c>
      <c r="E10" s="163" t="s">
        <v>51</v>
      </c>
      <c r="F10" s="165" t="s">
        <v>121</v>
      </c>
      <c r="G10" s="380" t="s">
        <v>122</v>
      </c>
      <c r="H10" s="163">
        <v>202301</v>
      </c>
      <c r="I10" s="163">
        <v>202301</v>
      </c>
      <c r="J10" s="163" t="s">
        <v>111</v>
      </c>
      <c r="K10" s="163" t="s">
        <v>111</v>
      </c>
      <c r="L10" s="162">
        <v>4019</v>
      </c>
      <c r="M10" s="162">
        <v>0.16</v>
      </c>
      <c r="N10" s="162">
        <f t="shared" si="0"/>
        <v>643.04</v>
      </c>
      <c r="O10" s="162">
        <v>0.08</v>
      </c>
      <c r="P10" s="162">
        <f t="shared" si="1"/>
        <v>321.52</v>
      </c>
      <c r="Q10" s="162">
        <v>4019</v>
      </c>
      <c r="R10" s="162">
        <v>0.069</v>
      </c>
      <c r="S10" s="162">
        <f t="shared" si="2"/>
        <v>277.31</v>
      </c>
      <c r="T10" s="162">
        <v>0.02</v>
      </c>
      <c r="U10" s="162">
        <f t="shared" si="3"/>
        <v>80.38</v>
      </c>
      <c r="V10" s="162">
        <v>4019</v>
      </c>
      <c r="W10" s="162">
        <v>0.005</v>
      </c>
      <c r="X10" s="162">
        <f t="shared" si="4"/>
        <v>20.1</v>
      </c>
      <c r="Y10" s="162">
        <v>0.005</v>
      </c>
      <c r="Z10" s="162">
        <f t="shared" si="5"/>
        <v>20.1</v>
      </c>
      <c r="AA10" s="162"/>
      <c r="AB10" s="162"/>
      <c r="AC10" s="162"/>
      <c r="AD10" s="162">
        <v>4019</v>
      </c>
      <c r="AE10" s="162">
        <v>0.004</v>
      </c>
      <c r="AF10" s="162">
        <f t="shared" si="6"/>
        <v>16.08</v>
      </c>
      <c r="AG10" s="162">
        <v>3440</v>
      </c>
      <c r="AH10" s="162">
        <v>0.05</v>
      </c>
      <c r="AI10" s="162">
        <f>ROUND(AG10*AH10,2)</f>
        <v>172</v>
      </c>
      <c r="AJ10" s="162">
        <v>0.05</v>
      </c>
      <c r="AK10" s="162">
        <f>ROUND(AG10*AJ10,2)</f>
        <v>172</v>
      </c>
      <c r="AL10" s="207"/>
      <c r="AM10" s="162"/>
      <c r="AN10" s="162"/>
      <c r="AO10" s="162"/>
      <c r="AP10" s="163"/>
      <c r="AQ10" s="213">
        <v>9</v>
      </c>
      <c r="AR10" s="213">
        <v>6</v>
      </c>
      <c r="AS10" s="206">
        <f t="shared" si="7"/>
        <v>965.53</v>
      </c>
      <c r="AT10" s="206">
        <f t="shared" si="8"/>
        <v>428</v>
      </c>
      <c r="AU10" s="206">
        <f t="shared" si="9"/>
        <v>172</v>
      </c>
      <c r="AV10" s="206">
        <f t="shared" si="10"/>
        <v>172</v>
      </c>
      <c r="AW10" s="206">
        <f t="shared" si="11"/>
        <v>1737.53</v>
      </c>
      <c r="AX10" s="225">
        <f t="shared" si="12"/>
        <v>1393.53</v>
      </c>
      <c r="AY10" s="225"/>
      <c r="AZ10" s="225">
        <f t="shared" si="13"/>
        <v>344</v>
      </c>
      <c r="BA10" s="225"/>
      <c r="BB10" s="226">
        <v>80</v>
      </c>
      <c r="BC10" s="225">
        <f t="shared" si="14"/>
        <v>1817.53</v>
      </c>
      <c r="BD10" s="229" t="s">
        <v>112</v>
      </c>
      <c r="BE10" s="248"/>
      <c r="BF10" s="248"/>
      <c r="BG10" s="248"/>
      <c r="BH10" s="248"/>
    </row>
    <row r="11" s="149" customFormat="1" ht="19.5" customHeight="1" spans="1:60">
      <c r="A11" s="162">
        <v>9</v>
      </c>
      <c r="B11" s="163" t="s">
        <v>39</v>
      </c>
      <c r="C11" s="164" t="s">
        <v>123</v>
      </c>
      <c r="D11" s="163" t="s">
        <v>41</v>
      </c>
      <c r="E11" s="163" t="s">
        <v>51</v>
      </c>
      <c r="F11" s="165" t="s">
        <v>124</v>
      </c>
      <c r="G11" s="380" t="s">
        <v>125</v>
      </c>
      <c r="H11" s="163">
        <v>202212</v>
      </c>
      <c r="I11" s="163">
        <v>202212</v>
      </c>
      <c r="J11" s="163" t="s">
        <v>111</v>
      </c>
      <c r="K11" s="163" t="s">
        <v>111</v>
      </c>
      <c r="L11" s="162">
        <v>4019</v>
      </c>
      <c r="M11" s="162">
        <v>0.16</v>
      </c>
      <c r="N11" s="162">
        <f t="shared" si="0"/>
        <v>643.04</v>
      </c>
      <c r="O11" s="162">
        <v>0.08</v>
      </c>
      <c r="P11" s="162">
        <f t="shared" si="1"/>
        <v>321.52</v>
      </c>
      <c r="Q11" s="162">
        <v>4019</v>
      </c>
      <c r="R11" s="162">
        <v>0.07</v>
      </c>
      <c r="S11" s="162">
        <f t="shared" si="2"/>
        <v>281.33</v>
      </c>
      <c r="T11" s="162">
        <v>0.02</v>
      </c>
      <c r="U11" s="162">
        <f t="shared" si="3"/>
        <v>80.38</v>
      </c>
      <c r="V11" s="162">
        <v>4019</v>
      </c>
      <c r="W11" s="162">
        <v>0.005</v>
      </c>
      <c r="X11" s="162">
        <f t="shared" si="4"/>
        <v>20.1</v>
      </c>
      <c r="Y11" s="162">
        <v>0.005</v>
      </c>
      <c r="Z11" s="162">
        <f t="shared" si="5"/>
        <v>20.1</v>
      </c>
      <c r="AA11" s="162"/>
      <c r="AB11" s="162"/>
      <c r="AC11" s="162"/>
      <c r="AD11" s="162">
        <v>4019</v>
      </c>
      <c r="AE11" s="162">
        <v>0.0048</v>
      </c>
      <c r="AF11" s="162">
        <f t="shared" si="6"/>
        <v>19.29</v>
      </c>
      <c r="AG11" s="162">
        <v>1930</v>
      </c>
      <c r="AH11" s="162">
        <v>0.05</v>
      </c>
      <c r="AI11" s="162">
        <f t="shared" ref="AI11:AI14" si="15">ROUND(AG11*AH11,0)</f>
        <v>97</v>
      </c>
      <c r="AJ11" s="162">
        <v>0.05</v>
      </c>
      <c r="AK11" s="162">
        <f t="shared" ref="AK11:AK14" si="16">ROUND(AG11*AJ11,0)</f>
        <v>97</v>
      </c>
      <c r="AL11" s="207"/>
      <c r="AM11" s="162"/>
      <c r="AN11" s="162"/>
      <c r="AO11" s="162"/>
      <c r="AP11" s="163"/>
      <c r="AQ11" s="213"/>
      <c r="AR11" s="213">
        <v>35.85</v>
      </c>
      <c r="AS11" s="206">
        <f t="shared" si="7"/>
        <v>963.76</v>
      </c>
      <c r="AT11" s="206">
        <f t="shared" si="8"/>
        <v>457.85</v>
      </c>
      <c r="AU11" s="206">
        <f t="shared" si="9"/>
        <v>97</v>
      </c>
      <c r="AV11" s="206">
        <f t="shared" si="10"/>
        <v>97</v>
      </c>
      <c r="AW11" s="206">
        <f t="shared" si="11"/>
        <v>1615.61</v>
      </c>
      <c r="AX11" s="225">
        <f t="shared" si="12"/>
        <v>1421.61</v>
      </c>
      <c r="AY11" s="225"/>
      <c r="AZ11" s="225">
        <f t="shared" si="13"/>
        <v>194</v>
      </c>
      <c r="BA11" s="225"/>
      <c r="BB11" s="226">
        <v>80</v>
      </c>
      <c r="BC11" s="225">
        <f t="shared" si="14"/>
        <v>1695.61</v>
      </c>
      <c r="BD11" s="229" t="s">
        <v>112</v>
      </c>
      <c r="BE11" s="248"/>
      <c r="BF11" s="248"/>
      <c r="BG11" s="248"/>
      <c r="BH11" s="248"/>
    </row>
    <row r="12" s="149" customFormat="1" ht="19.5" customHeight="1" spans="1:60">
      <c r="A12" s="162">
        <v>10</v>
      </c>
      <c r="B12" s="163" t="s">
        <v>39</v>
      </c>
      <c r="C12" s="164" t="s">
        <v>123</v>
      </c>
      <c r="D12" s="163" t="s">
        <v>41</v>
      </c>
      <c r="E12" s="163" t="s">
        <v>51</v>
      </c>
      <c r="F12" s="165" t="s">
        <v>126</v>
      </c>
      <c r="G12" s="380" t="s">
        <v>127</v>
      </c>
      <c r="H12" s="163">
        <v>202301</v>
      </c>
      <c r="I12" s="163">
        <v>202301</v>
      </c>
      <c r="J12" s="163" t="s">
        <v>111</v>
      </c>
      <c r="K12" s="163" t="s">
        <v>111</v>
      </c>
      <c r="L12" s="162">
        <v>4019</v>
      </c>
      <c r="M12" s="162">
        <v>0.16</v>
      </c>
      <c r="N12" s="162">
        <f t="shared" si="0"/>
        <v>643.04</v>
      </c>
      <c r="O12" s="162">
        <v>0.08</v>
      </c>
      <c r="P12" s="162">
        <f t="shared" si="1"/>
        <v>321.52</v>
      </c>
      <c r="Q12" s="162">
        <v>4019</v>
      </c>
      <c r="R12" s="162">
        <v>0.07</v>
      </c>
      <c r="S12" s="162">
        <f t="shared" si="2"/>
        <v>281.33</v>
      </c>
      <c r="T12" s="162">
        <v>0.02</v>
      </c>
      <c r="U12" s="162">
        <f t="shared" si="3"/>
        <v>80.38</v>
      </c>
      <c r="V12" s="162">
        <v>4019</v>
      </c>
      <c r="W12" s="162">
        <v>0.005</v>
      </c>
      <c r="X12" s="162">
        <f t="shared" si="4"/>
        <v>20.1</v>
      </c>
      <c r="Y12" s="162">
        <v>0.005</v>
      </c>
      <c r="Z12" s="162">
        <f t="shared" si="5"/>
        <v>20.1</v>
      </c>
      <c r="AA12" s="162"/>
      <c r="AB12" s="162"/>
      <c r="AC12" s="162"/>
      <c r="AD12" s="162">
        <v>4019</v>
      </c>
      <c r="AE12" s="162">
        <v>0.0048</v>
      </c>
      <c r="AF12" s="162">
        <f t="shared" si="6"/>
        <v>19.29</v>
      </c>
      <c r="AG12" s="162">
        <v>1930</v>
      </c>
      <c r="AH12" s="162">
        <v>0.05</v>
      </c>
      <c r="AI12" s="162">
        <f t="shared" si="15"/>
        <v>97</v>
      </c>
      <c r="AJ12" s="162">
        <v>0.05</v>
      </c>
      <c r="AK12" s="162">
        <f t="shared" si="16"/>
        <v>97</v>
      </c>
      <c r="AL12" s="207"/>
      <c r="AM12" s="162"/>
      <c r="AN12" s="162"/>
      <c r="AO12" s="162"/>
      <c r="AP12" s="163"/>
      <c r="AQ12" s="213"/>
      <c r="AR12" s="213">
        <v>35.85</v>
      </c>
      <c r="AS12" s="206">
        <f t="shared" si="7"/>
        <v>963.76</v>
      </c>
      <c r="AT12" s="206">
        <f t="shared" si="8"/>
        <v>457.85</v>
      </c>
      <c r="AU12" s="206">
        <f t="shared" si="9"/>
        <v>97</v>
      </c>
      <c r="AV12" s="206">
        <f t="shared" si="10"/>
        <v>97</v>
      </c>
      <c r="AW12" s="206">
        <f t="shared" si="11"/>
        <v>1615.61</v>
      </c>
      <c r="AX12" s="225">
        <f t="shared" si="12"/>
        <v>1421.61</v>
      </c>
      <c r="AY12" s="225"/>
      <c r="AZ12" s="225">
        <f t="shared" si="13"/>
        <v>194</v>
      </c>
      <c r="BA12" s="225"/>
      <c r="BB12" s="226">
        <v>80</v>
      </c>
      <c r="BC12" s="225">
        <f t="shared" si="14"/>
        <v>1695.61</v>
      </c>
      <c r="BD12" s="229" t="s">
        <v>112</v>
      </c>
      <c r="BE12" s="248"/>
      <c r="BF12" s="248"/>
      <c r="BG12" s="248"/>
      <c r="BH12" s="248"/>
    </row>
    <row r="13" s="150" customFormat="1" ht="20" customHeight="1" spans="1:60">
      <c r="A13" s="167" t="s">
        <v>55</v>
      </c>
      <c r="B13" s="168" t="s">
        <v>39</v>
      </c>
      <c r="C13" s="169" t="s">
        <v>108</v>
      </c>
      <c r="D13" s="168" t="s">
        <v>41</v>
      </c>
      <c r="E13" s="168" t="s">
        <v>51</v>
      </c>
      <c r="F13" s="170" t="s">
        <v>109</v>
      </c>
      <c r="G13" s="382" t="s">
        <v>110</v>
      </c>
      <c r="H13" s="168">
        <v>202208</v>
      </c>
      <c r="I13" s="168">
        <v>202208</v>
      </c>
      <c r="J13" s="168" t="s">
        <v>128</v>
      </c>
      <c r="K13" s="168"/>
      <c r="L13" s="167">
        <f>10*(4019-3832)</f>
        <v>1870</v>
      </c>
      <c r="M13" s="167">
        <v>0.16</v>
      </c>
      <c r="N13" s="167">
        <f t="shared" si="0"/>
        <v>299.2</v>
      </c>
      <c r="O13" s="167">
        <v>0.08</v>
      </c>
      <c r="P13" s="167">
        <f t="shared" si="1"/>
        <v>149.6</v>
      </c>
      <c r="Q13" s="167">
        <f t="shared" ref="Q13:Q19" si="17">10*(4019-3832)</f>
        <v>1870</v>
      </c>
      <c r="R13" s="167">
        <v>0.088</v>
      </c>
      <c r="S13" s="167">
        <f t="shared" si="2"/>
        <v>164.56</v>
      </c>
      <c r="T13" s="167">
        <v>0.02</v>
      </c>
      <c r="U13" s="167">
        <f t="shared" si="3"/>
        <v>37.4</v>
      </c>
      <c r="V13" s="167">
        <f t="shared" ref="V13:V19" si="18">10*(4019-3832)</f>
        <v>1870</v>
      </c>
      <c r="W13" s="167">
        <v>0.005</v>
      </c>
      <c r="X13" s="167">
        <f t="shared" si="4"/>
        <v>9.35</v>
      </c>
      <c r="Y13" s="167">
        <v>0.005</v>
      </c>
      <c r="Z13" s="167">
        <f t="shared" si="5"/>
        <v>9.35</v>
      </c>
      <c r="AA13" s="167"/>
      <c r="AB13" s="167"/>
      <c r="AC13" s="167"/>
      <c r="AD13" s="167">
        <f t="shared" ref="AD13:AD19" si="19">10*(4019-3832)</f>
        <v>1870</v>
      </c>
      <c r="AE13" s="167">
        <v>0.0032</v>
      </c>
      <c r="AF13" s="167">
        <f t="shared" si="6"/>
        <v>5.98</v>
      </c>
      <c r="AG13" s="167"/>
      <c r="AH13" s="167"/>
      <c r="AI13" s="167"/>
      <c r="AJ13" s="167"/>
      <c r="AK13" s="167"/>
      <c r="AL13" s="208"/>
      <c r="AM13" s="167"/>
      <c r="AN13" s="167"/>
      <c r="AO13" s="167"/>
      <c r="AP13" s="168"/>
      <c r="AQ13" s="214"/>
      <c r="AR13" s="214"/>
      <c r="AS13" s="215">
        <f t="shared" si="7"/>
        <v>479.09</v>
      </c>
      <c r="AT13" s="215">
        <f t="shared" si="8"/>
        <v>196.35</v>
      </c>
      <c r="AU13" s="215">
        <f t="shared" si="9"/>
        <v>0</v>
      </c>
      <c r="AV13" s="215">
        <f t="shared" si="10"/>
        <v>0</v>
      </c>
      <c r="AW13" s="215">
        <f t="shared" si="11"/>
        <v>675.44</v>
      </c>
      <c r="AX13" s="230">
        <f t="shared" si="12"/>
        <v>675.44</v>
      </c>
      <c r="AY13" s="230"/>
      <c r="AZ13" s="230">
        <f t="shared" si="13"/>
        <v>0</v>
      </c>
      <c r="BA13" s="230"/>
      <c r="BB13" s="231"/>
      <c r="BC13" s="230">
        <f t="shared" si="14"/>
        <v>675.44</v>
      </c>
      <c r="BD13" s="232" t="s">
        <v>129</v>
      </c>
      <c r="BE13" s="249"/>
      <c r="BF13" s="249"/>
      <c r="BG13" s="249"/>
      <c r="BH13" s="249"/>
    </row>
    <row r="14" s="150" customFormat="1" ht="20" customHeight="1" spans="1:60">
      <c r="A14" s="167" t="s">
        <v>55</v>
      </c>
      <c r="B14" s="168" t="s">
        <v>39</v>
      </c>
      <c r="C14" s="169" t="s">
        <v>108</v>
      </c>
      <c r="D14" s="168" t="s">
        <v>41</v>
      </c>
      <c r="E14" s="168" t="s">
        <v>51</v>
      </c>
      <c r="F14" s="170" t="s">
        <v>113</v>
      </c>
      <c r="G14" s="382" t="s">
        <v>114</v>
      </c>
      <c r="H14" s="168" t="s">
        <v>115</v>
      </c>
      <c r="I14" s="168" t="s">
        <v>115</v>
      </c>
      <c r="J14" s="168" t="s">
        <v>128</v>
      </c>
      <c r="K14" s="168"/>
      <c r="L14" s="167">
        <f t="shared" ref="L14:L19" si="20">10*(4019-3832)</f>
        <v>1870</v>
      </c>
      <c r="M14" s="167">
        <v>0.16</v>
      </c>
      <c r="N14" s="167">
        <f t="shared" si="0"/>
        <v>299.2</v>
      </c>
      <c r="O14" s="167">
        <v>0.08</v>
      </c>
      <c r="P14" s="167">
        <f t="shared" si="1"/>
        <v>149.6</v>
      </c>
      <c r="Q14" s="167">
        <f t="shared" si="17"/>
        <v>1870</v>
      </c>
      <c r="R14" s="167">
        <v>0.088</v>
      </c>
      <c r="S14" s="167">
        <f t="shared" si="2"/>
        <v>164.56</v>
      </c>
      <c r="T14" s="167">
        <v>0.02</v>
      </c>
      <c r="U14" s="167">
        <f t="shared" si="3"/>
        <v>37.4</v>
      </c>
      <c r="V14" s="167">
        <f t="shared" si="18"/>
        <v>1870</v>
      </c>
      <c r="W14" s="202">
        <v>0.005</v>
      </c>
      <c r="X14" s="167">
        <f t="shared" si="4"/>
        <v>9.35</v>
      </c>
      <c r="Y14" s="202">
        <v>0.005</v>
      </c>
      <c r="Z14" s="167">
        <f t="shared" si="5"/>
        <v>9.35</v>
      </c>
      <c r="AA14" s="167"/>
      <c r="AB14" s="167"/>
      <c r="AC14" s="167"/>
      <c r="AD14" s="167">
        <f t="shared" si="19"/>
        <v>1870</v>
      </c>
      <c r="AE14" s="167">
        <v>0.0032</v>
      </c>
      <c r="AF14" s="167">
        <f t="shared" si="6"/>
        <v>5.98</v>
      </c>
      <c r="AG14" s="167"/>
      <c r="AH14" s="167"/>
      <c r="AI14" s="167"/>
      <c r="AJ14" s="167"/>
      <c r="AK14" s="167"/>
      <c r="AL14" s="208"/>
      <c r="AM14" s="167"/>
      <c r="AN14" s="167"/>
      <c r="AO14" s="167"/>
      <c r="AP14" s="168"/>
      <c r="AQ14" s="214"/>
      <c r="AR14" s="214"/>
      <c r="AS14" s="215">
        <f t="shared" si="7"/>
        <v>479.09</v>
      </c>
      <c r="AT14" s="215">
        <f t="shared" si="8"/>
        <v>196.35</v>
      </c>
      <c r="AU14" s="215">
        <f t="shared" si="9"/>
        <v>0</v>
      </c>
      <c r="AV14" s="215">
        <f t="shared" si="10"/>
        <v>0</v>
      </c>
      <c r="AW14" s="215">
        <f t="shared" si="11"/>
        <v>675.44</v>
      </c>
      <c r="AX14" s="230">
        <f t="shared" si="12"/>
        <v>675.44</v>
      </c>
      <c r="AY14" s="230"/>
      <c r="AZ14" s="230">
        <f t="shared" si="13"/>
        <v>0</v>
      </c>
      <c r="BA14" s="230"/>
      <c r="BB14" s="231"/>
      <c r="BC14" s="230">
        <f t="shared" si="14"/>
        <v>675.44</v>
      </c>
      <c r="BD14" s="232" t="s">
        <v>129</v>
      </c>
      <c r="BE14" s="249"/>
      <c r="BF14" s="249"/>
      <c r="BG14" s="249"/>
      <c r="BH14" s="249"/>
    </row>
    <row r="15" s="150" customFormat="1" ht="19.5" customHeight="1" spans="1:60">
      <c r="A15" s="167" t="s">
        <v>55</v>
      </c>
      <c r="B15" s="168" t="s">
        <v>39</v>
      </c>
      <c r="C15" s="169" t="s">
        <v>116</v>
      </c>
      <c r="D15" s="168" t="s">
        <v>41</v>
      </c>
      <c r="E15" s="168" t="s">
        <v>51</v>
      </c>
      <c r="F15" s="170" t="s">
        <v>117</v>
      </c>
      <c r="G15" s="382" t="s">
        <v>118</v>
      </c>
      <c r="H15" s="168">
        <v>202208</v>
      </c>
      <c r="I15" s="168">
        <v>202208</v>
      </c>
      <c r="J15" s="168" t="s">
        <v>128</v>
      </c>
      <c r="K15" s="168"/>
      <c r="L15" s="167">
        <f t="shared" si="20"/>
        <v>1870</v>
      </c>
      <c r="M15" s="167">
        <v>0.16</v>
      </c>
      <c r="N15" s="167">
        <f t="shared" si="0"/>
        <v>299.2</v>
      </c>
      <c r="O15" s="167">
        <v>0.08</v>
      </c>
      <c r="P15" s="167">
        <f t="shared" si="1"/>
        <v>149.6</v>
      </c>
      <c r="Q15" s="167">
        <f t="shared" si="17"/>
        <v>1870</v>
      </c>
      <c r="R15" s="167">
        <v>0.069</v>
      </c>
      <c r="S15" s="167">
        <f t="shared" si="2"/>
        <v>129.03</v>
      </c>
      <c r="T15" s="167">
        <v>0.02</v>
      </c>
      <c r="U15" s="167">
        <f t="shared" si="3"/>
        <v>37.4</v>
      </c>
      <c r="V15" s="167">
        <f t="shared" si="18"/>
        <v>1870</v>
      </c>
      <c r="W15" s="167">
        <v>0.005</v>
      </c>
      <c r="X15" s="167">
        <f t="shared" si="4"/>
        <v>9.35</v>
      </c>
      <c r="Y15" s="167">
        <v>0.005</v>
      </c>
      <c r="Z15" s="167">
        <f t="shared" si="5"/>
        <v>9.35</v>
      </c>
      <c r="AA15" s="167"/>
      <c r="AB15" s="167"/>
      <c r="AC15" s="167"/>
      <c r="AD15" s="167">
        <f t="shared" si="19"/>
        <v>1870</v>
      </c>
      <c r="AE15" s="167">
        <v>0.004</v>
      </c>
      <c r="AF15" s="167">
        <f t="shared" si="6"/>
        <v>7.48</v>
      </c>
      <c r="AG15" s="167"/>
      <c r="AH15" s="167"/>
      <c r="AI15" s="167"/>
      <c r="AJ15" s="167"/>
      <c r="AK15" s="167"/>
      <c r="AL15" s="208"/>
      <c r="AM15" s="167"/>
      <c r="AN15" s="167"/>
      <c r="AO15" s="167"/>
      <c r="AP15" s="168"/>
      <c r="AQ15" s="214"/>
      <c r="AR15" s="214"/>
      <c r="AS15" s="215">
        <f t="shared" si="7"/>
        <v>445.06</v>
      </c>
      <c r="AT15" s="215">
        <f t="shared" si="8"/>
        <v>196.35</v>
      </c>
      <c r="AU15" s="215">
        <f t="shared" si="9"/>
        <v>0</v>
      </c>
      <c r="AV15" s="215">
        <f t="shared" si="10"/>
        <v>0</v>
      </c>
      <c r="AW15" s="215">
        <f t="shared" si="11"/>
        <v>641.41</v>
      </c>
      <c r="AX15" s="230">
        <f t="shared" si="12"/>
        <v>641.41</v>
      </c>
      <c r="AY15" s="230"/>
      <c r="AZ15" s="230">
        <f t="shared" si="13"/>
        <v>0</v>
      </c>
      <c r="BA15" s="230"/>
      <c r="BB15" s="231"/>
      <c r="BC15" s="230">
        <f t="shared" si="14"/>
        <v>641.41</v>
      </c>
      <c r="BD15" s="232" t="s">
        <v>129</v>
      </c>
      <c r="BE15" s="249"/>
      <c r="BF15" s="249"/>
      <c r="BG15" s="249"/>
      <c r="BH15" s="249"/>
    </row>
    <row r="16" s="150" customFormat="1" ht="20" customHeight="1" spans="1:60">
      <c r="A16" s="167" t="s">
        <v>55</v>
      </c>
      <c r="B16" s="168" t="s">
        <v>39</v>
      </c>
      <c r="C16" s="169" t="s">
        <v>116</v>
      </c>
      <c r="D16" s="168" t="s">
        <v>41</v>
      </c>
      <c r="E16" s="168" t="s">
        <v>51</v>
      </c>
      <c r="F16" s="170" t="s">
        <v>119</v>
      </c>
      <c r="G16" s="382" t="s">
        <v>120</v>
      </c>
      <c r="H16" s="168">
        <v>202301</v>
      </c>
      <c r="I16" s="168">
        <v>202301</v>
      </c>
      <c r="J16" s="168" t="s">
        <v>128</v>
      </c>
      <c r="K16" s="168"/>
      <c r="L16" s="167">
        <f t="shared" si="20"/>
        <v>1870</v>
      </c>
      <c r="M16" s="167">
        <v>0.16</v>
      </c>
      <c r="N16" s="167">
        <f t="shared" si="0"/>
        <v>299.2</v>
      </c>
      <c r="O16" s="167">
        <v>0.08</v>
      </c>
      <c r="P16" s="167">
        <f t="shared" si="1"/>
        <v>149.6</v>
      </c>
      <c r="Q16" s="167">
        <f t="shared" si="17"/>
        <v>1870</v>
      </c>
      <c r="R16" s="167">
        <v>0.069</v>
      </c>
      <c r="S16" s="167">
        <f t="shared" si="2"/>
        <v>129.03</v>
      </c>
      <c r="T16" s="167">
        <v>0.02</v>
      </c>
      <c r="U16" s="167">
        <f t="shared" si="3"/>
        <v>37.4</v>
      </c>
      <c r="V16" s="167">
        <f t="shared" si="18"/>
        <v>1870</v>
      </c>
      <c r="W16" s="167">
        <v>0.005</v>
      </c>
      <c r="X16" s="167">
        <f t="shared" si="4"/>
        <v>9.35</v>
      </c>
      <c r="Y16" s="167">
        <v>0.005</v>
      </c>
      <c r="Z16" s="167">
        <f t="shared" si="5"/>
        <v>9.35</v>
      </c>
      <c r="AA16" s="167"/>
      <c r="AB16" s="167"/>
      <c r="AC16" s="167"/>
      <c r="AD16" s="167">
        <f t="shared" si="19"/>
        <v>1870</v>
      </c>
      <c r="AE16" s="167">
        <v>0.004</v>
      </c>
      <c r="AF16" s="167">
        <f t="shared" si="6"/>
        <v>7.48</v>
      </c>
      <c r="AG16" s="167"/>
      <c r="AH16" s="167"/>
      <c r="AI16" s="167"/>
      <c r="AJ16" s="167"/>
      <c r="AK16" s="167"/>
      <c r="AL16" s="208"/>
      <c r="AM16" s="167"/>
      <c r="AN16" s="167"/>
      <c r="AO16" s="167"/>
      <c r="AP16" s="168"/>
      <c r="AQ16" s="214"/>
      <c r="AR16" s="214"/>
      <c r="AS16" s="215">
        <f t="shared" si="7"/>
        <v>445.06</v>
      </c>
      <c r="AT16" s="215">
        <f t="shared" si="8"/>
        <v>196.35</v>
      </c>
      <c r="AU16" s="215">
        <f t="shared" si="9"/>
        <v>0</v>
      </c>
      <c r="AV16" s="215">
        <f t="shared" si="10"/>
        <v>0</v>
      </c>
      <c r="AW16" s="215">
        <f t="shared" si="11"/>
        <v>641.41</v>
      </c>
      <c r="AX16" s="230">
        <f t="shared" si="12"/>
        <v>641.41</v>
      </c>
      <c r="AY16" s="230"/>
      <c r="AZ16" s="230">
        <f t="shared" si="13"/>
        <v>0</v>
      </c>
      <c r="BA16" s="230"/>
      <c r="BB16" s="231"/>
      <c r="BC16" s="230">
        <f t="shared" si="14"/>
        <v>641.41</v>
      </c>
      <c r="BD16" s="232" t="s">
        <v>129</v>
      </c>
      <c r="BE16" s="249"/>
      <c r="BF16" s="249"/>
      <c r="BG16" s="249"/>
      <c r="BH16" s="249"/>
    </row>
    <row r="17" s="150" customFormat="1" ht="20" customHeight="1" spans="1:60">
      <c r="A17" s="167" t="s">
        <v>55</v>
      </c>
      <c r="B17" s="168" t="s">
        <v>39</v>
      </c>
      <c r="C17" s="169" t="s">
        <v>116</v>
      </c>
      <c r="D17" s="168" t="s">
        <v>41</v>
      </c>
      <c r="E17" s="168" t="s">
        <v>51</v>
      </c>
      <c r="F17" s="170" t="s">
        <v>121</v>
      </c>
      <c r="G17" s="382" t="s">
        <v>122</v>
      </c>
      <c r="H17" s="168">
        <v>202301</v>
      </c>
      <c r="I17" s="168">
        <v>202301</v>
      </c>
      <c r="J17" s="168" t="s">
        <v>128</v>
      </c>
      <c r="K17" s="168"/>
      <c r="L17" s="167">
        <f t="shared" si="20"/>
        <v>1870</v>
      </c>
      <c r="M17" s="167">
        <v>0.16</v>
      </c>
      <c r="N17" s="167">
        <f t="shared" si="0"/>
        <v>299.2</v>
      </c>
      <c r="O17" s="167">
        <v>0.08</v>
      </c>
      <c r="P17" s="167">
        <f t="shared" si="1"/>
        <v>149.6</v>
      </c>
      <c r="Q17" s="167">
        <f t="shared" si="17"/>
        <v>1870</v>
      </c>
      <c r="R17" s="167">
        <v>0.069</v>
      </c>
      <c r="S17" s="167">
        <f t="shared" si="2"/>
        <v>129.03</v>
      </c>
      <c r="T17" s="167">
        <v>0.02</v>
      </c>
      <c r="U17" s="167">
        <f t="shared" si="3"/>
        <v>37.4</v>
      </c>
      <c r="V17" s="167">
        <f t="shared" si="18"/>
        <v>1870</v>
      </c>
      <c r="W17" s="167">
        <v>0.005</v>
      </c>
      <c r="X17" s="167">
        <f t="shared" si="4"/>
        <v>9.35</v>
      </c>
      <c r="Y17" s="167">
        <v>0.005</v>
      </c>
      <c r="Z17" s="167">
        <f t="shared" si="5"/>
        <v>9.35</v>
      </c>
      <c r="AA17" s="167"/>
      <c r="AB17" s="167"/>
      <c r="AC17" s="167"/>
      <c r="AD17" s="167">
        <f t="shared" si="19"/>
        <v>1870</v>
      </c>
      <c r="AE17" s="167">
        <v>0.004</v>
      </c>
      <c r="AF17" s="167">
        <f t="shared" si="6"/>
        <v>7.48</v>
      </c>
      <c r="AG17" s="167"/>
      <c r="AH17" s="167"/>
      <c r="AI17" s="167"/>
      <c r="AJ17" s="167"/>
      <c r="AK17" s="167"/>
      <c r="AL17" s="208"/>
      <c r="AM17" s="167"/>
      <c r="AN17" s="167"/>
      <c r="AO17" s="167"/>
      <c r="AP17" s="168"/>
      <c r="AQ17" s="214"/>
      <c r="AR17" s="214"/>
      <c r="AS17" s="215">
        <f t="shared" si="7"/>
        <v>445.06</v>
      </c>
      <c r="AT17" s="215">
        <f t="shared" si="8"/>
        <v>196.35</v>
      </c>
      <c r="AU17" s="215">
        <f t="shared" si="9"/>
        <v>0</v>
      </c>
      <c r="AV17" s="215">
        <f t="shared" si="10"/>
        <v>0</v>
      </c>
      <c r="AW17" s="215">
        <f t="shared" si="11"/>
        <v>641.41</v>
      </c>
      <c r="AX17" s="230">
        <f t="shared" si="12"/>
        <v>641.41</v>
      </c>
      <c r="AY17" s="230"/>
      <c r="AZ17" s="230">
        <f t="shared" si="13"/>
        <v>0</v>
      </c>
      <c r="BA17" s="230"/>
      <c r="BB17" s="231"/>
      <c r="BC17" s="230">
        <f t="shared" si="14"/>
        <v>641.41</v>
      </c>
      <c r="BD17" s="232" t="s">
        <v>129</v>
      </c>
      <c r="BE17" s="249"/>
      <c r="BF17" s="249"/>
      <c r="BG17" s="249"/>
      <c r="BH17" s="249"/>
    </row>
    <row r="18" s="150" customFormat="1" ht="19.5" customHeight="1" spans="1:60">
      <c r="A18" s="167" t="s">
        <v>55</v>
      </c>
      <c r="B18" s="168" t="s">
        <v>39</v>
      </c>
      <c r="C18" s="169" t="s">
        <v>123</v>
      </c>
      <c r="D18" s="168" t="s">
        <v>41</v>
      </c>
      <c r="E18" s="168" t="s">
        <v>51</v>
      </c>
      <c r="F18" s="170" t="s">
        <v>124</v>
      </c>
      <c r="G18" s="382" t="s">
        <v>125</v>
      </c>
      <c r="H18" s="168">
        <v>202212</v>
      </c>
      <c r="I18" s="168">
        <v>202212</v>
      </c>
      <c r="J18" s="168" t="s">
        <v>128</v>
      </c>
      <c r="K18" s="168"/>
      <c r="L18" s="167">
        <f t="shared" si="20"/>
        <v>1870</v>
      </c>
      <c r="M18" s="167">
        <v>0.16</v>
      </c>
      <c r="N18" s="167">
        <f t="shared" si="0"/>
        <v>299.2</v>
      </c>
      <c r="O18" s="167">
        <v>0.08</v>
      </c>
      <c r="P18" s="167">
        <f t="shared" si="1"/>
        <v>149.6</v>
      </c>
      <c r="Q18" s="167">
        <f t="shared" si="17"/>
        <v>1870</v>
      </c>
      <c r="R18" s="167">
        <v>0.07</v>
      </c>
      <c r="S18" s="167">
        <f t="shared" si="2"/>
        <v>130.9</v>
      </c>
      <c r="T18" s="167">
        <v>0.02</v>
      </c>
      <c r="U18" s="167">
        <f t="shared" si="3"/>
        <v>37.4</v>
      </c>
      <c r="V18" s="167">
        <f t="shared" si="18"/>
        <v>1870</v>
      </c>
      <c r="W18" s="167">
        <v>0.005</v>
      </c>
      <c r="X18" s="167">
        <f t="shared" si="4"/>
        <v>9.35</v>
      </c>
      <c r="Y18" s="167">
        <v>0.005</v>
      </c>
      <c r="Z18" s="167">
        <f t="shared" si="5"/>
        <v>9.35</v>
      </c>
      <c r="AA18" s="167"/>
      <c r="AB18" s="167"/>
      <c r="AC18" s="167"/>
      <c r="AD18" s="167">
        <f t="shared" si="19"/>
        <v>1870</v>
      </c>
      <c r="AE18" s="167">
        <v>0.0048</v>
      </c>
      <c r="AF18" s="167">
        <f t="shared" si="6"/>
        <v>8.98</v>
      </c>
      <c r="AG18" s="167"/>
      <c r="AH18" s="167"/>
      <c r="AI18" s="167"/>
      <c r="AJ18" s="167"/>
      <c r="AK18" s="167"/>
      <c r="AL18" s="208"/>
      <c r="AM18" s="167"/>
      <c r="AN18" s="167"/>
      <c r="AO18" s="167"/>
      <c r="AP18" s="168"/>
      <c r="AQ18" s="214"/>
      <c r="AR18" s="214"/>
      <c r="AS18" s="215">
        <f t="shared" si="7"/>
        <v>448.43</v>
      </c>
      <c r="AT18" s="215">
        <f t="shared" si="8"/>
        <v>196.35</v>
      </c>
      <c r="AU18" s="215">
        <f t="shared" si="9"/>
        <v>0</v>
      </c>
      <c r="AV18" s="215">
        <f t="shared" si="10"/>
        <v>0</v>
      </c>
      <c r="AW18" s="215">
        <f t="shared" si="11"/>
        <v>644.78</v>
      </c>
      <c r="AX18" s="230">
        <f t="shared" si="12"/>
        <v>644.78</v>
      </c>
      <c r="AY18" s="230"/>
      <c r="AZ18" s="230">
        <f t="shared" si="13"/>
        <v>0</v>
      </c>
      <c r="BA18" s="230"/>
      <c r="BB18" s="231"/>
      <c r="BC18" s="230">
        <f t="shared" si="14"/>
        <v>644.78</v>
      </c>
      <c r="BD18" s="232" t="s">
        <v>129</v>
      </c>
      <c r="BE18" s="249"/>
      <c r="BF18" s="249"/>
      <c r="BG18" s="249"/>
      <c r="BH18" s="249"/>
    </row>
    <row r="19" s="150" customFormat="1" ht="19.5" customHeight="1" spans="1:60">
      <c r="A19" s="167" t="s">
        <v>55</v>
      </c>
      <c r="B19" s="168" t="s">
        <v>39</v>
      </c>
      <c r="C19" s="169" t="s">
        <v>123</v>
      </c>
      <c r="D19" s="168" t="s">
        <v>41</v>
      </c>
      <c r="E19" s="168" t="s">
        <v>51</v>
      </c>
      <c r="F19" s="170" t="s">
        <v>126</v>
      </c>
      <c r="G19" s="382" t="s">
        <v>127</v>
      </c>
      <c r="H19" s="168">
        <v>202301</v>
      </c>
      <c r="I19" s="168">
        <v>202301</v>
      </c>
      <c r="J19" s="168" t="s">
        <v>128</v>
      </c>
      <c r="K19" s="168"/>
      <c r="L19" s="167">
        <f t="shared" si="20"/>
        <v>1870</v>
      </c>
      <c r="M19" s="167">
        <v>0.16</v>
      </c>
      <c r="N19" s="167">
        <f t="shared" si="0"/>
        <v>299.2</v>
      </c>
      <c r="O19" s="167">
        <v>0.08</v>
      </c>
      <c r="P19" s="167">
        <f t="shared" si="1"/>
        <v>149.6</v>
      </c>
      <c r="Q19" s="167">
        <f t="shared" si="17"/>
        <v>1870</v>
      </c>
      <c r="R19" s="167">
        <v>0.07</v>
      </c>
      <c r="S19" s="167">
        <f t="shared" si="2"/>
        <v>130.9</v>
      </c>
      <c r="T19" s="167">
        <v>0.02</v>
      </c>
      <c r="U19" s="167">
        <f t="shared" si="3"/>
        <v>37.4</v>
      </c>
      <c r="V19" s="167">
        <f t="shared" si="18"/>
        <v>1870</v>
      </c>
      <c r="W19" s="167">
        <v>0.005</v>
      </c>
      <c r="X19" s="167">
        <f t="shared" si="4"/>
        <v>9.35</v>
      </c>
      <c r="Y19" s="167">
        <v>0.005</v>
      </c>
      <c r="Z19" s="167">
        <f t="shared" si="5"/>
        <v>9.35</v>
      </c>
      <c r="AA19" s="167"/>
      <c r="AB19" s="167"/>
      <c r="AC19" s="167"/>
      <c r="AD19" s="167">
        <f t="shared" si="19"/>
        <v>1870</v>
      </c>
      <c r="AE19" s="167">
        <v>0.0048</v>
      </c>
      <c r="AF19" s="167">
        <f t="shared" si="6"/>
        <v>8.98</v>
      </c>
      <c r="AG19" s="167"/>
      <c r="AH19" s="167"/>
      <c r="AI19" s="167"/>
      <c r="AJ19" s="167"/>
      <c r="AK19" s="167"/>
      <c r="AL19" s="208"/>
      <c r="AM19" s="167"/>
      <c r="AN19" s="167"/>
      <c r="AO19" s="167"/>
      <c r="AP19" s="168"/>
      <c r="AQ19" s="214"/>
      <c r="AR19" s="214"/>
      <c r="AS19" s="215">
        <f t="shared" si="7"/>
        <v>448.43</v>
      </c>
      <c r="AT19" s="215">
        <f t="shared" si="8"/>
        <v>196.35</v>
      </c>
      <c r="AU19" s="215">
        <f t="shared" si="9"/>
        <v>0</v>
      </c>
      <c r="AV19" s="215">
        <f t="shared" si="10"/>
        <v>0</v>
      </c>
      <c r="AW19" s="215">
        <f t="shared" si="11"/>
        <v>644.78</v>
      </c>
      <c r="AX19" s="230">
        <f t="shared" si="12"/>
        <v>644.78</v>
      </c>
      <c r="AY19" s="230"/>
      <c r="AZ19" s="230">
        <f t="shared" si="13"/>
        <v>0</v>
      </c>
      <c r="BA19" s="230"/>
      <c r="BB19" s="231"/>
      <c r="BC19" s="230">
        <f t="shared" si="14"/>
        <v>644.78</v>
      </c>
      <c r="BD19" s="232" t="s">
        <v>129</v>
      </c>
      <c r="BE19" s="249"/>
      <c r="BF19" s="249"/>
      <c r="BG19" s="249"/>
      <c r="BH19" s="249"/>
    </row>
    <row r="20" s="149" customFormat="1" ht="20" customHeight="1" spans="1:60">
      <c r="A20" s="162">
        <v>11</v>
      </c>
      <c r="B20" s="163" t="s">
        <v>39</v>
      </c>
      <c r="C20" s="164" t="s">
        <v>130</v>
      </c>
      <c r="D20" s="163" t="s">
        <v>41</v>
      </c>
      <c r="E20" s="163" t="s">
        <v>51</v>
      </c>
      <c r="F20" s="165" t="s">
        <v>131</v>
      </c>
      <c r="G20" s="380" t="s">
        <v>132</v>
      </c>
      <c r="H20" s="163">
        <v>202208</v>
      </c>
      <c r="I20" s="163">
        <v>202208</v>
      </c>
      <c r="J20" s="163" t="s">
        <v>111</v>
      </c>
      <c r="K20" s="163" t="s">
        <v>111</v>
      </c>
      <c r="L20" s="162">
        <v>3945</v>
      </c>
      <c r="M20" s="162">
        <v>0.16</v>
      </c>
      <c r="N20" s="162">
        <f t="shared" si="0"/>
        <v>631.2</v>
      </c>
      <c r="O20" s="162">
        <v>0.08</v>
      </c>
      <c r="P20" s="162">
        <f t="shared" si="1"/>
        <v>315.6</v>
      </c>
      <c r="Q20" s="162">
        <v>3770</v>
      </c>
      <c r="R20" s="162">
        <v>0.085</v>
      </c>
      <c r="S20" s="162">
        <f t="shared" si="2"/>
        <v>320.45</v>
      </c>
      <c r="T20" s="162">
        <v>0.02</v>
      </c>
      <c r="U20" s="162">
        <f t="shared" si="3"/>
        <v>75.4</v>
      </c>
      <c r="V20" s="162">
        <v>3945</v>
      </c>
      <c r="W20" s="162">
        <v>0.007</v>
      </c>
      <c r="X20" s="162">
        <f t="shared" si="4"/>
        <v>27.62</v>
      </c>
      <c r="Y20" s="162">
        <v>0.003</v>
      </c>
      <c r="Z20" s="162">
        <f t="shared" si="5"/>
        <v>11.84</v>
      </c>
      <c r="AA20" s="162"/>
      <c r="AB20" s="162"/>
      <c r="AC20" s="162"/>
      <c r="AD20" s="162">
        <v>3945</v>
      </c>
      <c r="AE20" s="162">
        <v>0.0096</v>
      </c>
      <c r="AF20" s="162">
        <f t="shared" si="6"/>
        <v>37.87</v>
      </c>
      <c r="AG20" s="162">
        <v>1000</v>
      </c>
      <c r="AH20" s="162">
        <v>0.1</v>
      </c>
      <c r="AI20" s="162">
        <f>ROUND(AG20*AH20,2)</f>
        <v>100</v>
      </c>
      <c r="AJ20" s="162">
        <v>0.1</v>
      </c>
      <c r="AK20" s="162">
        <f>ROUND(AG20*AJ20,2)</f>
        <v>100</v>
      </c>
      <c r="AL20" s="207"/>
      <c r="AM20" s="162"/>
      <c r="AN20" s="162"/>
      <c r="AO20" s="162"/>
      <c r="AP20" s="163"/>
      <c r="AQ20" s="213">
        <v>15</v>
      </c>
      <c r="AR20" s="213">
        <v>15</v>
      </c>
      <c r="AS20" s="206">
        <f t="shared" si="7"/>
        <v>1032.14</v>
      </c>
      <c r="AT20" s="206">
        <f t="shared" si="8"/>
        <v>417.84</v>
      </c>
      <c r="AU20" s="206">
        <f t="shared" si="9"/>
        <v>100</v>
      </c>
      <c r="AV20" s="206">
        <f t="shared" si="10"/>
        <v>100</v>
      </c>
      <c r="AW20" s="206">
        <f t="shared" si="11"/>
        <v>1649.98</v>
      </c>
      <c r="AX20" s="225">
        <f t="shared" si="12"/>
        <v>1449.98</v>
      </c>
      <c r="AY20" s="225"/>
      <c r="AZ20" s="225">
        <f t="shared" si="13"/>
        <v>200</v>
      </c>
      <c r="BA20" s="225"/>
      <c r="BB20" s="226">
        <v>80</v>
      </c>
      <c r="BC20" s="225">
        <f t="shared" si="14"/>
        <v>1729.98</v>
      </c>
      <c r="BD20" s="229" t="s">
        <v>133</v>
      </c>
      <c r="BE20" s="248"/>
      <c r="BF20" s="248"/>
      <c r="BG20" s="248"/>
      <c r="BH20" s="248"/>
    </row>
    <row r="21" s="150" customFormat="1" ht="20" customHeight="1" spans="1:60">
      <c r="A21" s="167" t="s">
        <v>55</v>
      </c>
      <c r="B21" s="168" t="s">
        <v>39</v>
      </c>
      <c r="C21" s="169" t="s">
        <v>130</v>
      </c>
      <c r="D21" s="168" t="s">
        <v>41</v>
      </c>
      <c r="E21" s="168" t="s">
        <v>51</v>
      </c>
      <c r="F21" s="170" t="s">
        <v>131</v>
      </c>
      <c r="G21" s="382" t="s">
        <v>132</v>
      </c>
      <c r="H21" s="168">
        <v>202208</v>
      </c>
      <c r="I21" s="168">
        <v>202208</v>
      </c>
      <c r="J21" s="168" t="s">
        <v>134</v>
      </c>
      <c r="K21" s="168"/>
      <c r="L21" s="167"/>
      <c r="M21" s="167"/>
      <c r="N21" s="167"/>
      <c r="O21" s="167"/>
      <c r="P21" s="167"/>
      <c r="Q21" s="167">
        <f>2*(3770-3586)</f>
        <v>368</v>
      </c>
      <c r="R21" s="167">
        <v>0.085</v>
      </c>
      <c r="S21" s="167">
        <f t="shared" si="2"/>
        <v>31.28</v>
      </c>
      <c r="T21" s="167">
        <v>0.02</v>
      </c>
      <c r="U21" s="167">
        <f t="shared" si="3"/>
        <v>7.36</v>
      </c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208"/>
      <c r="AM21" s="167"/>
      <c r="AN21" s="167"/>
      <c r="AO21" s="167"/>
      <c r="AP21" s="168"/>
      <c r="AQ21" s="214"/>
      <c r="AR21" s="214"/>
      <c r="AS21" s="215">
        <f t="shared" si="7"/>
        <v>31.28</v>
      </c>
      <c r="AT21" s="215">
        <f t="shared" si="8"/>
        <v>7.36</v>
      </c>
      <c r="AU21" s="215">
        <f t="shared" si="9"/>
        <v>0</v>
      </c>
      <c r="AV21" s="215">
        <f t="shared" si="10"/>
        <v>0</v>
      </c>
      <c r="AW21" s="215">
        <f t="shared" si="11"/>
        <v>38.64</v>
      </c>
      <c r="AX21" s="230">
        <f t="shared" si="12"/>
        <v>38.64</v>
      </c>
      <c r="AY21" s="230"/>
      <c r="AZ21" s="230">
        <f t="shared" si="13"/>
        <v>0</v>
      </c>
      <c r="BA21" s="230"/>
      <c r="BB21" s="231"/>
      <c r="BC21" s="230">
        <f t="shared" si="14"/>
        <v>38.64</v>
      </c>
      <c r="BD21" s="232" t="s">
        <v>129</v>
      </c>
      <c r="BE21" s="249"/>
      <c r="BF21" s="249"/>
      <c r="BG21" s="249"/>
      <c r="BH21" s="249"/>
    </row>
    <row r="22" s="149" customFormat="1" ht="20" customHeight="1" spans="1:60">
      <c r="A22" s="162">
        <v>12</v>
      </c>
      <c r="B22" s="163" t="s">
        <v>39</v>
      </c>
      <c r="C22" s="164" t="s">
        <v>135</v>
      </c>
      <c r="D22" s="163" t="s">
        <v>41</v>
      </c>
      <c r="E22" s="163" t="s">
        <v>51</v>
      </c>
      <c r="F22" s="165" t="s">
        <v>136</v>
      </c>
      <c r="G22" s="166" t="s">
        <v>137</v>
      </c>
      <c r="H22" s="163">
        <v>202101</v>
      </c>
      <c r="I22" s="163">
        <v>202207</v>
      </c>
      <c r="J22" s="163" t="s">
        <v>111</v>
      </c>
      <c r="K22" s="163" t="s">
        <v>111</v>
      </c>
      <c r="L22" s="196">
        <v>4118</v>
      </c>
      <c r="M22" s="197">
        <v>0.16</v>
      </c>
      <c r="N22" s="162">
        <f>ROUND(L22*M22,2)</f>
        <v>658.88</v>
      </c>
      <c r="O22" s="197">
        <v>0.08</v>
      </c>
      <c r="P22" s="162">
        <f>ROUND(L22*O22,2)</f>
        <v>329.44</v>
      </c>
      <c r="Q22" s="196">
        <v>4118</v>
      </c>
      <c r="R22" s="197">
        <v>0.085</v>
      </c>
      <c r="S22" s="162">
        <f t="shared" si="2"/>
        <v>350.03</v>
      </c>
      <c r="T22" s="197">
        <v>0.02</v>
      </c>
      <c r="U22" s="162">
        <f t="shared" si="3"/>
        <v>82.36</v>
      </c>
      <c r="V22" s="196">
        <v>4118</v>
      </c>
      <c r="W22" s="197">
        <v>0.005</v>
      </c>
      <c r="X22" s="162">
        <f>ROUND(V22*W22,2)</f>
        <v>20.59</v>
      </c>
      <c r="Y22" s="197">
        <v>0.005</v>
      </c>
      <c r="Z22" s="162">
        <f>ROUND(V22*Y22,2)</f>
        <v>20.59</v>
      </c>
      <c r="AA22" s="196"/>
      <c r="AB22" s="197"/>
      <c r="AC22" s="196"/>
      <c r="AD22" s="196">
        <v>4118</v>
      </c>
      <c r="AE22" s="206">
        <v>0.006</v>
      </c>
      <c r="AF22" s="162">
        <f t="shared" ref="AF22:AF29" si="21">ROUND(AD22*AE22,2)</f>
        <v>24.71</v>
      </c>
      <c r="AG22" s="196">
        <v>2100</v>
      </c>
      <c r="AH22" s="197">
        <v>0.05</v>
      </c>
      <c r="AI22" s="162">
        <f>ROUND(AG22*AH22,2)</f>
        <v>105</v>
      </c>
      <c r="AJ22" s="197">
        <v>0.05</v>
      </c>
      <c r="AK22" s="162">
        <f>ROUND(AG22*AJ22,2)</f>
        <v>105</v>
      </c>
      <c r="AL22" s="207"/>
      <c r="AM22" s="162"/>
      <c r="AN22" s="162"/>
      <c r="AO22" s="162"/>
      <c r="AP22" s="163"/>
      <c r="AQ22" s="216">
        <f>ROUND(L22*0.015,2)</f>
        <v>61.77</v>
      </c>
      <c r="AR22" s="216">
        <v>5</v>
      </c>
      <c r="AS22" s="206">
        <f t="shared" si="7"/>
        <v>1115.98</v>
      </c>
      <c r="AT22" s="206">
        <f t="shared" si="8"/>
        <v>437.39</v>
      </c>
      <c r="AU22" s="206">
        <f t="shared" si="9"/>
        <v>105</v>
      </c>
      <c r="AV22" s="206">
        <f t="shared" si="10"/>
        <v>105</v>
      </c>
      <c r="AW22" s="206">
        <f t="shared" si="11"/>
        <v>1763.37</v>
      </c>
      <c r="AX22" s="225">
        <f t="shared" si="12"/>
        <v>1553.37</v>
      </c>
      <c r="AY22" s="225"/>
      <c r="AZ22" s="225">
        <f t="shared" si="13"/>
        <v>210</v>
      </c>
      <c r="BA22" s="225"/>
      <c r="BB22" s="226">
        <v>80</v>
      </c>
      <c r="BC22" s="225">
        <f t="shared" si="14"/>
        <v>1843.37</v>
      </c>
      <c r="BD22" s="229"/>
      <c r="BE22" s="248"/>
      <c r="BF22" s="248"/>
      <c r="BG22" s="248"/>
      <c r="BH22" s="248"/>
    </row>
    <row r="23" s="151" customFormat="1" ht="20" customHeight="1" spans="1:60">
      <c r="A23" s="162">
        <v>13</v>
      </c>
      <c r="B23" s="172" t="s">
        <v>39</v>
      </c>
      <c r="C23" s="173" t="s">
        <v>138</v>
      </c>
      <c r="D23" s="172" t="s">
        <v>41</v>
      </c>
      <c r="E23" s="172" t="s">
        <v>51</v>
      </c>
      <c r="F23" s="174" t="s">
        <v>139</v>
      </c>
      <c r="G23" s="175" t="s">
        <v>140</v>
      </c>
      <c r="H23" s="172" t="s">
        <v>141</v>
      </c>
      <c r="I23" s="172" t="s">
        <v>141</v>
      </c>
      <c r="J23" s="163" t="s">
        <v>111</v>
      </c>
      <c r="K23" s="163" t="s">
        <v>111</v>
      </c>
      <c r="L23" s="198">
        <v>4400</v>
      </c>
      <c r="M23" s="198">
        <v>0.16</v>
      </c>
      <c r="N23" s="198">
        <f>ROUND(L23*M23,2)</f>
        <v>704</v>
      </c>
      <c r="O23" s="198">
        <v>0.08</v>
      </c>
      <c r="P23" s="198">
        <f>ROUND(L23*O23,2)</f>
        <v>352</v>
      </c>
      <c r="Q23" s="198">
        <v>4400</v>
      </c>
      <c r="R23" s="198">
        <v>0.1</v>
      </c>
      <c r="S23" s="198">
        <f t="shared" si="2"/>
        <v>440</v>
      </c>
      <c r="T23" s="198">
        <v>0.02</v>
      </c>
      <c r="U23" s="198">
        <f t="shared" si="3"/>
        <v>88</v>
      </c>
      <c r="V23" s="198">
        <v>4400</v>
      </c>
      <c r="W23" s="203">
        <v>0.005</v>
      </c>
      <c r="X23" s="198">
        <f>ROUND(V23*W23,2)</f>
        <v>22</v>
      </c>
      <c r="Y23" s="203">
        <v>0.005</v>
      </c>
      <c r="Z23" s="198">
        <f>ROUND(V23*Y23,2)</f>
        <v>22</v>
      </c>
      <c r="AA23" s="198">
        <v>4400</v>
      </c>
      <c r="AB23" s="198">
        <v>0.005</v>
      </c>
      <c r="AC23" s="198">
        <f>ROUND(AA23*AB23,2)</f>
        <v>22</v>
      </c>
      <c r="AD23" s="198">
        <v>4400</v>
      </c>
      <c r="AE23" s="198">
        <v>0.0055</v>
      </c>
      <c r="AF23" s="198">
        <f t="shared" si="21"/>
        <v>24.2</v>
      </c>
      <c r="AG23" s="198">
        <v>2180</v>
      </c>
      <c r="AH23" s="198">
        <v>0.05</v>
      </c>
      <c r="AI23" s="198">
        <f>ROUND(AG23*AH23,2)</f>
        <v>109</v>
      </c>
      <c r="AJ23" s="198">
        <v>0.05</v>
      </c>
      <c r="AK23" s="198">
        <f>ROUND(AG23*AJ23,2)</f>
        <v>109</v>
      </c>
      <c r="AL23" s="209"/>
      <c r="AM23" s="198"/>
      <c r="AN23" s="198"/>
      <c r="AO23" s="198"/>
      <c r="AP23" s="172"/>
      <c r="AQ23" s="217"/>
      <c r="AR23" s="217">
        <v>22</v>
      </c>
      <c r="AS23" s="218">
        <f t="shared" si="7"/>
        <v>1212.2</v>
      </c>
      <c r="AT23" s="206">
        <f t="shared" si="8"/>
        <v>484</v>
      </c>
      <c r="AU23" s="218">
        <f t="shared" si="9"/>
        <v>109</v>
      </c>
      <c r="AV23" s="218">
        <f t="shared" si="10"/>
        <v>109</v>
      </c>
      <c r="AW23" s="218">
        <f t="shared" si="11"/>
        <v>1914.2</v>
      </c>
      <c r="AX23" s="233">
        <f t="shared" si="12"/>
        <v>1696.2</v>
      </c>
      <c r="AY23" s="233"/>
      <c r="AZ23" s="233">
        <f t="shared" si="13"/>
        <v>218</v>
      </c>
      <c r="BA23" s="233"/>
      <c r="BB23" s="234">
        <v>80</v>
      </c>
      <c r="BC23" s="233">
        <f t="shared" si="14"/>
        <v>1994.2</v>
      </c>
      <c r="BD23" s="235"/>
      <c r="BE23" s="248"/>
      <c r="BF23" s="250"/>
      <c r="BG23" s="250"/>
      <c r="BH23" s="250"/>
    </row>
    <row r="24" s="149" customFormat="1" ht="20" customHeight="1" spans="1:60">
      <c r="A24" s="162">
        <v>14</v>
      </c>
      <c r="B24" s="163" t="s">
        <v>39</v>
      </c>
      <c r="C24" s="164" t="s">
        <v>142</v>
      </c>
      <c r="D24" s="163" t="s">
        <v>41</v>
      </c>
      <c r="E24" s="163" t="s">
        <v>51</v>
      </c>
      <c r="F24" s="165" t="s">
        <v>143</v>
      </c>
      <c r="G24" s="380" t="s">
        <v>144</v>
      </c>
      <c r="H24" s="163" t="s">
        <v>115</v>
      </c>
      <c r="I24" s="163" t="s">
        <v>115</v>
      </c>
      <c r="J24" s="163" t="s">
        <v>111</v>
      </c>
      <c r="K24" s="163" t="s">
        <v>111</v>
      </c>
      <c r="L24" s="162">
        <v>3945</v>
      </c>
      <c r="M24" s="162">
        <v>0.16</v>
      </c>
      <c r="N24" s="162">
        <f>ROUND(L24*M24,2)</f>
        <v>631.2</v>
      </c>
      <c r="O24" s="162">
        <v>0.08</v>
      </c>
      <c r="P24" s="162">
        <f>ROUND(L24*O24,2)</f>
        <v>315.6</v>
      </c>
      <c r="Q24" s="162">
        <v>3770</v>
      </c>
      <c r="R24" s="162">
        <v>0.087</v>
      </c>
      <c r="S24" s="162">
        <f t="shared" si="2"/>
        <v>327.99</v>
      </c>
      <c r="T24" s="162">
        <v>0.02</v>
      </c>
      <c r="U24" s="162">
        <f t="shared" si="3"/>
        <v>75.4</v>
      </c>
      <c r="V24" s="162">
        <v>3945</v>
      </c>
      <c r="W24" s="197">
        <v>0.007</v>
      </c>
      <c r="X24" s="162">
        <f>ROUND(V24*W24,2)</f>
        <v>27.62</v>
      </c>
      <c r="Y24" s="197">
        <v>0.003</v>
      </c>
      <c r="Z24" s="162">
        <f>ROUND(V24*Y24,2)</f>
        <v>11.84</v>
      </c>
      <c r="AA24" s="162"/>
      <c r="AB24" s="162"/>
      <c r="AC24" s="162"/>
      <c r="AD24" s="162">
        <v>3945</v>
      </c>
      <c r="AE24" s="162">
        <v>0.0056</v>
      </c>
      <c r="AF24" s="162">
        <f t="shared" si="21"/>
        <v>22.09</v>
      </c>
      <c r="AG24" s="162">
        <v>3500</v>
      </c>
      <c r="AH24" s="162">
        <v>0.05</v>
      </c>
      <c r="AI24" s="162">
        <f>ROUND(AG24*AH24,2)</f>
        <v>175</v>
      </c>
      <c r="AJ24" s="162">
        <v>0.05</v>
      </c>
      <c r="AK24" s="162">
        <f>ROUND(AG24*AJ24,2)</f>
        <v>175</v>
      </c>
      <c r="AL24" s="207"/>
      <c r="AM24" s="162"/>
      <c r="AN24" s="162"/>
      <c r="AO24" s="162"/>
      <c r="AP24" s="163"/>
      <c r="AQ24" s="162"/>
      <c r="AR24" s="162">
        <v>15</v>
      </c>
      <c r="AS24" s="206">
        <f t="shared" si="7"/>
        <v>1008.9</v>
      </c>
      <c r="AT24" s="206">
        <f t="shared" si="8"/>
        <v>417.84</v>
      </c>
      <c r="AU24" s="206">
        <f t="shared" si="9"/>
        <v>175</v>
      </c>
      <c r="AV24" s="206">
        <f t="shared" si="10"/>
        <v>175</v>
      </c>
      <c r="AW24" s="206">
        <f t="shared" si="11"/>
        <v>1776.74</v>
      </c>
      <c r="AX24" s="225">
        <f t="shared" si="12"/>
        <v>1426.74</v>
      </c>
      <c r="AY24" s="225"/>
      <c r="AZ24" s="225">
        <f t="shared" si="13"/>
        <v>350</v>
      </c>
      <c r="BA24" s="225"/>
      <c r="BB24" s="226">
        <v>80</v>
      </c>
      <c r="BC24" s="225">
        <f t="shared" si="14"/>
        <v>1856.74</v>
      </c>
      <c r="BD24" s="229" t="s">
        <v>133</v>
      </c>
      <c r="BE24" s="248"/>
      <c r="BF24" s="248"/>
      <c r="BG24" s="248"/>
      <c r="BH24" s="248"/>
    </row>
    <row r="25" s="150" customFormat="1" ht="20" customHeight="1" spans="1:60">
      <c r="A25" s="167" t="s">
        <v>55</v>
      </c>
      <c r="B25" s="168" t="s">
        <v>39</v>
      </c>
      <c r="C25" s="169" t="s">
        <v>142</v>
      </c>
      <c r="D25" s="168" t="s">
        <v>41</v>
      </c>
      <c r="E25" s="168" t="s">
        <v>51</v>
      </c>
      <c r="F25" s="170" t="s">
        <v>143</v>
      </c>
      <c r="G25" s="382" t="s">
        <v>144</v>
      </c>
      <c r="H25" s="168" t="s">
        <v>115</v>
      </c>
      <c r="I25" s="168" t="s">
        <v>115</v>
      </c>
      <c r="J25" s="168" t="s">
        <v>134</v>
      </c>
      <c r="K25" s="168"/>
      <c r="L25" s="167"/>
      <c r="M25" s="167"/>
      <c r="N25" s="167"/>
      <c r="O25" s="167"/>
      <c r="P25" s="167"/>
      <c r="Q25" s="167">
        <f>2*(3770-3586)</f>
        <v>368</v>
      </c>
      <c r="R25" s="167">
        <v>0.087</v>
      </c>
      <c r="S25" s="167">
        <f t="shared" si="2"/>
        <v>32.02</v>
      </c>
      <c r="T25" s="167">
        <v>0.02</v>
      </c>
      <c r="U25" s="167">
        <f t="shared" si="3"/>
        <v>7.36</v>
      </c>
      <c r="V25" s="167"/>
      <c r="W25" s="202"/>
      <c r="X25" s="167"/>
      <c r="Y25" s="202"/>
      <c r="Z25" s="167"/>
      <c r="AA25" s="167"/>
      <c r="AB25" s="167"/>
      <c r="AC25" s="167"/>
      <c r="AD25" s="167">
        <v>3945</v>
      </c>
      <c r="AE25" s="167">
        <f>2*(0.0056-0.005)</f>
        <v>0.0012</v>
      </c>
      <c r="AF25" s="167">
        <f t="shared" si="21"/>
        <v>4.73</v>
      </c>
      <c r="AG25" s="167"/>
      <c r="AH25" s="167"/>
      <c r="AI25" s="167"/>
      <c r="AJ25" s="167"/>
      <c r="AK25" s="167"/>
      <c r="AL25" s="208"/>
      <c r="AM25" s="167"/>
      <c r="AN25" s="167"/>
      <c r="AO25" s="167"/>
      <c r="AP25" s="168"/>
      <c r="AQ25" s="167"/>
      <c r="AR25" s="167"/>
      <c r="AS25" s="215">
        <f t="shared" si="7"/>
        <v>36.75</v>
      </c>
      <c r="AT25" s="215">
        <f t="shared" si="8"/>
        <v>7.36</v>
      </c>
      <c r="AU25" s="215">
        <f t="shared" si="9"/>
        <v>0</v>
      </c>
      <c r="AV25" s="215">
        <f t="shared" si="10"/>
        <v>0</v>
      </c>
      <c r="AW25" s="215">
        <f t="shared" si="11"/>
        <v>44.11</v>
      </c>
      <c r="AX25" s="230">
        <f t="shared" si="12"/>
        <v>44.11</v>
      </c>
      <c r="AY25" s="230"/>
      <c r="AZ25" s="230">
        <f t="shared" si="13"/>
        <v>0</v>
      </c>
      <c r="BA25" s="230"/>
      <c r="BB25" s="231"/>
      <c r="BC25" s="230">
        <f t="shared" si="14"/>
        <v>44.11</v>
      </c>
      <c r="BD25" s="232" t="s">
        <v>145</v>
      </c>
      <c r="BE25" s="249"/>
      <c r="BF25" s="249"/>
      <c r="BG25" s="249"/>
      <c r="BH25" s="249"/>
    </row>
    <row r="26" s="149" customFormat="1" ht="20" customHeight="1" spans="1:60">
      <c r="A26" s="162">
        <v>15</v>
      </c>
      <c r="B26" s="163" t="s">
        <v>39</v>
      </c>
      <c r="C26" s="164" t="s">
        <v>146</v>
      </c>
      <c r="D26" s="163" t="s">
        <v>41</v>
      </c>
      <c r="E26" s="163" t="s">
        <v>51</v>
      </c>
      <c r="F26" s="165" t="s">
        <v>147</v>
      </c>
      <c r="G26" s="380" t="s">
        <v>148</v>
      </c>
      <c r="H26" s="163" t="s">
        <v>149</v>
      </c>
      <c r="I26" s="163" t="s">
        <v>149</v>
      </c>
      <c r="J26" s="163" t="s">
        <v>111</v>
      </c>
      <c r="K26" s="163" t="s">
        <v>111</v>
      </c>
      <c r="L26" s="162">
        <v>4019</v>
      </c>
      <c r="M26" s="162">
        <v>0.16</v>
      </c>
      <c r="N26" s="162">
        <f>ROUND(L26*M26,2)</f>
        <v>643.04</v>
      </c>
      <c r="O26" s="162">
        <v>0.08</v>
      </c>
      <c r="P26" s="162">
        <f>ROUND(L26*O26,2)</f>
        <v>321.52</v>
      </c>
      <c r="Q26" s="162">
        <v>4019</v>
      </c>
      <c r="R26" s="162">
        <v>0.064</v>
      </c>
      <c r="S26" s="162">
        <f t="shared" si="2"/>
        <v>257.22</v>
      </c>
      <c r="T26" s="162">
        <v>0.02</v>
      </c>
      <c r="U26" s="162">
        <f t="shared" si="3"/>
        <v>80.38</v>
      </c>
      <c r="V26" s="162">
        <v>4019</v>
      </c>
      <c r="W26" s="197">
        <v>0.005</v>
      </c>
      <c r="X26" s="162">
        <f>ROUND(V26*W26,2)</f>
        <v>20.1</v>
      </c>
      <c r="Y26" s="197">
        <v>0.005</v>
      </c>
      <c r="Z26" s="162">
        <f>ROUND(V26*Y26,2)</f>
        <v>20.1</v>
      </c>
      <c r="AA26" s="162"/>
      <c r="AB26" s="162"/>
      <c r="AC26" s="162"/>
      <c r="AD26" s="162">
        <v>4019</v>
      </c>
      <c r="AE26" s="162">
        <v>0.002</v>
      </c>
      <c r="AF26" s="162">
        <f t="shared" si="21"/>
        <v>8.04</v>
      </c>
      <c r="AG26" s="162">
        <v>2060</v>
      </c>
      <c r="AH26" s="162">
        <v>0.05</v>
      </c>
      <c r="AI26" s="162">
        <f>ROUND(AG26*AH26,2)</f>
        <v>103</v>
      </c>
      <c r="AJ26" s="162">
        <v>0.05</v>
      </c>
      <c r="AK26" s="162">
        <f>ROUND(AG26*AJ26,2)</f>
        <v>103</v>
      </c>
      <c r="AL26" s="207"/>
      <c r="AM26" s="162"/>
      <c r="AN26" s="162"/>
      <c r="AO26" s="162"/>
      <c r="AP26" s="163"/>
      <c r="AQ26" s="162"/>
      <c r="AR26" s="162"/>
      <c r="AS26" s="206">
        <f t="shared" si="7"/>
        <v>928.4</v>
      </c>
      <c r="AT26" s="206">
        <f t="shared" si="8"/>
        <v>422</v>
      </c>
      <c r="AU26" s="206">
        <f t="shared" si="9"/>
        <v>103</v>
      </c>
      <c r="AV26" s="206">
        <f t="shared" si="10"/>
        <v>103</v>
      </c>
      <c r="AW26" s="206">
        <f t="shared" si="11"/>
        <v>1556.4</v>
      </c>
      <c r="AX26" s="225">
        <f t="shared" si="12"/>
        <v>1350.4</v>
      </c>
      <c r="AY26" s="225"/>
      <c r="AZ26" s="225">
        <f t="shared" si="13"/>
        <v>206</v>
      </c>
      <c r="BA26" s="225"/>
      <c r="BB26" s="226">
        <v>80</v>
      </c>
      <c r="BC26" s="225">
        <f t="shared" si="14"/>
        <v>1636.4</v>
      </c>
      <c r="BD26" s="229" t="s">
        <v>112</v>
      </c>
      <c r="BE26" s="248"/>
      <c r="BF26" s="248"/>
      <c r="BG26" s="248"/>
      <c r="BH26" s="248"/>
    </row>
    <row r="27" s="150" customFormat="1" ht="20" customHeight="1" spans="1:60">
      <c r="A27" s="167" t="s">
        <v>55</v>
      </c>
      <c r="B27" s="168" t="s">
        <v>39</v>
      </c>
      <c r="C27" s="169" t="s">
        <v>146</v>
      </c>
      <c r="D27" s="168" t="s">
        <v>41</v>
      </c>
      <c r="E27" s="168" t="s">
        <v>51</v>
      </c>
      <c r="F27" s="170" t="s">
        <v>147</v>
      </c>
      <c r="G27" s="382" t="s">
        <v>148</v>
      </c>
      <c r="H27" s="168" t="s">
        <v>149</v>
      </c>
      <c r="I27" s="168" t="s">
        <v>149</v>
      </c>
      <c r="J27" s="168" t="s">
        <v>150</v>
      </c>
      <c r="K27" s="168"/>
      <c r="L27" s="167">
        <f>6*(4019-3832)</f>
        <v>1122</v>
      </c>
      <c r="M27" s="167">
        <v>0.16</v>
      </c>
      <c r="N27" s="167">
        <f>ROUND(L27*M27,2)</f>
        <v>179.52</v>
      </c>
      <c r="O27" s="167">
        <v>0.08</v>
      </c>
      <c r="P27" s="167">
        <f>ROUND(L27*O27,2)</f>
        <v>89.76</v>
      </c>
      <c r="Q27" s="167">
        <f>6*(4019-3832)</f>
        <v>1122</v>
      </c>
      <c r="R27" s="167">
        <v>0.064</v>
      </c>
      <c r="S27" s="167">
        <f t="shared" si="2"/>
        <v>71.81</v>
      </c>
      <c r="T27" s="167">
        <v>0.02</v>
      </c>
      <c r="U27" s="167">
        <f t="shared" si="3"/>
        <v>22.44</v>
      </c>
      <c r="V27" s="167">
        <f>6*(4019-3832)</f>
        <v>1122</v>
      </c>
      <c r="W27" s="202">
        <v>0.005</v>
      </c>
      <c r="X27" s="167">
        <f>ROUND(V27*W27,2)</f>
        <v>5.61</v>
      </c>
      <c r="Y27" s="202">
        <v>0.005</v>
      </c>
      <c r="Z27" s="167">
        <f>ROUND(V27*Y27,2)</f>
        <v>5.61</v>
      </c>
      <c r="AA27" s="167"/>
      <c r="AB27" s="167"/>
      <c r="AC27" s="167"/>
      <c r="AD27" s="167">
        <f>6*(4019-3832)</f>
        <v>1122</v>
      </c>
      <c r="AE27" s="167">
        <v>0.002</v>
      </c>
      <c r="AF27" s="167">
        <f t="shared" si="21"/>
        <v>2.24</v>
      </c>
      <c r="AG27" s="167"/>
      <c r="AH27" s="167"/>
      <c r="AI27" s="167"/>
      <c r="AJ27" s="167"/>
      <c r="AK27" s="167"/>
      <c r="AL27" s="208"/>
      <c r="AM27" s="167"/>
      <c r="AN27" s="167"/>
      <c r="AO27" s="167"/>
      <c r="AP27" s="168"/>
      <c r="AQ27" s="167"/>
      <c r="AR27" s="167"/>
      <c r="AS27" s="215">
        <f t="shared" si="7"/>
        <v>259.18</v>
      </c>
      <c r="AT27" s="215">
        <f t="shared" si="8"/>
        <v>117.81</v>
      </c>
      <c r="AU27" s="215">
        <f t="shared" si="9"/>
        <v>0</v>
      </c>
      <c r="AV27" s="215">
        <f t="shared" si="10"/>
        <v>0</v>
      </c>
      <c r="AW27" s="215">
        <f t="shared" si="11"/>
        <v>376.99</v>
      </c>
      <c r="AX27" s="230">
        <f t="shared" si="12"/>
        <v>376.99</v>
      </c>
      <c r="AY27" s="230"/>
      <c r="AZ27" s="230">
        <f t="shared" si="13"/>
        <v>0</v>
      </c>
      <c r="BA27" s="230"/>
      <c r="BB27" s="231"/>
      <c r="BC27" s="230">
        <f t="shared" si="14"/>
        <v>376.99</v>
      </c>
      <c r="BD27" s="232" t="s">
        <v>129</v>
      </c>
      <c r="BE27" s="249"/>
      <c r="BF27" s="249"/>
      <c r="BG27" s="249"/>
      <c r="BH27" s="249"/>
    </row>
    <row r="28" s="149" customFormat="1" ht="22" customHeight="1" spans="1:60">
      <c r="A28" s="162">
        <v>16</v>
      </c>
      <c r="B28" s="163" t="s">
        <v>39</v>
      </c>
      <c r="C28" s="164" t="s">
        <v>151</v>
      </c>
      <c r="D28" s="163" t="s">
        <v>41</v>
      </c>
      <c r="E28" s="163" t="s">
        <v>51</v>
      </c>
      <c r="F28" s="165" t="s">
        <v>152</v>
      </c>
      <c r="G28" s="380" t="s">
        <v>153</v>
      </c>
      <c r="H28" s="163" t="s">
        <v>154</v>
      </c>
      <c r="I28" s="163" t="s">
        <v>154</v>
      </c>
      <c r="J28" s="163" t="s">
        <v>100</v>
      </c>
      <c r="K28" s="163" t="s">
        <v>100</v>
      </c>
      <c r="L28" s="162">
        <v>4224</v>
      </c>
      <c r="M28" s="162">
        <v>0.16</v>
      </c>
      <c r="N28" s="162">
        <f>ROUND(L28*M28,2)</f>
        <v>675.84</v>
      </c>
      <c r="O28" s="162">
        <v>0.08</v>
      </c>
      <c r="P28" s="162">
        <f>ROUND(L28*O28,2)</f>
        <v>337.92</v>
      </c>
      <c r="Q28" s="162">
        <v>4224</v>
      </c>
      <c r="R28" s="162">
        <v>0.087</v>
      </c>
      <c r="S28" s="162">
        <f t="shared" si="2"/>
        <v>367.49</v>
      </c>
      <c r="T28" s="162">
        <v>0.02</v>
      </c>
      <c r="U28" s="162">
        <f t="shared" si="3"/>
        <v>84.48</v>
      </c>
      <c r="V28" s="162">
        <v>4224</v>
      </c>
      <c r="W28" s="197">
        <v>0.007</v>
      </c>
      <c r="X28" s="162">
        <f>ROUND(V28*W28,2)</f>
        <v>29.57</v>
      </c>
      <c r="Y28" s="197">
        <v>0.003</v>
      </c>
      <c r="Z28" s="162">
        <f>ROUND(V28*Y28,2)</f>
        <v>12.67</v>
      </c>
      <c r="AA28" s="162"/>
      <c r="AB28" s="162"/>
      <c r="AC28" s="162"/>
      <c r="AD28" s="162">
        <v>4224</v>
      </c>
      <c r="AE28" s="162">
        <v>0.0016</v>
      </c>
      <c r="AF28" s="162">
        <f t="shared" si="21"/>
        <v>6.76</v>
      </c>
      <c r="AG28" s="162">
        <v>2010</v>
      </c>
      <c r="AH28" s="162">
        <v>0.05</v>
      </c>
      <c r="AI28" s="162">
        <f>ROUND(AG28*AH28,2)</f>
        <v>100.5</v>
      </c>
      <c r="AJ28" s="162">
        <v>0.05</v>
      </c>
      <c r="AK28" s="162">
        <f>ROUND(AG28*AJ28,2)</f>
        <v>100.5</v>
      </c>
      <c r="AL28" s="207"/>
      <c r="AM28" s="162"/>
      <c r="AN28" s="162"/>
      <c r="AO28" s="162"/>
      <c r="AP28" s="163"/>
      <c r="AQ28" s="162"/>
      <c r="AR28" s="162">
        <v>7</v>
      </c>
      <c r="AS28" s="206">
        <f t="shared" si="7"/>
        <v>1079.66</v>
      </c>
      <c r="AT28" s="206">
        <f t="shared" si="8"/>
        <v>442.07</v>
      </c>
      <c r="AU28" s="206">
        <f t="shared" si="9"/>
        <v>100.5</v>
      </c>
      <c r="AV28" s="206">
        <f t="shared" si="10"/>
        <v>100.5</v>
      </c>
      <c r="AW28" s="206">
        <f t="shared" si="11"/>
        <v>1722.73</v>
      </c>
      <c r="AX28" s="225">
        <f t="shared" si="12"/>
        <v>1521.73</v>
      </c>
      <c r="AY28" s="225"/>
      <c r="AZ28" s="225">
        <f t="shared" si="13"/>
        <v>201</v>
      </c>
      <c r="BA28" s="225"/>
      <c r="BB28" s="226">
        <v>80</v>
      </c>
      <c r="BC28" s="225">
        <f t="shared" si="14"/>
        <v>1802.73</v>
      </c>
      <c r="BD28" s="229" t="s">
        <v>155</v>
      </c>
      <c r="BE28" s="248"/>
      <c r="BF28" s="248"/>
      <c r="BG28" s="248"/>
      <c r="BH28" s="248"/>
    </row>
    <row r="29" s="150" customFormat="1" ht="22" customHeight="1" spans="1:60">
      <c r="A29" s="167" t="s">
        <v>55</v>
      </c>
      <c r="B29" s="168" t="s">
        <v>39</v>
      </c>
      <c r="C29" s="169" t="s">
        <v>151</v>
      </c>
      <c r="D29" s="168" t="s">
        <v>41</v>
      </c>
      <c r="E29" s="168" t="s">
        <v>51</v>
      </c>
      <c r="F29" s="170" t="s">
        <v>152</v>
      </c>
      <c r="G29" s="382" t="s">
        <v>153</v>
      </c>
      <c r="H29" s="168" t="s">
        <v>154</v>
      </c>
      <c r="I29" s="168" t="s">
        <v>154</v>
      </c>
      <c r="J29" s="168" t="s">
        <v>156</v>
      </c>
      <c r="K29" s="168"/>
      <c r="L29" s="167">
        <f>3*(4224-4077)</f>
        <v>441</v>
      </c>
      <c r="M29" s="167">
        <v>0.16</v>
      </c>
      <c r="N29" s="167">
        <f>ROUND(L29*M29,2)</f>
        <v>70.56</v>
      </c>
      <c r="O29" s="167">
        <v>0.08</v>
      </c>
      <c r="P29" s="167">
        <f>ROUND(L29*O29,2)</f>
        <v>35.28</v>
      </c>
      <c r="Q29" s="167">
        <f>(4224-4077)</f>
        <v>147</v>
      </c>
      <c r="R29" s="167">
        <v>0.087</v>
      </c>
      <c r="S29" s="167">
        <f t="shared" si="2"/>
        <v>12.79</v>
      </c>
      <c r="T29" s="167">
        <v>0.02</v>
      </c>
      <c r="U29" s="167">
        <f t="shared" si="3"/>
        <v>2.94</v>
      </c>
      <c r="V29" s="167">
        <f>3*(4224-4077)</f>
        <v>441</v>
      </c>
      <c r="W29" s="202">
        <v>0.007</v>
      </c>
      <c r="X29" s="167">
        <f>ROUND(V29*W29,2)</f>
        <v>3.09</v>
      </c>
      <c r="Y29" s="202">
        <v>0.003</v>
      </c>
      <c r="Z29" s="167">
        <f>ROUND(V29*Y29,2)</f>
        <v>1.32</v>
      </c>
      <c r="AA29" s="167"/>
      <c r="AB29" s="167"/>
      <c r="AC29" s="167"/>
      <c r="AD29" s="167">
        <f>3*(4224-4077)</f>
        <v>441</v>
      </c>
      <c r="AE29" s="167">
        <v>0.0016</v>
      </c>
      <c r="AF29" s="167">
        <f t="shared" si="21"/>
        <v>0.71</v>
      </c>
      <c r="AG29" s="167"/>
      <c r="AH29" s="167"/>
      <c r="AI29" s="167"/>
      <c r="AJ29" s="167"/>
      <c r="AK29" s="167"/>
      <c r="AL29" s="208"/>
      <c r="AM29" s="167"/>
      <c r="AN29" s="167"/>
      <c r="AO29" s="167"/>
      <c r="AP29" s="168"/>
      <c r="AQ29" s="167"/>
      <c r="AR29" s="167"/>
      <c r="AS29" s="215">
        <f t="shared" si="7"/>
        <v>87.15</v>
      </c>
      <c r="AT29" s="215">
        <f t="shared" si="8"/>
        <v>39.54</v>
      </c>
      <c r="AU29" s="215">
        <f t="shared" si="9"/>
        <v>0</v>
      </c>
      <c r="AV29" s="215">
        <f t="shared" si="10"/>
        <v>0</v>
      </c>
      <c r="AW29" s="215">
        <f t="shared" si="11"/>
        <v>126.69</v>
      </c>
      <c r="AX29" s="230">
        <f t="shared" si="12"/>
        <v>126.69</v>
      </c>
      <c r="AY29" s="230"/>
      <c r="AZ29" s="230">
        <f t="shared" si="13"/>
        <v>0</v>
      </c>
      <c r="BA29" s="230"/>
      <c r="BB29" s="231"/>
      <c r="BC29" s="230">
        <f t="shared" si="14"/>
        <v>126.69</v>
      </c>
      <c r="BD29" s="232" t="s">
        <v>129</v>
      </c>
      <c r="BE29" s="249"/>
      <c r="BF29" s="249"/>
      <c r="BG29" s="249"/>
      <c r="BH29" s="249"/>
    </row>
    <row r="30" s="152" customFormat="1" ht="18" customHeight="1" spans="1:60">
      <c r="A30" s="176"/>
      <c r="B30" s="177"/>
      <c r="C30" s="178"/>
      <c r="D30" s="179"/>
      <c r="E30" s="180"/>
      <c r="F30" s="181"/>
      <c r="G30" s="182"/>
      <c r="H30" s="183"/>
      <c r="I30" s="179"/>
      <c r="J30" s="183"/>
      <c r="K30" s="183"/>
      <c r="L30" s="199"/>
      <c r="M30" s="199"/>
      <c r="N30" s="200"/>
      <c r="O30" s="199"/>
      <c r="P30" s="199"/>
      <c r="Q30" s="199"/>
      <c r="R30" s="199"/>
      <c r="S30" s="199"/>
      <c r="T30" s="199"/>
      <c r="U30" s="199"/>
      <c r="V30" s="204"/>
      <c r="W30" s="204"/>
      <c r="X30" s="205"/>
      <c r="Y30" s="204"/>
      <c r="Z30" s="199"/>
      <c r="AA30" s="199"/>
      <c r="AB30" s="199"/>
      <c r="AC30" s="199"/>
      <c r="AD30" s="199"/>
      <c r="AE30" s="199"/>
      <c r="AF30" s="200"/>
      <c r="AG30" s="199"/>
      <c r="AH30" s="199"/>
      <c r="AI30" s="199"/>
      <c r="AJ30" s="199"/>
      <c r="AK30" s="199"/>
      <c r="AL30" s="210"/>
      <c r="AM30" s="199"/>
      <c r="AN30" s="199"/>
      <c r="AO30" s="199"/>
      <c r="AP30" s="219"/>
      <c r="AQ30" s="220"/>
      <c r="AR30" s="199"/>
      <c r="AS30" s="221"/>
      <c r="AT30" s="221"/>
      <c r="AU30" s="221"/>
      <c r="AV30" s="221"/>
      <c r="AW30" s="221"/>
      <c r="AX30" s="236"/>
      <c r="AY30" s="237"/>
      <c r="AZ30" s="236"/>
      <c r="BA30" s="237"/>
      <c r="BB30" s="238"/>
      <c r="BC30" s="239"/>
      <c r="BD30" s="240"/>
      <c r="BE30" s="155"/>
      <c r="BF30" s="155"/>
      <c r="BG30" s="155"/>
      <c r="BH30" s="155"/>
    </row>
    <row r="31" ht="14.25" spans="1:56">
      <c r="A31" s="184" t="s">
        <v>66</v>
      </c>
      <c r="B31" s="185"/>
      <c r="C31" s="186"/>
      <c r="D31" s="186"/>
      <c r="E31" s="187"/>
      <c r="F31" s="186"/>
      <c r="G31" s="186"/>
      <c r="H31" s="186"/>
      <c r="I31" s="186"/>
      <c r="J31" s="186"/>
      <c r="K31" s="186"/>
      <c r="L31" s="187">
        <f t="shared" ref="L31:BC31" si="22">SUM(L3:L30)</f>
        <v>84024.2</v>
      </c>
      <c r="M31" s="187">
        <f t="shared" si="22"/>
        <v>3.98</v>
      </c>
      <c r="N31" s="187">
        <f t="shared" si="22"/>
        <v>13338.19</v>
      </c>
      <c r="O31" s="187">
        <f t="shared" si="22"/>
        <v>2</v>
      </c>
      <c r="P31" s="187">
        <f t="shared" si="22"/>
        <v>6721.94</v>
      </c>
      <c r="Q31" s="187">
        <f t="shared" si="22"/>
        <v>84506.2</v>
      </c>
      <c r="R31" s="187">
        <f t="shared" si="22"/>
        <v>2.1125</v>
      </c>
      <c r="S31" s="187">
        <f t="shared" si="22"/>
        <v>6678.23</v>
      </c>
      <c r="T31" s="187">
        <f t="shared" si="22"/>
        <v>0.54</v>
      </c>
      <c r="U31" s="187">
        <f t="shared" si="22"/>
        <v>1690.12</v>
      </c>
      <c r="V31" s="187">
        <f t="shared" si="22"/>
        <v>81040.2</v>
      </c>
      <c r="W31" s="187">
        <f t="shared" si="22"/>
        <v>0.138</v>
      </c>
      <c r="X31" s="187">
        <f t="shared" si="22"/>
        <v>445.25</v>
      </c>
      <c r="Y31" s="187">
        <f t="shared" si="22"/>
        <v>0.112</v>
      </c>
      <c r="Z31" s="187">
        <f t="shared" si="22"/>
        <v>365.25</v>
      </c>
      <c r="AA31" s="187">
        <f t="shared" si="22"/>
        <v>4400</v>
      </c>
      <c r="AB31" s="187">
        <f t="shared" si="22"/>
        <v>0.005</v>
      </c>
      <c r="AC31" s="187">
        <f t="shared" si="22"/>
        <v>22</v>
      </c>
      <c r="AD31" s="187">
        <f t="shared" si="22"/>
        <v>84985.2</v>
      </c>
      <c r="AE31" s="187">
        <f t="shared" si="22"/>
        <v>0.09886</v>
      </c>
      <c r="AF31" s="187">
        <f t="shared" si="22"/>
        <v>330.31</v>
      </c>
      <c r="AG31" s="187">
        <f t="shared" si="22"/>
        <v>39328</v>
      </c>
      <c r="AH31" s="187">
        <f t="shared" si="22"/>
        <v>0.87</v>
      </c>
      <c r="AI31" s="187">
        <f t="shared" si="22"/>
        <v>2069.5</v>
      </c>
      <c r="AJ31" s="187">
        <f t="shared" si="22"/>
        <v>0.87</v>
      </c>
      <c r="AK31" s="187">
        <f t="shared" si="22"/>
        <v>2069.5</v>
      </c>
      <c r="AL31" s="187">
        <f t="shared" si="22"/>
        <v>0</v>
      </c>
      <c r="AM31" s="187">
        <f t="shared" si="22"/>
        <v>0</v>
      </c>
      <c r="AN31" s="187">
        <f t="shared" si="22"/>
        <v>109.7</v>
      </c>
      <c r="AO31" s="187">
        <f t="shared" si="22"/>
        <v>0</v>
      </c>
      <c r="AP31" s="187">
        <f t="shared" si="22"/>
        <v>0</v>
      </c>
      <c r="AQ31" s="187">
        <f t="shared" si="22"/>
        <v>163.03</v>
      </c>
      <c r="AR31" s="187">
        <f t="shared" si="22"/>
        <v>169.7</v>
      </c>
      <c r="AS31" s="187">
        <f t="shared" si="22"/>
        <v>21086.71</v>
      </c>
      <c r="AT31" s="187">
        <f t="shared" si="22"/>
        <v>8947.01</v>
      </c>
      <c r="AU31" s="187">
        <f t="shared" si="22"/>
        <v>2069.5</v>
      </c>
      <c r="AV31" s="187">
        <f t="shared" si="22"/>
        <v>2069.5</v>
      </c>
      <c r="AW31" s="187">
        <f t="shared" si="22"/>
        <v>34172.72</v>
      </c>
      <c r="AX31" s="187">
        <f t="shared" si="22"/>
        <v>30033.72</v>
      </c>
      <c r="AY31" s="187">
        <f t="shared" si="22"/>
        <v>0</v>
      </c>
      <c r="AZ31" s="187">
        <f t="shared" si="22"/>
        <v>4139</v>
      </c>
      <c r="BA31" s="187">
        <f t="shared" si="22"/>
        <v>0</v>
      </c>
      <c r="BB31" s="187">
        <f t="shared" si="22"/>
        <v>1280</v>
      </c>
      <c r="BC31" s="187">
        <f t="shared" si="22"/>
        <v>35452.72</v>
      </c>
      <c r="BD31" s="241"/>
    </row>
    <row r="32" ht="15" spans="1:56">
      <c r="A32" s="188" t="s">
        <v>23</v>
      </c>
      <c r="B32" s="189"/>
      <c r="C32" s="190"/>
      <c r="D32" s="190"/>
      <c r="E32" s="191"/>
      <c r="F32" s="191"/>
      <c r="G32" s="191"/>
      <c r="H32" s="191"/>
      <c r="I32" s="191"/>
      <c r="J32" s="191"/>
      <c r="K32" s="191"/>
      <c r="L32" s="201">
        <f t="shared" ref="L32:AX32" si="23">SUM(L31:L31)</f>
        <v>84024.2</v>
      </c>
      <c r="M32" s="201">
        <f t="shared" si="23"/>
        <v>3.98</v>
      </c>
      <c r="N32" s="201">
        <f t="shared" si="23"/>
        <v>13338.19</v>
      </c>
      <c r="O32" s="201">
        <f t="shared" si="23"/>
        <v>2</v>
      </c>
      <c r="P32" s="201">
        <f t="shared" si="23"/>
        <v>6721.94</v>
      </c>
      <c r="Q32" s="201">
        <f t="shared" si="23"/>
        <v>84506.2</v>
      </c>
      <c r="R32" s="201">
        <f t="shared" si="23"/>
        <v>2.1125</v>
      </c>
      <c r="S32" s="201">
        <f t="shared" si="23"/>
        <v>6678.23</v>
      </c>
      <c r="T32" s="201">
        <f t="shared" si="23"/>
        <v>0.54</v>
      </c>
      <c r="U32" s="201">
        <f t="shared" si="23"/>
        <v>1690.12</v>
      </c>
      <c r="V32" s="201">
        <f t="shared" si="23"/>
        <v>81040.2</v>
      </c>
      <c r="W32" s="201">
        <f t="shared" si="23"/>
        <v>0.138</v>
      </c>
      <c r="X32" s="201">
        <f t="shared" si="23"/>
        <v>445.25</v>
      </c>
      <c r="Y32" s="201">
        <f t="shared" si="23"/>
        <v>0.112</v>
      </c>
      <c r="Z32" s="201">
        <f t="shared" si="23"/>
        <v>365.25</v>
      </c>
      <c r="AA32" s="201">
        <f t="shared" si="23"/>
        <v>4400</v>
      </c>
      <c r="AB32" s="201">
        <f t="shared" si="23"/>
        <v>0.005</v>
      </c>
      <c r="AC32" s="201">
        <f t="shared" si="23"/>
        <v>22</v>
      </c>
      <c r="AD32" s="201">
        <f t="shared" si="23"/>
        <v>84985.2</v>
      </c>
      <c r="AE32" s="201">
        <f t="shared" si="23"/>
        <v>0.09886</v>
      </c>
      <c r="AF32" s="201">
        <f t="shared" si="23"/>
        <v>330.31</v>
      </c>
      <c r="AG32" s="201">
        <f t="shared" si="23"/>
        <v>39328</v>
      </c>
      <c r="AH32" s="201">
        <f t="shared" si="23"/>
        <v>0.87</v>
      </c>
      <c r="AI32" s="201">
        <f t="shared" si="23"/>
        <v>2069.5</v>
      </c>
      <c r="AJ32" s="201">
        <f t="shared" si="23"/>
        <v>0.87</v>
      </c>
      <c r="AK32" s="201">
        <f t="shared" si="23"/>
        <v>2069.5</v>
      </c>
      <c r="AL32" s="201">
        <f t="shared" si="23"/>
        <v>0</v>
      </c>
      <c r="AM32" s="201">
        <f t="shared" si="23"/>
        <v>0</v>
      </c>
      <c r="AN32" s="201">
        <f t="shared" si="23"/>
        <v>109.7</v>
      </c>
      <c r="AO32" s="201">
        <f t="shared" si="23"/>
        <v>0</v>
      </c>
      <c r="AP32" s="201">
        <f t="shared" si="23"/>
        <v>0</v>
      </c>
      <c r="AQ32" s="201">
        <f t="shared" si="23"/>
        <v>163.03</v>
      </c>
      <c r="AR32" s="201">
        <f t="shared" si="23"/>
        <v>169.7</v>
      </c>
      <c r="AS32" s="222">
        <f t="shared" si="23"/>
        <v>21086.71</v>
      </c>
      <c r="AT32" s="222">
        <f t="shared" si="23"/>
        <v>8947.01</v>
      </c>
      <c r="AU32" s="222">
        <f t="shared" si="23"/>
        <v>2069.5</v>
      </c>
      <c r="AV32" s="222">
        <f t="shared" si="23"/>
        <v>2069.5</v>
      </c>
      <c r="AW32" s="222">
        <f t="shared" si="23"/>
        <v>34172.72</v>
      </c>
      <c r="AX32" s="242">
        <f t="shared" si="23"/>
        <v>30033.72</v>
      </c>
      <c r="AY32" s="242"/>
      <c r="AZ32" s="242">
        <f t="shared" ref="AZ32:BC32" si="24">SUM(AZ31:AZ31)</f>
        <v>4139</v>
      </c>
      <c r="BA32" s="242"/>
      <c r="BB32" s="201">
        <f t="shared" si="24"/>
        <v>1280</v>
      </c>
      <c r="BC32" s="201">
        <f t="shared" si="24"/>
        <v>35452.72</v>
      </c>
      <c r="BD32" s="243"/>
    </row>
    <row r="33" s="153" customFormat="1" spans="1:56">
      <c r="A33" s="192"/>
      <c r="B33" s="192"/>
      <c r="C33" s="192"/>
      <c r="D33" s="192"/>
      <c r="E33" s="192"/>
      <c r="F33" s="193"/>
      <c r="G33" s="166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223"/>
      <c r="AT33" s="223"/>
      <c r="AU33" s="223"/>
      <c r="AV33" s="223"/>
      <c r="AW33" s="223"/>
      <c r="AX33" s="192"/>
      <c r="AY33" s="192"/>
      <c r="AZ33" s="192"/>
      <c r="BA33" s="192"/>
      <c r="BB33" s="192"/>
      <c r="BC33" s="192">
        <f>'（居民）工资表-10月'!E26</f>
        <v>135801.72</v>
      </c>
      <c r="BD33" s="244"/>
    </row>
    <row r="34" s="154" customFormat="1" spans="1:56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55"/>
      <c r="AK34" s="155"/>
      <c r="AL34" s="155"/>
      <c r="AM34" s="155"/>
      <c r="AN34" s="155"/>
      <c r="AO34" s="155"/>
      <c r="AP34" s="155"/>
      <c r="AQ34" s="155"/>
      <c r="AR34" s="155"/>
      <c r="AS34" s="156"/>
      <c r="AT34" s="156"/>
      <c r="AU34" s="156"/>
      <c r="AV34" s="156"/>
      <c r="AW34" s="156"/>
      <c r="AX34" s="155"/>
      <c r="AY34" s="155"/>
      <c r="AZ34" s="155"/>
      <c r="BA34" s="155"/>
      <c r="BB34" s="155"/>
      <c r="BC34" s="155"/>
      <c r="BD34" s="157"/>
    </row>
    <row r="36" spans="50:55">
      <c r="AX36" s="245"/>
      <c r="AY36" s="245"/>
      <c r="BC36" s="246"/>
    </row>
  </sheetData>
  <mergeCells count="82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0:AY20"/>
    <mergeCell ref="AZ20:BA20"/>
    <mergeCell ref="AX21:AY21"/>
    <mergeCell ref="AZ21:BA21"/>
    <mergeCell ref="AX22:AY22"/>
    <mergeCell ref="AZ22:BA22"/>
    <mergeCell ref="AX23:AY23"/>
    <mergeCell ref="AZ23:BA23"/>
    <mergeCell ref="AX24:AY24"/>
    <mergeCell ref="AZ24:BA24"/>
    <mergeCell ref="AX25:AY25"/>
    <mergeCell ref="AZ25:BA25"/>
    <mergeCell ref="AX26:AY26"/>
    <mergeCell ref="AZ26:BA26"/>
    <mergeCell ref="AX27:AY27"/>
    <mergeCell ref="AZ27:BA27"/>
    <mergeCell ref="AX28:AY28"/>
    <mergeCell ref="AZ28:BA28"/>
    <mergeCell ref="AX29:AY29"/>
    <mergeCell ref="AZ29:BA29"/>
    <mergeCell ref="AX32:AY32"/>
    <mergeCell ref="AZ32:BA32"/>
    <mergeCell ref="AX36:AY36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0" priority="2" stopIfTrue="1"/>
  </conditionalFormatting>
  <conditionalFormatting sqref="K1:L1">
    <cfRule type="duplicateValues" dxfId="0" priority="3" stopIfTrue="1"/>
  </conditionalFormatting>
  <conditionalFormatting sqref="Q1">
    <cfRule type="duplicateValues" dxfId="0" priority="4" stopIfTrue="1"/>
  </conditionalFormatting>
  <conditionalFormatting sqref="V1">
    <cfRule type="duplicateValues" dxfId="0" priority="5" stopIfTrue="1"/>
  </conditionalFormatting>
  <conditionalFormatting sqref="AG1">
    <cfRule type="duplicateValues" dxfId="0" priority="6" stopIfTrue="1"/>
  </conditionalFormatting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11" sqref="M11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</row>
    <row r="2" s="11" customFormat="1" ht="20.15" customHeight="1" spans="1:38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</row>
    <row r="4" s="12" customFormat="1" ht="18" customHeight="1" spans="1:40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41">
        <v>13944441728</v>
      </c>
      <c r="H4" s="40"/>
      <c r="I4" s="40"/>
      <c r="J4" s="70"/>
      <c r="K4" s="40"/>
      <c r="L4" s="73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>ROUND(SUM(M4:P4),2)</f>
        <v>560.99</v>
      </c>
      <c r="R4" s="73">
        <v>0</v>
      </c>
      <c r="S4" s="92">
        <f>L4+IFERROR(VLOOKUP($E:$E,'（居民）工资表-6月'!$E:$S,15,0),0)</f>
        <v>54000</v>
      </c>
      <c r="T4" s="93">
        <f>5000+IFERROR(VLOOKUP($E:$E,'（居民）工资表-6月'!$E:$T,16,0),0)</f>
        <v>35000</v>
      </c>
      <c r="U4" s="93">
        <f>Q4+IFERROR(VLOOKUP($E:$E,'（居民）工资表-6月'!$E:$U,17,0),0)</f>
        <v>4042.18</v>
      </c>
      <c r="V4" s="73">
        <v>7000</v>
      </c>
      <c r="W4" s="73"/>
      <c r="X4" s="73">
        <v>7000</v>
      </c>
      <c r="Y4" s="73"/>
      <c r="Z4" s="73">
        <v>2800</v>
      </c>
      <c r="AA4" s="73"/>
      <c r="AB4" s="92">
        <f>ROUND(SUM(V4:AA4),2)</f>
        <v>16800</v>
      </c>
      <c r="AC4" s="92">
        <f>R4+IFERROR(VLOOKUP($E:$E,'（居民）工资表-6月'!$E:$AC,25,0),0)</f>
        <v>0</v>
      </c>
      <c r="AD4" s="97">
        <f>ROUND(S4-T4-U4-AB4-AC4,2)</f>
        <v>-1842.18</v>
      </c>
      <c r="AE4" s="98">
        <f>ROUND(MAX((AD4)*{0.03;0.1;0.2;0.25;0.3;0.35;0.45}-{0;2520;16920;31920;52920;85920;181920},0),2)</f>
        <v>0</v>
      </c>
      <c r="AF4" s="99">
        <f>IFERROR(VLOOKUP(E:E,'（居民）工资表-6月'!E:AF,28,0)+VLOOKUP(E:E,'（居民）工资表-6月'!E:AG,29,0),0)</f>
        <v>375.56</v>
      </c>
      <c r="AG4" s="99">
        <f>IF((AE4-AF4)&lt;0,0,AE4-AF4)</f>
        <v>0</v>
      </c>
      <c r="AH4" s="109">
        <f>ROUND(IF((L4-Q4-AG4)&lt;0,0,(L4-Q4-AG4)),2)</f>
        <v>7439.01</v>
      </c>
      <c r="AI4" s="110"/>
      <c r="AJ4" s="109">
        <f>AH4+AI4</f>
        <v>7439.01</v>
      </c>
      <c r="AK4" s="111"/>
      <c r="AL4" s="109">
        <f>AJ4+AG4+AK4</f>
        <v>7439.01</v>
      </c>
      <c r="AM4" s="12" t="s">
        <v>199</v>
      </c>
      <c r="AN4" s="12" t="s">
        <v>51</v>
      </c>
    </row>
    <row r="5" s="12" customFormat="1" ht="18" customHeight="1" spans="1:40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41">
        <v>15360550807</v>
      </c>
      <c r="H5" s="40"/>
      <c r="I5" s="40"/>
      <c r="J5" s="70"/>
      <c r="K5" s="40"/>
      <c r="L5" s="73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>ROUND(SUM(M5:P5),2)</f>
        <v>600.12</v>
      </c>
      <c r="R5" s="73">
        <v>0</v>
      </c>
      <c r="S5" s="92">
        <f>L5+IFERROR(VLOOKUP($E:$E,'（居民）工资表-6月'!$E:$S,15,0),0)</f>
        <v>39900</v>
      </c>
      <c r="T5" s="93">
        <f>5000+IFERROR(VLOOKUP($E:$E,'（居民）工资表-6月'!$E:$T,16,0),0)</f>
        <v>35000</v>
      </c>
      <c r="U5" s="93">
        <f>Q5+IFERROR(VLOOKUP($E:$E,'（居民）工资表-6月'!$E:$U,17,0),0)</f>
        <v>4200.84</v>
      </c>
      <c r="V5" s="73"/>
      <c r="W5" s="73"/>
      <c r="X5" s="73">
        <v>7000</v>
      </c>
      <c r="Y5" s="73"/>
      <c r="Z5" s="73"/>
      <c r="AA5" s="73"/>
      <c r="AB5" s="92">
        <f>ROUND(SUM(V5:AA5),2)</f>
        <v>7000</v>
      </c>
      <c r="AC5" s="92">
        <f>R5+IFERROR(VLOOKUP($E:$E,'（居民）工资表-6月'!$E:$AC,25,0),0)</f>
        <v>0</v>
      </c>
      <c r="AD5" s="97">
        <f>ROUND(S5-T5-U5-AB5-AC5,2)</f>
        <v>-6300.84</v>
      </c>
      <c r="AE5" s="98">
        <f>ROUND(MAX((AD5)*{0.03;0.1;0.2;0.25;0.3;0.35;0.45}-{0;2520;16920;31920;52920;85920;181920},0),2)</f>
        <v>0</v>
      </c>
      <c r="AF5" s="99">
        <f>IFERROR(VLOOKUP(E:E,'（居民）工资表-6月'!E:AF,28,0)+VLOOKUP(E:E,'（居民）工资表-6月'!E:AG,29,0),0)</f>
        <v>17.98</v>
      </c>
      <c r="AG5" s="99">
        <f>IF((AE5-AF5)&lt;0,0,AE5-AF5)</f>
        <v>0</v>
      </c>
      <c r="AH5" s="109">
        <f>ROUND(IF((L5-Q5-AG5)&lt;0,0,(L5-Q5-AG5)),2)</f>
        <v>5099.88</v>
      </c>
      <c r="AI5" s="110"/>
      <c r="AJ5" s="109">
        <f>AH5+AI5</f>
        <v>5099.88</v>
      </c>
      <c r="AK5" s="111"/>
      <c r="AL5" s="109">
        <f>AJ5+AG5+AK5</f>
        <v>5099.88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41" t="s">
        <v>201</v>
      </c>
      <c r="H6" s="40"/>
      <c r="I6" s="40"/>
      <c r="J6" s="70"/>
      <c r="K6" s="40"/>
      <c r="L6" s="73">
        <v>30560</v>
      </c>
      <c r="M6" s="72">
        <v>584.8</v>
      </c>
      <c r="N6" s="72">
        <v>146.2</v>
      </c>
      <c r="O6" s="72">
        <v>36.55</v>
      </c>
      <c r="P6" s="72">
        <v>181.3</v>
      </c>
      <c r="Q6" s="91">
        <f>ROUND(SUM(M6:P6),2)</f>
        <v>948.85</v>
      </c>
      <c r="R6" s="73">
        <v>0</v>
      </c>
      <c r="S6" s="92">
        <f>L6+IFERROR(VLOOKUP($E:$E,'（居民）工资表-6月'!$E:$S,15,0),0)</f>
        <v>210920</v>
      </c>
      <c r="T6" s="93">
        <f>5000+IFERROR(VLOOKUP($E:$E,'（居民）工资表-6月'!$E:$T,16,0),0)</f>
        <v>35000</v>
      </c>
      <c r="U6" s="93">
        <f>Q6+IFERROR(VLOOKUP($E:$E,'（居民）工资表-6月'!$E:$U,17,0),0)</f>
        <v>6144.25</v>
      </c>
      <c r="V6" s="73"/>
      <c r="W6" s="73"/>
      <c r="X6" s="73"/>
      <c r="Y6" s="73">
        <v>10500</v>
      </c>
      <c r="Z6" s="73"/>
      <c r="AA6" s="73"/>
      <c r="AB6" s="92">
        <f>ROUND(SUM(V6:AA6),2)</f>
        <v>10500</v>
      </c>
      <c r="AC6" s="92">
        <f>R6+IFERROR(VLOOKUP($E:$E,'（居民）工资表-6月'!$E:$AC,25,0),0)</f>
        <v>0</v>
      </c>
      <c r="AD6" s="97">
        <f>ROUND(S6-T6-U6-AB6-AC6,2)</f>
        <v>159275.75</v>
      </c>
      <c r="AE6" s="98">
        <f>ROUND(MAX((AD6)*{0.03;0.1;0.2;0.25;0.3;0.35;0.45}-{0;2520;16920;31920;52920;85920;181920},0),2)</f>
        <v>14935.15</v>
      </c>
      <c r="AF6" s="99">
        <f>IFERROR(VLOOKUP(E:E,'（居民）工资表-6月'!E:AF,28,0)+VLOOKUP(E:E,'（居民）工资表-6月'!E:AG,29,0),0)</f>
        <v>12112.92</v>
      </c>
      <c r="AG6" s="99">
        <f>IF((AE6-AF6)&lt;0,0,AE6-AF6)</f>
        <v>2822.23</v>
      </c>
      <c r="AH6" s="109">
        <f>ROUND(IF((L6-Q6-AG6)&lt;0,0,(L6-Q6-AG6)),2)</f>
        <v>26788.92</v>
      </c>
      <c r="AI6" s="110"/>
      <c r="AJ6" s="109">
        <f>AH6+AI6</f>
        <v>26788.92</v>
      </c>
      <c r="AK6" s="111"/>
      <c r="AL6" s="109">
        <f>AJ6+AG6+AK6</f>
        <v>29611.15</v>
      </c>
      <c r="AM6" s="12" t="s">
        <v>104</v>
      </c>
      <c r="AN6" s="12" t="s">
        <v>202</v>
      </c>
    </row>
    <row r="7" s="12" customFormat="1" ht="18" customHeight="1" spans="1:40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41" t="s">
        <v>203</v>
      </c>
      <c r="H7" s="40"/>
      <c r="I7" s="40"/>
      <c r="J7" s="70"/>
      <c r="K7" s="40"/>
      <c r="L7" s="73">
        <v>9100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ref="Q7:Q19" si="0">ROUND(SUM(M7:P7),2)</f>
        <v>507.36</v>
      </c>
      <c r="R7" s="73">
        <v>0</v>
      </c>
      <c r="S7" s="92">
        <f>L7+IFERROR(VLOOKUP($E:$E,'（居民）工资表-6月'!$E:$S,15,0),0)</f>
        <v>49100</v>
      </c>
      <c r="T7" s="93">
        <f>5000+IFERROR(VLOOKUP($E:$E,'（居民）工资表-6月'!$E:$T,16,0),0)</f>
        <v>35000</v>
      </c>
      <c r="U7" s="93">
        <f>Q7+IFERROR(VLOOKUP($E:$E,'（居民）工资表-6月'!$E:$U,17,0),0)</f>
        <v>3781.78</v>
      </c>
      <c r="V7" s="73"/>
      <c r="W7" s="73"/>
      <c r="X7" s="73">
        <v>5000</v>
      </c>
      <c r="Y7" s="73"/>
      <c r="Z7" s="73"/>
      <c r="AA7" s="73"/>
      <c r="AB7" s="92">
        <f t="shared" ref="AB7:AB19" si="1">ROUND(SUM(V7:AA7),2)</f>
        <v>5000</v>
      </c>
      <c r="AC7" s="92">
        <f>R7+IFERROR(VLOOKUP($E:$E,'（居民）工资表-6月'!$E:$AC,25,0),0)</f>
        <v>0</v>
      </c>
      <c r="AD7" s="97">
        <f t="shared" ref="AD7:AD19" si="2">ROUND(S7-T7-U7-AB7-AC7,2)</f>
        <v>5318.22</v>
      </c>
      <c r="AE7" s="98">
        <f>ROUND(MAX((AD7)*{0.03;0.1;0.2;0.25;0.3;0.35;0.45}-{0;2520;16920;31920;52920;85920;181920},0),2)</f>
        <v>159.55</v>
      </c>
      <c r="AF7" s="99">
        <f>IFERROR(VLOOKUP(E:E,'（居民）工资表-6月'!E:AF,28,0)+VLOOKUP(E:E,'（居民）工资表-6月'!E:AG,29,0),0)</f>
        <v>201.77</v>
      </c>
      <c r="AG7" s="99">
        <f t="shared" ref="AG7:AG19" si="3">IF((AE7-AF7)&lt;0,0,AE7-AF7)</f>
        <v>0</v>
      </c>
      <c r="AH7" s="109">
        <f t="shared" ref="AH7:AH19" si="4">ROUND(IF((L7-Q7-AG7)&lt;0,0,(L7-Q7-AG7)),2)</f>
        <v>8592.64</v>
      </c>
      <c r="AI7" s="110"/>
      <c r="AJ7" s="109">
        <f t="shared" ref="AJ7:AJ19" si="5">AH7+AI7</f>
        <v>8592.64</v>
      </c>
      <c r="AK7" s="111"/>
      <c r="AL7" s="109">
        <f t="shared" ref="AL7:AL19" si="6">AJ7+AG7+AK7</f>
        <v>8592.64</v>
      </c>
      <c r="AM7" s="12" t="s">
        <v>146</v>
      </c>
      <c r="AN7" s="12" t="s">
        <v>51</v>
      </c>
    </row>
    <row r="8" s="12" customFormat="1" ht="18" customHeight="1" spans="1:40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38" t="s">
        <v>198</v>
      </c>
      <c r="G8" s="41">
        <v>19356875630</v>
      </c>
      <c r="H8" s="40"/>
      <c r="I8" s="40"/>
      <c r="J8" s="70"/>
      <c r="K8" s="40"/>
      <c r="L8" s="73">
        <v>10300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L8+IFERROR(VLOOKUP($E:$E,'（居民）工资表-6月'!$E:$S,15,0),0)</f>
        <v>56800</v>
      </c>
      <c r="T8" s="93">
        <f>5000+IFERROR(VLOOKUP($E:$E,'（居民）工资表-6月'!$E:$T,16,0),0)</f>
        <v>35000</v>
      </c>
      <c r="U8" s="93">
        <f>Q8+IFERROR(VLOOKUP($E:$E,'（居民）工资表-6月'!$E:$U,17,0),0)</f>
        <v>4402.78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R8+IFERROR(VLOOKUP($E:$E,'（居民）工资表-6月'!$E:$AC,25,0),0)</f>
        <v>0</v>
      </c>
      <c r="AD8" s="97">
        <f t="shared" si="2"/>
        <v>17397.22</v>
      </c>
      <c r="AE8" s="98">
        <f>ROUND(MAX((AD8)*{0.03;0.1;0.2;0.25;0.3;0.35;0.45}-{0;2520;16920;31920;52920;85920;181920},0),2)</f>
        <v>521.92</v>
      </c>
      <c r="AF8" s="99">
        <f>IFERROR(VLOOKUP(E:E,'（居民）工资表-6月'!E:AF,28,0)+VLOOKUP(E:E,'（居民）工资表-6月'!E:AG,29,0),0)</f>
        <v>380.33</v>
      </c>
      <c r="AG8" s="99">
        <f t="shared" si="3"/>
        <v>141.59</v>
      </c>
      <c r="AH8" s="109">
        <f t="shared" si="4"/>
        <v>9578.05</v>
      </c>
      <c r="AI8" s="110"/>
      <c r="AJ8" s="109">
        <f t="shared" si="5"/>
        <v>9578.05</v>
      </c>
      <c r="AK8" s="111"/>
      <c r="AL8" s="109">
        <f t="shared" si="6"/>
        <v>9719.64</v>
      </c>
      <c r="AM8" s="12" t="s">
        <v>146</v>
      </c>
      <c r="AN8" s="12" t="s">
        <v>51</v>
      </c>
    </row>
    <row r="9" s="12" customFormat="1" ht="18" customHeight="1" spans="1:40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38" t="s">
        <v>198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L9+IFERROR(VLOOKUP($E:$E,'（居民）工资表-6月'!$E:$S,15,0),0)</f>
        <v>45500</v>
      </c>
      <c r="T9" s="93">
        <f>5000+IFERROR(VLOOKUP($E:$E,'（居民）工资表-6月'!$E:$T,16,0),0)</f>
        <v>35000</v>
      </c>
      <c r="U9" s="93">
        <f>Q9+IFERROR(VLOOKUP($E:$E,'（居民）工资表-6月'!$E:$U,17,0),0)</f>
        <v>3640.62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R9+IFERROR(VLOOKUP($E:$E,'（居民）工资表-6月'!$E:$AC,25,0),0)</f>
        <v>0</v>
      </c>
      <c r="AD9" s="97">
        <f t="shared" si="2"/>
        <v>6859.38</v>
      </c>
      <c r="AE9" s="98">
        <f>ROUND(MAX((AD9)*{0.03;0.1;0.2;0.25;0.3;0.35;0.45}-{0;2520;16920;31920;52920;85920;181920},0),2)</f>
        <v>205.78</v>
      </c>
      <c r="AF9" s="99">
        <f>IFERROR(VLOOKUP(E:E,'（居民）工资表-6月'!E:AF,28,0)+VLOOKUP(E:E,'（居民）工资表-6月'!E:AG,29,0),0)</f>
        <v>176.21</v>
      </c>
      <c r="AG9" s="99">
        <f t="shared" si="3"/>
        <v>29.57</v>
      </c>
      <c r="AH9" s="109">
        <f t="shared" si="4"/>
        <v>5956.27</v>
      </c>
      <c r="AI9" s="110"/>
      <c r="AJ9" s="109">
        <f t="shared" si="5"/>
        <v>5956.27</v>
      </c>
      <c r="AK9" s="111"/>
      <c r="AL9" s="109">
        <f t="shared" si="6"/>
        <v>5985.84</v>
      </c>
      <c r="AM9" s="12" t="s">
        <v>204</v>
      </c>
      <c r="AN9" s="12" t="s">
        <v>51</v>
      </c>
    </row>
    <row r="10" s="12" customFormat="1" ht="18" customHeight="1" spans="1:40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41" t="s">
        <v>205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L10+IFERROR(VLOOKUP($E:$E,'（居民）工资表-6月'!$E:$S,15,0),0)</f>
        <v>38500</v>
      </c>
      <c r="T10" s="93">
        <f>5000+IFERROR(VLOOKUP($E:$E,'（居民）工资表-6月'!$E:$T,16,0),0)</f>
        <v>35000</v>
      </c>
      <c r="U10" s="93">
        <f>Q10+IFERROR(VLOOKUP($E:$E,'（居民）工资表-6月'!$E:$U,17,0),0)</f>
        <v>3678.43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R10+IFERROR(VLOOKUP($E:$E,'（居民）工资表-6月'!$E:$AC,25,0),0)</f>
        <v>0</v>
      </c>
      <c r="AD10" s="97">
        <f t="shared" si="2"/>
        <v>-178.43</v>
      </c>
      <c r="AE10" s="98">
        <f>ROUND(MAX((AD10)*{0.03;0.1;0.2;0.25;0.3;0.35;0.45}-{0;2520;16920;31920;52920;85920;181920},0),2)</f>
        <v>0</v>
      </c>
      <c r="AF10" s="99">
        <f>IFERROR(VLOOKUP(E:E,'（居民）工资表-6月'!E:AF,28,0)+VLOOKUP(E:E,'（居民）工资表-6月'!E:AG,29,0),0)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2" t="s">
        <v>135</v>
      </c>
      <c r="AN10" s="12" t="s">
        <v>206</v>
      </c>
    </row>
    <row r="11" s="12" customFormat="1" ht="18" customHeight="1" spans="1:40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41" t="s">
        <v>207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L11+IFERROR(VLOOKUP($E:$E,'（居民）工资表-6月'!$E:$S,15,0),0)</f>
        <v>32191.6</v>
      </c>
      <c r="T11" s="93">
        <f>5000+IFERROR(VLOOKUP($E:$E,'（居民）工资表-6月'!$E:$T,16,0),0)</f>
        <v>35000</v>
      </c>
      <c r="U11" s="93">
        <f>Q11+IFERROR(VLOOKUP($E:$E,'（居民）工资表-6月'!$E:$U,17,0),0)</f>
        <v>4150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R11+IFERROR(VLOOKUP($E:$E,'（居民）工资表-6月'!$E:$AC,25,0),0)</f>
        <v>0</v>
      </c>
      <c r="AD11" s="97">
        <f t="shared" si="2"/>
        <v>-6958.4</v>
      </c>
      <c r="AE11" s="98">
        <f>ROUND(MAX((AD11)*{0.03;0.1;0.2;0.25;0.3;0.35;0.45}-{0;2520;16920;31920;52920;85920;181920},0),2)</f>
        <v>0</v>
      </c>
      <c r="AF11" s="99">
        <f>IFERROR(VLOOKUP(E:E,'（居民）工资表-6月'!E:AF,28,0)+VLOOKUP(E:E,'（居民）工资表-6月'!E:AG,29,0),0)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2" t="s">
        <v>138</v>
      </c>
      <c r="AN11" s="12" t="s">
        <v>208</v>
      </c>
    </row>
    <row r="12" s="12" customFormat="1" ht="18" customHeight="1" spans="1:40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41">
        <v>18356553626</v>
      </c>
      <c r="H12" s="40"/>
      <c r="I12" s="40"/>
      <c r="J12" s="70"/>
      <c r="K12" s="40"/>
      <c r="L12" s="73">
        <v>10300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L12+IFERROR(VLOOKUP($E:$E,'（居民）工资表-6月'!$E:$S,15,0),0)</f>
        <v>48418.18</v>
      </c>
      <c r="T12" s="93">
        <f>5000+IFERROR(VLOOKUP($E:$E,'（居民）工资表-6月'!$E:$T,16,0),0)</f>
        <v>35000</v>
      </c>
      <c r="U12" s="93">
        <f>Q12+IFERROR(VLOOKUP($E:$E,'（居民）工资表-6月'!$E:$U,17,0),0)</f>
        <v>3731.51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R12+IFERROR(VLOOKUP($E:$E,'（居民）工资表-6月'!$E:$AC,25,0),0)</f>
        <v>0</v>
      </c>
      <c r="AD12" s="97">
        <f t="shared" si="2"/>
        <v>9686.67</v>
      </c>
      <c r="AE12" s="98">
        <f>ROUND(MAX((AD12)*{0.03;0.1;0.2;0.25;0.3;0.35;0.45}-{0;2520;16920;31920;52920;85920;181920},0),2)</f>
        <v>290.6</v>
      </c>
      <c r="AF12" s="99">
        <f>IFERROR(VLOOKUP(E:E,'（居民）工资表-6月'!E:AF,28,0)+VLOOKUP(E:E,'（居民）工资表-6月'!E:AG,29,0),0)</f>
        <v>147.66</v>
      </c>
      <c r="AG12" s="99">
        <f t="shared" si="3"/>
        <v>142.94</v>
      </c>
      <c r="AH12" s="109">
        <f t="shared" si="4"/>
        <v>9621.85</v>
      </c>
      <c r="AI12" s="110"/>
      <c r="AJ12" s="109">
        <f t="shared" si="5"/>
        <v>9621.85</v>
      </c>
      <c r="AK12" s="111"/>
      <c r="AL12" s="109">
        <f t="shared" si="6"/>
        <v>9764.79</v>
      </c>
      <c r="AM12" s="12" t="s">
        <v>146</v>
      </c>
      <c r="AN12" s="12" t="s">
        <v>51</v>
      </c>
    </row>
    <row r="13" s="12" customFormat="1" ht="18" customHeight="1" spans="1:40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41">
        <v>18326897140</v>
      </c>
      <c r="H13" s="40"/>
      <c r="I13" s="40"/>
      <c r="J13" s="70"/>
      <c r="K13" s="40"/>
      <c r="L13" s="73">
        <v>9000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L13+IFERROR(VLOOKUP($E:$E,'（居民）工资表-6月'!$E:$S,15,0),0)</f>
        <v>40450</v>
      </c>
      <c r="T13" s="93">
        <f>5000+IFERROR(VLOOKUP($E:$E,'（居民）工资表-6月'!$E:$T,16,0),0)</f>
        <v>35000</v>
      </c>
      <c r="U13" s="93">
        <f>Q13+IFERROR(VLOOKUP($E:$E,'（居民）工资表-6月'!$E:$U,17,0),0)</f>
        <v>4191.73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R13+IFERROR(VLOOKUP($E:$E,'（居民）工资表-6月'!$E:$AC,25,0),0)</f>
        <v>0</v>
      </c>
      <c r="AD13" s="97">
        <f t="shared" si="2"/>
        <v>1258.27</v>
      </c>
      <c r="AE13" s="98">
        <f>ROUND(MAX((AD13)*{0.03;0.1;0.2;0.25;0.3;0.35;0.45}-{0;2520;16920;31920;52920;85920;181920},0),2)</f>
        <v>37.75</v>
      </c>
      <c r="AF13" s="99">
        <f>IFERROR(VLOOKUP(E:E,'（居民）工资表-6月'!E:AF,28,0)+VLOOKUP(E:E,'（居民）工资表-6月'!E:AG,29,0),0)</f>
        <v>0</v>
      </c>
      <c r="AG13" s="99">
        <f t="shared" si="3"/>
        <v>37.75</v>
      </c>
      <c r="AH13" s="109">
        <f t="shared" si="4"/>
        <v>8381.89</v>
      </c>
      <c r="AI13" s="110"/>
      <c r="AJ13" s="109">
        <f t="shared" si="5"/>
        <v>8381.89</v>
      </c>
      <c r="AK13" s="111"/>
      <c r="AL13" s="109">
        <f t="shared" si="6"/>
        <v>8419.64</v>
      </c>
      <c r="AM13" s="12" t="s">
        <v>146</v>
      </c>
      <c r="AN13" s="12" t="s">
        <v>51</v>
      </c>
    </row>
    <row r="14" s="12" customFormat="1" ht="18" customHeight="1" spans="1:40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41">
        <v>17201857014</v>
      </c>
      <c r="H14" s="40"/>
      <c r="I14" s="40"/>
      <c r="J14" s="70"/>
      <c r="K14" s="40"/>
      <c r="L14" s="73">
        <v>9000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L14+IFERROR(VLOOKUP($E:$E,'（居民）工资表-6月'!$E:$S,15,0),0)</f>
        <v>40550</v>
      </c>
      <c r="T14" s="93">
        <f>5000+IFERROR(VLOOKUP($E:$E,'（居民）工资表-6月'!$E:$T,16,0),0)</f>
        <v>35000</v>
      </c>
      <c r="U14" s="93">
        <f>Q14+IFERROR(VLOOKUP($E:$E,'（居民）工资表-6月'!$E:$U,17,0),0)</f>
        <v>4191.73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R14+IFERROR(VLOOKUP($E:$E,'（居民）工资表-6月'!$E:$AC,25,0),0)</f>
        <v>0</v>
      </c>
      <c r="AD14" s="97">
        <f t="shared" si="2"/>
        <v>1358.27</v>
      </c>
      <c r="AE14" s="98">
        <f>ROUND(MAX((AD14)*{0.03;0.1;0.2;0.25;0.3;0.35;0.45}-{0;2520;16920;31920;52920;85920;181920},0),2)</f>
        <v>40.75</v>
      </c>
      <c r="AF14" s="99">
        <f>IFERROR(VLOOKUP(E:E,'（居民）工资表-6月'!E:AF,28,0)+VLOOKUP(E:E,'（居民）工资表-6月'!E:AG,29,0),0)</f>
        <v>0</v>
      </c>
      <c r="AG14" s="99">
        <f t="shared" si="3"/>
        <v>40.75</v>
      </c>
      <c r="AH14" s="109">
        <f t="shared" si="4"/>
        <v>8378.89</v>
      </c>
      <c r="AI14" s="110"/>
      <c r="AJ14" s="109">
        <f t="shared" si="5"/>
        <v>8378.89</v>
      </c>
      <c r="AK14" s="111"/>
      <c r="AL14" s="109">
        <f t="shared" si="6"/>
        <v>8419.64</v>
      </c>
      <c r="AM14" s="12" t="s">
        <v>146</v>
      </c>
      <c r="AN14" s="12" t="s">
        <v>51</v>
      </c>
    </row>
    <row r="15" s="12" customFormat="1" ht="18" customHeight="1" spans="1:40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41" t="s">
        <v>209</v>
      </c>
      <c r="H15" s="40"/>
      <c r="I15" s="40"/>
      <c r="J15" s="70"/>
      <c r="K15" s="40"/>
      <c r="L15" s="73">
        <v>8800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L15+IFERROR(VLOOKUP($E:$E,'（居民）工资表-6月'!$E:$S,15,0),0)</f>
        <v>47109.09</v>
      </c>
      <c r="T15" s="93">
        <f>5000+IFERROR(VLOOKUP($E:$E,'（居民）工资表-6月'!$E:$T,16,0),0)</f>
        <v>35000</v>
      </c>
      <c r="U15" s="93">
        <f>Q15+IFERROR(VLOOKUP($E:$E,'（居民）工资表-6月'!$E:$U,17,0),0)</f>
        <v>3739.55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R15+IFERROR(VLOOKUP($E:$E,'（居民）工资表-6月'!$E:$AC,25,0),0)</f>
        <v>0</v>
      </c>
      <c r="AD15" s="97">
        <f t="shared" si="2"/>
        <v>8369.54</v>
      </c>
      <c r="AE15" s="98">
        <f>ROUND(MAX((AD15)*{0.03;0.1;0.2;0.25;0.3;0.35;0.45}-{0;2520;16920;31920;52920;85920;181920},0),2)</f>
        <v>251.09</v>
      </c>
      <c r="AF15" s="99">
        <f>IFERROR(VLOOKUP(E:E,'（居民）工资表-6月'!E:AF,28,0)+VLOOKUP(E:E,'（居民）工资表-6月'!E:AG,29,0),0)</f>
        <v>153.14</v>
      </c>
      <c r="AG15" s="99">
        <f t="shared" si="3"/>
        <v>97.95</v>
      </c>
      <c r="AH15" s="109">
        <f t="shared" si="4"/>
        <v>8166.84</v>
      </c>
      <c r="AI15" s="110"/>
      <c r="AJ15" s="109">
        <f t="shared" si="5"/>
        <v>8166.84</v>
      </c>
      <c r="AK15" s="111"/>
      <c r="AL15" s="109">
        <f t="shared" si="6"/>
        <v>8264.79</v>
      </c>
      <c r="AM15" s="12" t="s">
        <v>146</v>
      </c>
      <c r="AN15" s="12" t="s">
        <v>51</v>
      </c>
    </row>
    <row r="16" s="12" customFormat="1" ht="18" customHeight="1" spans="1:40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41">
        <v>15855788591</v>
      </c>
      <c r="H16" s="40"/>
      <c r="I16" s="40"/>
      <c r="J16" s="70"/>
      <c r="K16" s="40"/>
      <c r="L16" s="73">
        <v>7360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L16+IFERROR(VLOOKUP($E:$E,'（居民）工资表-6月'!$E:$S,15,0),0)</f>
        <v>38692</v>
      </c>
      <c r="T16" s="93">
        <f>5000+IFERROR(VLOOKUP($E:$E,'（居民）工资表-6月'!$E:$T,16,0),0)</f>
        <v>35000</v>
      </c>
      <c r="U16" s="93">
        <f>Q16+IFERROR(VLOOKUP($E:$E,'（居民）工资表-6月'!$E:$U,17,0),0)</f>
        <v>4013.88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R16+IFERROR(VLOOKUP($E:$E,'（居民）工资表-6月'!$E:$AC,25,0),0)</f>
        <v>0</v>
      </c>
      <c r="AD16" s="97">
        <f t="shared" si="2"/>
        <v>-321.88</v>
      </c>
      <c r="AE16" s="98">
        <f>ROUND(MAX((AD16)*{0.03;0.1;0.2;0.25;0.3;0.35;0.45}-{0;2520;16920;31920;52920;85920;181920},0),2)</f>
        <v>0</v>
      </c>
      <c r="AF16" s="99">
        <f>IFERROR(VLOOKUP(E:E,'（居民）工资表-6月'!E:AF,28,0)+VLOOKUP(E:E,'（居民）工资表-6月'!E:AG,29,0),0)</f>
        <v>0</v>
      </c>
      <c r="AG16" s="99">
        <f t="shared" si="3"/>
        <v>0</v>
      </c>
      <c r="AH16" s="109">
        <f t="shared" si="4"/>
        <v>6852.64</v>
      </c>
      <c r="AI16" s="110"/>
      <c r="AJ16" s="109">
        <f t="shared" si="5"/>
        <v>6852.64</v>
      </c>
      <c r="AK16" s="111"/>
      <c r="AL16" s="109">
        <f t="shared" si="6"/>
        <v>6852.64</v>
      </c>
      <c r="AM16" s="12" t="s">
        <v>146</v>
      </c>
      <c r="AN16" s="12" t="s">
        <v>51</v>
      </c>
    </row>
    <row r="17" s="12" customFormat="1" ht="18" customHeight="1" spans="1:40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41">
        <v>13873717760</v>
      </c>
      <c r="H17" s="40"/>
      <c r="I17" s="40"/>
      <c r="J17" s="70"/>
      <c r="K17" s="40"/>
      <c r="L17" s="73">
        <v>7060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L17+IFERROR(VLOOKUP($E:$E,'（居民）工资表-6月'!$E:$S,15,0),0)</f>
        <v>37585</v>
      </c>
      <c r="T17" s="93">
        <f>5000+IFERROR(VLOOKUP($E:$E,'（居民）工资表-6月'!$E:$T,16,0),0)</f>
        <v>35000</v>
      </c>
      <c r="U17" s="93">
        <f>Q17+IFERROR(VLOOKUP($E:$E,'（居民）工资表-6月'!$E:$U,17,0),0)</f>
        <v>4804.99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R17+IFERROR(VLOOKUP($E:$E,'（居民）工资表-6月'!$E:$AC,25,0),0)</f>
        <v>0</v>
      </c>
      <c r="AD17" s="97">
        <f t="shared" si="2"/>
        <v>-2219.99</v>
      </c>
      <c r="AE17" s="98">
        <f>ROUND(MAX((AD17)*{0.03;0.1;0.2;0.25;0.3;0.35;0.45}-{0;2520;16920;31920;52920;85920;181920},0),2)</f>
        <v>0</v>
      </c>
      <c r="AF17" s="99">
        <f>IFERROR(VLOOKUP(E:E,'（居民）工资表-6月'!E:AF,28,0)+VLOOKUP(E:E,'（居民）工资表-6月'!E:AG,29,0),0)</f>
        <v>0</v>
      </c>
      <c r="AG17" s="99">
        <f t="shared" si="3"/>
        <v>0</v>
      </c>
      <c r="AH17" s="109">
        <f t="shared" si="4"/>
        <v>6470.84</v>
      </c>
      <c r="AI17" s="110"/>
      <c r="AJ17" s="109">
        <f t="shared" si="5"/>
        <v>6470.84</v>
      </c>
      <c r="AK17" s="111"/>
      <c r="AL17" s="109">
        <f t="shared" si="6"/>
        <v>6470.84</v>
      </c>
      <c r="AM17" s="12" t="s">
        <v>204</v>
      </c>
      <c r="AN17" s="12" t="s">
        <v>51</v>
      </c>
    </row>
    <row r="18" s="12" customFormat="1" ht="18" customHeight="1" spans="1:40">
      <c r="A18" s="36">
        <v>15</v>
      </c>
      <c r="B18" s="37" t="s">
        <v>196</v>
      </c>
      <c r="C18" s="37" t="s">
        <v>147</v>
      </c>
      <c r="D18" s="37" t="s">
        <v>197</v>
      </c>
      <c r="E18" s="383" t="s">
        <v>148</v>
      </c>
      <c r="F18" s="38" t="s">
        <v>200</v>
      </c>
      <c r="G18" s="41"/>
      <c r="H18" s="40"/>
      <c r="I18" s="40"/>
      <c r="J18" s="70"/>
      <c r="K18" s="40"/>
      <c r="L18" s="73">
        <v>5400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L18+IFERROR(VLOOKUP($E:$E,'（居民）工资表-6月'!$E:$S,15,0),0)</f>
        <v>13036.37</v>
      </c>
      <c r="T18" s="93">
        <f>5000+IFERROR(VLOOKUP($E:$E,'（居民）工资表-6月'!$E:$T,16,0),0)</f>
        <v>15000</v>
      </c>
      <c r="U18" s="93">
        <f>Q18+IFERROR(VLOOKUP($E:$E,'（居民）工资表-6月'!$E:$U,17,0),0)</f>
        <v>2021.44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R18+IFERROR(VLOOKUP($E:$E,'（居民）工资表-6月'!$E:$AC,25,0),0)</f>
        <v>0</v>
      </c>
      <c r="AD18" s="97">
        <f t="shared" si="2"/>
        <v>-3985.07</v>
      </c>
      <c r="AE18" s="98">
        <f>ROUND(MAX((AD18)*{0.03;0.1;0.2;0.25;0.3;0.35;0.45}-{0;2520;16920;31920;52920;85920;181920},0),2)</f>
        <v>0</v>
      </c>
      <c r="AF18" s="99">
        <f>IFERROR(VLOOKUP(E:E,'（居民）工资表-6月'!E:AF,28,0)+VLOOKUP(E:E,'（居民）工资表-6月'!E:AG,29,0),0)</f>
        <v>0</v>
      </c>
      <c r="AG18" s="99">
        <f t="shared" si="3"/>
        <v>0</v>
      </c>
      <c r="AH18" s="109">
        <f t="shared" si="4"/>
        <v>4894.64</v>
      </c>
      <c r="AI18" s="110"/>
      <c r="AJ18" s="109">
        <f t="shared" si="5"/>
        <v>4894.64</v>
      </c>
      <c r="AK18" s="111"/>
      <c r="AL18" s="109">
        <f t="shared" si="6"/>
        <v>4894.64</v>
      </c>
      <c r="AM18" s="12" t="s">
        <v>146</v>
      </c>
      <c r="AN18" s="12" t="s">
        <v>51</v>
      </c>
    </row>
    <row r="19" s="12" customFormat="1" ht="18" customHeight="1" spans="1:40">
      <c r="A19" s="36">
        <v>15</v>
      </c>
      <c r="B19" s="37" t="s">
        <v>196</v>
      </c>
      <c r="C19" s="37" t="s">
        <v>152</v>
      </c>
      <c r="D19" s="37" t="s">
        <v>197</v>
      </c>
      <c r="E19" s="383" t="s">
        <v>153</v>
      </c>
      <c r="F19" s="38" t="s">
        <v>200</v>
      </c>
      <c r="G19" s="41">
        <v>15571147351</v>
      </c>
      <c r="H19" s="40"/>
      <c r="I19" s="40"/>
      <c r="J19" s="70"/>
      <c r="K19" s="40"/>
      <c r="L19" s="73">
        <v>1466.67</v>
      </c>
      <c r="M19" s="72">
        <v>652.32</v>
      </c>
      <c r="N19" s="72">
        <v>170.08</v>
      </c>
      <c r="O19" s="72">
        <v>24.46</v>
      </c>
      <c r="P19" s="72">
        <v>201</v>
      </c>
      <c r="Q19" s="91">
        <f t="shared" si="0"/>
        <v>1047.86</v>
      </c>
      <c r="R19" s="73">
        <v>0</v>
      </c>
      <c r="S19" s="92">
        <f>L19+IFERROR(VLOOKUP($E:$E,'（居民）工资表-6月'!$E:$S,15,0),0)</f>
        <v>1466.67</v>
      </c>
      <c r="T19" s="93">
        <f>5000+IFERROR(VLOOKUP($E:$E,'（居民）工资表-6月'!$E:$T,16,0),0)</f>
        <v>5000</v>
      </c>
      <c r="U19" s="93">
        <f>Q19+IFERROR(VLOOKUP($E:$E,'（居民）工资表-6月'!$E:$U,17,0),0)</f>
        <v>1047.86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R19+IFERROR(VLOOKUP($E:$E,'（居民）工资表-6月'!$E:$AC,25,0),0)</f>
        <v>0</v>
      </c>
      <c r="AD19" s="97">
        <f t="shared" si="2"/>
        <v>-4581.19</v>
      </c>
      <c r="AE19" s="98">
        <f>ROUND(MAX((AD19)*{0.03;0.1;0.2;0.25;0.3;0.35;0.45}-{0;2520;16920;31920;52920;85920;181920},0),2)</f>
        <v>0</v>
      </c>
      <c r="AF19" s="99">
        <f>IFERROR(VLOOKUP(E:E,'（居民）工资表-6月'!E:AF,28,0)+VLOOKUP(E:E,'（居民）工资表-6月'!E:AG,29,0),0)</f>
        <v>0</v>
      </c>
      <c r="AG19" s="99">
        <f t="shared" si="3"/>
        <v>0</v>
      </c>
      <c r="AH19" s="109">
        <f t="shared" si="4"/>
        <v>418.81</v>
      </c>
      <c r="AI19" s="110"/>
      <c r="AJ19" s="109">
        <f t="shared" si="5"/>
        <v>418.81</v>
      </c>
      <c r="AK19" s="111"/>
      <c r="AL19" s="109">
        <f t="shared" si="6"/>
        <v>418.81</v>
      </c>
      <c r="AM19" s="12" t="s">
        <v>151</v>
      </c>
      <c r="AN19" s="12" t="s">
        <v>210</v>
      </c>
    </row>
    <row r="20" s="13" customFormat="1" ht="18" customHeight="1" spans="1:38">
      <c r="A20" s="42"/>
      <c r="B20" s="43" t="s">
        <v>211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138645.47</v>
      </c>
      <c r="M20" s="76">
        <f t="shared" ref="M20:AL20" si="7">SUM(M4:M19)</f>
        <v>5652.66</v>
      </c>
      <c r="N20" s="76">
        <f t="shared" si="7"/>
        <v>1592.78</v>
      </c>
      <c r="O20" s="76">
        <f t="shared" si="7"/>
        <v>295.47</v>
      </c>
      <c r="P20" s="76">
        <f t="shared" si="7"/>
        <v>2170.3</v>
      </c>
      <c r="Q20" s="76">
        <f t="shared" si="7"/>
        <v>9711.21</v>
      </c>
      <c r="R20" s="76">
        <f t="shared" si="7"/>
        <v>0</v>
      </c>
      <c r="S20" s="76">
        <f t="shared" si="7"/>
        <v>794218.91</v>
      </c>
      <c r="T20" s="76">
        <f t="shared" si="7"/>
        <v>510000</v>
      </c>
      <c r="U20" s="76">
        <f t="shared" si="7"/>
        <v>61783.57</v>
      </c>
      <c r="V20" s="76">
        <f t="shared" si="7"/>
        <v>7000</v>
      </c>
      <c r="W20" s="76">
        <f t="shared" si="7"/>
        <v>0</v>
      </c>
      <c r="X20" s="76">
        <f t="shared" si="7"/>
        <v>19000</v>
      </c>
      <c r="Y20" s="76">
        <f t="shared" si="7"/>
        <v>10500</v>
      </c>
      <c r="Z20" s="76">
        <f t="shared" si="7"/>
        <v>2800</v>
      </c>
      <c r="AA20" s="76">
        <f t="shared" si="7"/>
        <v>0</v>
      </c>
      <c r="AB20" s="76">
        <f t="shared" si="7"/>
        <v>39300</v>
      </c>
      <c r="AC20" s="76">
        <f t="shared" si="7"/>
        <v>0</v>
      </c>
      <c r="AD20" s="76">
        <f t="shared" si="7"/>
        <v>183135.34</v>
      </c>
      <c r="AE20" s="76">
        <f t="shared" si="7"/>
        <v>16442.59</v>
      </c>
      <c r="AF20" s="76">
        <f t="shared" si="7"/>
        <v>13565.57</v>
      </c>
      <c r="AG20" s="76">
        <f t="shared" si="7"/>
        <v>3312.78</v>
      </c>
      <c r="AH20" s="76">
        <f t="shared" si="7"/>
        <v>125621.48</v>
      </c>
      <c r="AI20" s="76">
        <f t="shared" si="7"/>
        <v>0</v>
      </c>
      <c r="AJ20" s="76">
        <f t="shared" si="7"/>
        <v>125621.48</v>
      </c>
      <c r="AK20" s="76">
        <f t="shared" si="7"/>
        <v>0</v>
      </c>
      <c r="AL20" s="76">
        <f t="shared" si="7"/>
        <v>128934.26</v>
      </c>
    </row>
    <row r="23" spans="30:30">
      <c r="AD23" s="103"/>
    </row>
    <row r="24" ht="18.75" customHeight="1" spans="2:30">
      <c r="B24" s="48" t="s">
        <v>185</v>
      </c>
      <c r="C24" s="48" t="s">
        <v>212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125621.48</v>
      </c>
      <c r="C25" s="49">
        <f>AG20</f>
        <v>3312.78</v>
      </c>
      <c r="D25" s="49">
        <f>AK20</f>
        <v>0</v>
      </c>
      <c r="E25" s="49">
        <f>B25+C25+D25</f>
        <v>128934.26</v>
      </c>
    </row>
    <row r="26" spans="2:5">
      <c r="B26" s="50"/>
      <c r="C26" s="50"/>
      <c r="D26" s="50"/>
      <c r="E26" s="50">
        <f>社保1!BC32</f>
        <v>35452.72</v>
      </c>
    </row>
    <row r="27" s="14" customFormat="1" spans="1:35">
      <c r="A27" s="52" t="s">
        <v>213</v>
      </c>
      <c r="B27" s="53" t="s">
        <v>214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216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217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218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219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220</v>
      </c>
    </row>
    <row r="35" spans="2:2">
      <c r="B35" s="60" t="s">
        <v>221</v>
      </c>
    </row>
    <row r="36" spans="2:2">
      <c r="B36" s="60" t="s">
        <v>222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0" sqref="E20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customWidth="1"/>
    <col min="9" max="9" width="5.26666666666667" style="15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39">
        <v>13944441728</v>
      </c>
      <c r="H4" s="40"/>
      <c r="I4" s="40"/>
      <c r="J4" s="70"/>
      <c r="K4" s="40"/>
      <c r="L4" s="71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 t="shared" ref="Q4:Q7" si="0">ROUND(SUM(M4:P4),2)</f>
        <v>560.99</v>
      </c>
      <c r="R4" s="73">
        <v>0</v>
      </c>
      <c r="S4" s="92">
        <f>L4+IFERROR(VLOOKUP($E:$E,'（居民）工资表-4月'!$E:$S,15,0),0)</f>
        <v>38000</v>
      </c>
      <c r="T4" s="93">
        <f>5000+IFERROR(VLOOKUP($E:$E,'（居民）工资表-4月'!$E:$T,16,0),0)</f>
        <v>25000</v>
      </c>
      <c r="U4" s="93">
        <f>Q4+IFERROR(VLOOKUP($E:$E,'（居民）工资表-4月'!$E:$U,17,0),0)</f>
        <v>2920.2</v>
      </c>
      <c r="V4" s="73"/>
      <c r="W4" s="73"/>
      <c r="X4" s="73"/>
      <c r="Y4" s="73"/>
      <c r="Z4" s="73"/>
      <c r="AA4" s="73"/>
      <c r="AB4" s="92">
        <f t="shared" ref="AB4:AB7" si="1">ROUND(SUM(V4:AA4),2)</f>
        <v>0</v>
      </c>
      <c r="AC4" s="92">
        <f>R4+IFERROR(VLOOKUP($E:$E,'（居民）工资表-4月'!$E:$AC,25,0),0)</f>
        <v>0</v>
      </c>
      <c r="AD4" s="97">
        <f t="shared" ref="AD4:AD7" si="2">ROUND(S4-T4-U4-AB4-AC4,2)</f>
        <v>10079.8</v>
      </c>
      <c r="AE4" s="98">
        <f>ROUND(MAX((AD4)*{0.03;0.1;0.2;0.25;0.3;0.35;0.45}-{0;2520;16920;31920;52920;85920;181920},0),2)</f>
        <v>302.39</v>
      </c>
      <c r="AF4" s="99">
        <f>IFERROR(VLOOKUP(E:E,'（居民）工资表-4月'!E:AF,28,0)+VLOOKUP(E:E,'（居民）工资表-4月'!E:AG,29,0),0)</f>
        <v>229.22</v>
      </c>
      <c r="AG4" s="99">
        <f t="shared" ref="AG4:AG6" si="3">IF((AE4-AF4)&lt;0,0,AE4-AF4)</f>
        <v>73.17</v>
      </c>
      <c r="AH4" s="109">
        <f t="shared" ref="AH4:AH6" si="4">ROUND(IF((L4-Q4-AG4)&lt;0,0,(L4-Q4-AG4)),2)</f>
        <v>7365.84</v>
      </c>
      <c r="AI4" s="110"/>
      <c r="AJ4" s="109">
        <f t="shared" ref="AJ4:AJ7" si="5">AH4+AI4</f>
        <v>7365.84</v>
      </c>
      <c r="AK4" s="111"/>
      <c r="AL4" s="109">
        <f t="shared" ref="AL4:AL7" si="6">AJ4+AG4+AK4</f>
        <v>7439.01</v>
      </c>
      <c r="AM4" s="111"/>
      <c r="AN4" s="111"/>
      <c r="AO4" s="111"/>
      <c r="AP4" s="111"/>
      <c r="AQ4" s="111"/>
      <c r="AR4" s="118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IF(SUMPRODUCT(N(E$1:E$7=E4))&gt;1,"重复","不")</f>
        <v>不</v>
      </c>
      <c r="AT4" s="118" t="str">
        <f>IF(SUMPRODUCT(N(AO$1:AO$7=AO4))&gt;1,"重复","不")</f>
        <v>重复</v>
      </c>
      <c r="AU4" s="12" t="s">
        <v>199</v>
      </c>
      <c r="AV4" s="12" t="s">
        <v>51</v>
      </c>
    </row>
    <row r="5" s="12" customFormat="1" ht="18" customHeight="1" spans="1:48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39">
        <v>15360550807</v>
      </c>
      <c r="H5" s="40"/>
      <c r="I5" s="40"/>
      <c r="J5" s="70"/>
      <c r="K5" s="40"/>
      <c r="L5" s="71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 t="shared" si="0"/>
        <v>600.12</v>
      </c>
      <c r="R5" s="73">
        <v>0</v>
      </c>
      <c r="S5" s="92">
        <f>L5+IFERROR(VLOOKUP($E:$E,'（居民）工资表-4月'!$E:$S,15,0),0)</f>
        <v>28500</v>
      </c>
      <c r="T5" s="93">
        <f>5000+IFERROR(VLOOKUP($E:$E,'（居民）工资表-4月'!$E:$T,16,0),0)</f>
        <v>25000</v>
      </c>
      <c r="U5" s="93">
        <f>Q5+IFERROR(VLOOKUP($E:$E,'（居民）工资表-4月'!$E:$U,17,0),0)</f>
        <v>3000.6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R5+IFERROR(VLOOKUP($E:$E,'（居民）工资表-4月'!$E:$AC,25,0),0)</f>
        <v>0</v>
      </c>
      <c r="AD5" s="97">
        <f t="shared" si="2"/>
        <v>499.4</v>
      </c>
      <c r="AE5" s="98">
        <f>ROUND(MAX((AD5)*{0.03;0.1;0.2;0.25;0.3;0.35;0.45}-{0;2520;16920;31920;52920;85920;181920},0),2)</f>
        <v>14.98</v>
      </c>
      <c r="AF5" s="99">
        <f>IFERROR(VLOOKUP(E:E,'（居民）工资表-4月'!E:AF,28,0)+VLOOKUP(E:E,'（居民）工资表-4月'!E:AG,29,0),0)</f>
        <v>11.99</v>
      </c>
      <c r="AG5" s="99">
        <f t="shared" si="3"/>
        <v>2.99</v>
      </c>
      <c r="AH5" s="109">
        <f t="shared" si="4"/>
        <v>5096.89</v>
      </c>
      <c r="AI5" s="110"/>
      <c r="AJ5" s="109">
        <f t="shared" si="5"/>
        <v>5096.89</v>
      </c>
      <c r="AK5" s="111"/>
      <c r="AL5" s="109">
        <f t="shared" si="6"/>
        <v>5099.88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>IF(SUMPRODUCT(N(E$1:E$7=E5))&gt;1,"重复","不")</f>
        <v>不</v>
      </c>
      <c r="AT5" s="118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39" t="s">
        <v>201</v>
      </c>
      <c r="H6" s="40"/>
      <c r="I6" s="40"/>
      <c r="J6" s="70"/>
      <c r="K6" s="40"/>
      <c r="L6" s="71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 t="shared" si="0"/>
        <v>865.9</v>
      </c>
      <c r="R6" s="73">
        <v>0</v>
      </c>
      <c r="S6" s="92">
        <f>L6+IFERROR(VLOOKUP($E:$E,'（居民）工资表-4月'!$E:$S,15,0),0)</f>
        <v>150300</v>
      </c>
      <c r="T6" s="93">
        <f>5000+IFERROR(VLOOKUP($E:$E,'（居民）工资表-4月'!$E:$T,16,0),0)</f>
        <v>25000</v>
      </c>
      <c r="U6" s="93">
        <f>Q6+IFERROR(VLOOKUP($E:$E,'（居民）工资表-4月'!$E:$U,17,0),0)</f>
        <v>4329.5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R6+IFERROR(VLOOKUP($E:$E,'（居民）工资表-4月'!$E:$AC,25,0),0)</f>
        <v>0</v>
      </c>
      <c r="AD6" s="97">
        <f t="shared" si="2"/>
        <v>120970.5</v>
      </c>
      <c r="AE6" s="98">
        <f>ROUND(MAX((AD6)*{0.03;0.1;0.2;0.25;0.3;0.35;0.45}-{0;2520;16920;31920;52920;85920;181920},0),2)</f>
        <v>9577.05</v>
      </c>
      <c r="AF6" s="99">
        <f>IFERROR(VLOOKUP(E:E,'（居民）工资表-4月'!E:AF,28,0)+VLOOKUP(E:E,'（居民）工资表-4月'!E:AG,29,0),0)</f>
        <v>7157.64</v>
      </c>
      <c r="AG6" s="99">
        <f t="shared" si="3"/>
        <v>2419.41</v>
      </c>
      <c r="AH6" s="109">
        <f t="shared" si="4"/>
        <v>26774.69</v>
      </c>
      <c r="AI6" s="110"/>
      <c r="AJ6" s="109">
        <f t="shared" si="5"/>
        <v>26774.69</v>
      </c>
      <c r="AK6" s="111"/>
      <c r="AL6" s="109">
        <f t="shared" si="6"/>
        <v>29194.1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>IF(SUMPRODUCT(N(E$1:E$7=E6))&gt;1,"重复","不")</f>
        <v>不</v>
      </c>
      <c r="AT6" s="118" t="str">
        <f>IF(SUMPRODUCT(N(AO$1:AO$7=AO6))&gt;1,"重复","不")</f>
        <v>重复</v>
      </c>
      <c r="AU6" s="12" t="s">
        <v>104</v>
      </c>
      <c r="AV6" s="12" t="s">
        <v>202</v>
      </c>
    </row>
    <row r="7" s="12" customFormat="1" ht="18" customHeight="1" spans="1:48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39" t="s">
        <v>203</v>
      </c>
      <c r="H7" s="40"/>
      <c r="I7" s="40"/>
      <c r="J7" s="70"/>
      <c r="K7" s="40"/>
      <c r="L7" s="71">
        <v>7000</v>
      </c>
      <c r="M7" s="72">
        <v>306.56</v>
      </c>
      <c r="N7" s="72">
        <v>84.64</v>
      </c>
      <c r="O7" s="72">
        <v>19.16</v>
      </c>
      <c r="P7" s="72">
        <v>162</v>
      </c>
      <c r="Q7" s="91">
        <f t="shared" si="0"/>
        <v>572.36</v>
      </c>
      <c r="R7" s="73">
        <v>0</v>
      </c>
      <c r="S7" s="92">
        <f>L7+IFERROR(VLOOKUP($E:$E,'（居民）工资表-4月'!$E:$S,15,0),0)</f>
        <v>33000</v>
      </c>
      <c r="T7" s="93">
        <f>5000+IFERROR(VLOOKUP($E:$E,'（居民）工资表-4月'!$E:$T,16,0),0)</f>
        <v>25000</v>
      </c>
      <c r="U7" s="93">
        <f>Q7+IFERROR(VLOOKUP($E:$E,'（居民）工资表-4月'!$E:$U,17,0),0)</f>
        <v>2767.06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R7+IFERROR(VLOOKUP($E:$E,'（居民）工资表-4月'!$E:$AC,25,0),0)</f>
        <v>0</v>
      </c>
      <c r="AD7" s="97">
        <f t="shared" si="2"/>
        <v>5232.94</v>
      </c>
      <c r="AE7" s="98">
        <f>ROUND(MAX((AD7)*{0.03;0.1;0.2;0.25;0.3;0.35;0.45}-{0;2520;16920;31920;52920;85920;181920},0),2)</f>
        <v>156.99</v>
      </c>
      <c r="AF7" s="99">
        <f>IFERROR(VLOOKUP(E:E,'（居民）工资表-4月'!E:AF,28,0)+VLOOKUP(E:E,'（居民）工资表-4月'!E:AG,29,0),0)</f>
        <v>114.16</v>
      </c>
      <c r="AG7" s="99">
        <f t="shared" ref="AG7:AG19" si="8">IF((AE7-AF7)&lt;0,0,AE7-AF7)</f>
        <v>42.83</v>
      </c>
      <c r="AH7" s="109">
        <f t="shared" ref="AH7:AH19" si="9">ROUND(IF((L7-Q7-AG7)&lt;0,0,(L7-Q7-AG7)),2)</f>
        <v>6384.81</v>
      </c>
      <c r="AI7" s="110"/>
      <c r="AJ7" s="109">
        <f t="shared" si="5"/>
        <v>6384.81</v>
      </c>
      <c r="AK7" s="111"/>
      <c r="AL7" s="109">
        <f t="shared" si="6"/>
        <v>6427.64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>IF(SUMPRODUCT(N(E$1:E$7=E7))&gt;1,"重复","不")</f>
        <v>不</v>
      </c>
      <c r="AT7" s="118" t="str">
        <f>IF(SUMPRODUCT(N(AO$1:AO$7=AO7))&gt;1,"重复","不")</f>
        <v>重复</v>
      </c>
      <c r="AU7" s="12" t="s">
        <v>146</v>
      </c>
      <c r="AV7" s="12" t="s">
        <v>51</v>
      </c>
    </row>
    <row r="8" s="12" customFormat="1" ht="18" customHeight="1" spans="1:48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146" t="s">
        <v>198</v>
      </c>
      <c r="G8" s="39">
        <v>19356875630</v>
      </c>
      <c r="H8" s="40"/>
      <c r="I8" s="40"/>
      <c r="J8" s="70"/>
      <c r="K8" s="40"/>
      <c r="L8" s="71">
        <v>8000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ref="Q8:Q19" si="10">ROUND(SUM(M8:P8),2)</f>
        <v>580.36</v>
      </c>
      <c r="R8" s="73">
        <v>0</v>
      </c>
      <c r="S8" s="92">
        <f>L8+IFERROR(VLOOKUP($E:$E,'（居民）工资表-4月'!$E:$S,15,0),0)</f>
        <v>37000</v>
      </c>
      <c r="T8" s="93">
        <f>5000+IFERROR(VLOOKUP($E:$E,'（居民）工资表-4月'!$E:$T,16,0),0)</f>
        <v>25000</v>
      </c>
      <c r="U8" s="93">
        <f>Q8+IFERROR(VLOOKUP($E:$E,'（居民）工资表-4月'!$E:$U,17,0),0)</f>
        <v>3242.06</v>
      </c>
      <c r="V8" s="73"/>
      <c r="W8" s="73"/>
      <c r="X8" s="73"/>
      <c r="Y8" s="73"/>
      <c r="Z8" s="73"/>
      <c r="AA8" s="73"/>
      <c r="AB8" s="92">
        <f t="shared" ref="AB8:AB19" si="11">ROUND(SUM(V8:AA8),2)</f>
        <v>0</v>
      </c>
      <c r="AC8" s="92">
        <f>R8+IFERROR(VLOOKUP($E:$E,'（居民）工资表-4月'!$E:$AC,25,0),0)</f>
        <v>0</v>
      </c>
      <c r="AD8" s="97">
        <f t="shared" ref="AD8:AD19" si="12">ROUND(S8-T8-U8-AB8-AC8,2)</f>
        <v>8757.94</v>
      </c>
      <c r="AE8" s="98">
        <f>ROUND(MAX((AD8)*{0.03;0.1;0.2;0.25;0.3;0.35;0.45}-{0;2520;16920;31920;52920;85920;181920},0),2)</f>
        <v>262.74</v>
      </c>
      <c r="AF8" s="99">
        <f>IFERROR(VLOOKUP(E:E,'（居民）工资表-4月'!E:AF,28,0)+VLOOKUP(E:E,'（居民）工资表-4月'!E:AG,29,0),0)</f>
        <v>190.15</v>
      </c>
      <c r="AG8" s="99">
        <f t="shared" si="8"/>
        <v>72.59</v>
      </c>
      <c r="AH8" s="109">
        <f t="shared" si="9"/>
        <v>7347.05</v>
      </c>
      <c r="AI8" s="110"/>
      <c r="AJ8" s="109">
        <f t="shared" ref="AJ8:AJ19" si="13">AH8+AI8</f>
        <v>7347.05</v>
      </c>
      <c r="AK8" s="111"/>
      <c r="AL8" s="109">
        <f t="shared" ref="AL8:AL19" si="14">AJ8+AG8+AK8</f>
        <v>7419.64</v>
      </c>
      <c r="AM8" s="111"/>
      <c r="AN8" s="111"/>
      <c r="AO8" s="111"/>
      <c r="AP8" s="111"/>
      <c r="AQ8" s="111"/>
      <c r="AR8" s="118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8" t="str">
        <f t="shared" ref="AS8:AS16" si="16">IF(SUMPRODUCT(N(E$1:E$7=E8))&gt;1,"重复","不")</f>
        <v>不</v>
      </c>
      <c r="AT8" s="118" t="str">
        <f t="shared" ref="AT8:AT16" si="17">IF(SUMPRODUCT(N(AO$1:AO$7=AO8))&gt;1,"重复","不")</f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146" t="s">
        <v>198</v>
      </c>
      <c r="G9" s="39">
        <v>13973652684</v>
      </c>
      <c r="H9" s="40"/>
      <c r="I9" s="40"/>
      <c r="J9" s="70"/>
      <c r="K9" s="40"/>
      <c r="L9" s="71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10"/>
        <v>514.16</v>
      </c>
      <c r="R9" s="73">
        <v>0</v>
      </c>
      <c r="S9" s="92">
        <f>L9+IFERROR(VLOOKUP($E:$E,'（居民）工资表-4月'!$E:$S,15,0),0)</f>
        <v>32500</v>
      </c>
      <c r="T9" s="93">
        <f>5000+IFERROR(VLOOKUP($E:$E,'（居民）工资表-4月'!$E:$T,16,0),0)</f>
        <v>25000</v>
      </c>
      <c r="U9" s="93">
        <f>Q9+IFERROR(VLOOKUP($E:$E,'（居民）工资表-4月'!$E:$U,17,0),0)</f>
        <v>2612.3</v>
      </c>
      <c r="V9" s="73"/>
      <c r="W9" s="73"/>
      <c r="X9" s="73"/>
      <c r="Y9" s="73"/>
      <c r="Z9" s="73"/>
      <c r="AA9" s="73"/>
      <c r="AB9" s="92">
        <f t="shared" si="11"/>
        <v>0</v>
      </c>
      <c r="AC9" s="92">
        <f>R9+IFERROR(VLOOKUP($E:$E,'（居民）工资表-4月'!$E:$AC,25,0),0)</f>
        <v>0</v>
      </c>
      <c r="AD9" s="97">
        <f t="shared" si="12"/>
        <v>4887.7</v>
      </c>
      <c r="AE9" s="98">
        <f>ROUND(MAX((AD9)*{0.03;0.1;0.2;0.25;0.3;0.35;0.45}-{0;2520;16920;31920;52920;85920;181920},0),2)</f>
        <v>146.63</v>
      </c>
      <c r="AF9" s="99">
        <f>IFERROR(VLOOKUP(E:E,'（居民）工资表-4月'!E:AF,28,0)+VLOOKUP(E:E,'（居民）工资表-4月'!E:AG,29,0),0)</f>
        <v>117.06</v>
      </c>
      <c r="AG9" s="99">
        <f t="shared" si="8"/>
        <v>29.57</v>
      </c>
      <c r="AH9" s="109">
        <f t="shared" si="9"/>
        <v>5956.27</v>
      </c>
      <c r="AI9" s="110"/>
      <c r="AJ9" s="109">
        <f t="shared" si="13"/>
        <v>5956.27</v>
      </c>
      <c r="AK9" s="111"/>
      <c r="AL9" s="109">
        <f t="shared" si="14"/>
        <v>5985.84</v>
      </c>
      <c r="AM9" s="111"/>
      <c r="AN9" s="111"/>
      <c r="AO9" s="111"/>
      <c r="AP9" s="111"/>
      <c r="AQ9" s="111"/>
      <c r="AR9" s="118" t="str">
        <f t="shared" si="15"/>
        <v>正确</v>
      </c>
      <c r="AS9" s="118" t="str">
        <f t="shared" si="16"/>
        <v>不</v>
      </c>
      <c r="AT9" s="118" t="str">
        <f t="shared" si="17"/>
        <v>重复</v>
      </c>
      <c r="AU9" s="12" t="s">
        <v>204</v>
      </c>
      <c r="AV9" s="12" t="s">
        <v>51</v>
      </c>
    </row>
    <row r="10" s="12" customFormat="1" ht="18" customHeight="1" spans="1:48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39" t="s">
        <v>205</v>
      </c>
      <c r="H10" s="40"/>
      <c r="I10" s="40"/>
      <c r="J10" s="70"/>
      <c r="K10" s="40"/>
      <c r="L10" s="71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10"/>
        <v>525.49</v>
      </c>
      <c r="R10" s="73">
        <v>0</v>
      </c>
      <c r="S10" s="92">
        <f>L10+IFERROR(VLOOKUP($E:$E,'（居民）工资表-4月'!$E:$S,15,0),0)</f>
        <v>27500</v>
      </c>
      <c r="T10" s="93">
        <f>5000+IFERROR(VLOOKUP($E:$E,'（居民）工资表-4月'!$E:$T,16,0),0)</f>
        <v>25000</v>
      </c>
      <c r="U10" s="93">
        <f>Q10+IFERROR(VLOOKUP($E:$E,'（居民）工资表-4月'!$E:$U,17,0),0)</f>
        <v>2627.45</v>
      </c>
      <c r="V10" s="73"/>
      <c r="W10" s="73"/>
      <c r="X10" s="73"/>
      <c r="Y10" s="73"/>
      <c r="Z10" s="73"/>
      <c r="AA10" s="73"/>
      <c r="AB10" s="92">
        <f t="shared" si="11"/>
        <v>0</v>
      </c>
      <c r="AC10" s="92">
        <f>R10+IFERROR(VLOOKUP($E:$E,'（居民）工资表-4月'!$E:$AC,25,0),0)</f>
        <v>0</v>
      </c>
      <c r="AD10" s="97">
        <f t="shared" si="12"/>
        <v>-127.45</v>
      </c>
      <c r="AE10" s="98">
        <f>ROUND(MAX((AD10)*{0.03;0.1;0.2;0.25;0.3;0.35;0.45}-{0;2520;16920;31920;52920;85920;181920},0),2)</f>
        <v>0</v>
      </c>
      <c r="AF10" s="99">
        <f>IFERROR(VLOOKUP(E:E,'（居民）工资表-4月'!E:AF,28,0)+VLOOKUP(E:E,'（居民）工资表-4月'!E:AG,29,0),0)</f>
        <v>0</v>
      </c>
      <c r="AG10" s="99">
        <f t="shared" si="8"/>
        <v>0</v>
      </c>
      <c r="AH10" s="109">
        <f t="shared" si="9"/>
        <v>4974.51</v>
      </c>
      <c r="AI10" s="110"/>
      <c r="AJ10" s="109">
        <f t="shared" si="13"/>
        <v>4974.51</v>
      </c>
      <c r="AK10" s="111"/>
      <c r="AL10" s="109">
        <f t="shared" si="14"/>
        <v>4974.51</v>
      </c>
      <c r="AM10" s="111"/>
      <c r="AN10" s="111"/>
      <c r="AO10" s="111"/>
      <c r="AP10" s="111"/>
      <c r="AQ10" s="111"/>
      <c r="AR10" s="118" t="str">
        <f t="shared" si="15"/>
        <v>正确</v>
      </c>
      <c r="AS10" s="118" t="str">
        <f t="shared" si="16"/>
        <v>不</v>
      </c>
      <c r="AT10" s="118" t="str">
        <f t="shared" si="17"/>
        <v>重复</v>
      </c>
      <c r="AU10" s="12" t="s">
        <v>135</v>
      </c>
      <c r="AV10" s="12" t="s">
        <v>206</v>
      </c>
    </row>
    <row r="11" s="12" customFormat="1" ht="18" customHeight="1" spans="1:48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39" t="s">
        <v>207</v>
      </c>
      <c r="H11" s="40"/>
      <c r="I11" s="40"/>
      <c r="J11" s="70"/>
      <c r="K11" s="40"/>
      <c r="L11" s="71">
        <v>4598.8</v>
      </c>
      <c r="M11" s="72">
        <v>352</v>
      </c>
      <c r="N11" s="72">
        <v>109</v>
      </c>
      <c r="O11" s="72">
        <v>22</v>
      </c>
      <c r="P11" s="72">
        <v>109</v>
      </c>
      <c r="Q11" s="91">
        <f t="shared" si="10"/>
        <v>592</v>
      </c>
      <c r="R11" s="73">
        <v>0</v>
      </c>
      <c r="S11" s="92">
        <f>L11+IFERROR(VLOOKUP($E:$E,'（居民）工资表-4月'!$E:$S,15,0),0)</f>
        <v>22994</v>
      </c>
      <c r="T11" s="93">
        <f>5000+IFERROR(VLOOKUP($E:$E,'（居民）工资表-4月'!$E:$T,16,0),0)</f>
        <v>25000</v>
      </c>
      <c r="U11" s="93">
        <f>Q11+IFERROR(VLOOKUP($E:$E,'（居民）工资表-4月'!$E:$U,17,0),0)</f>
        <v>2964</v>
      </c>
      <c r="V11" s="73"/>
      <c r="W11" s="73"/>
      <c r="X11" s="73"/>
      <c r="Y11" s="73"/>
      <c r="Z11" s="73"/>
      <c r="AA11" s="73"/>
      <c r="AB11" s="92">
        <f t="shared" si="11"/>
        <v>0</v>
      </c>
      <c r="AC11" s="92">
        <f>R11+IFERROR(VLOOKUP($E:$E,'（居民）工资表-4月'!$E:$AC,25,0),0)</f>
        <v>0</v>
      </c>
      <c r="AD11" s="97">
        <f t="shared" si="12"/>
        <v>-4970</v>
      </c>
      <c r="AE11" s="98">
        <f>ROUND(MAX((AD11)*{0.03;0.1;0.2;0.25;0.3;0.35;0.45}-{0;2520;16920;31920;52920;85920;181920},0),2)</f>
        <v>0</v>
      </c>
      <c r="AF11" s="99">
        <f>IFERROR(VLOOKUP(E:E,'（居民）工资表-4月'!E:AF,28,0)+VLOOKUP(E:E,'（居民）工资表-4月'!E:AG,29,0),0)</f>
        <v>0</v>
      </c>
      <c r="AG11" s="99">
        <f t="shared" si="8"/>
        <v>0</v>
      </c>
      <c r="AH11" s="109">
        <f t="shared" si="9"/>
        <v>4006.8</v>
      </c>
      <c r="AI11" s="110"/>
      <c r="AJ11" s="109">
        <f t="shared" si="13"/>
        <v>4006.8</v>
      </c>
      <c r="AK11" s="111"/>
      <c r="AL11" s="109">
        <f t="shared" si="14"/>
        <v>4006.8</v>
      </c>
      <c r="AM11" s="111"/>
      <c r="AN11" s="111"/>
      <c r="AO11" s="111"/>
      <c r="AP11" s="111"/>
      <c r="AQ11" s="111"/>
      <c r="AR11" s="118" t="str">
        <f t="shared" si="15"/>
        <v>正确</v>
      </c>
      <c r="AS11" s="118" t="str">
        <f t="shared" si="16"/>
        <v>不</v>
      </c>
      <c r="AT11" s="118" t="str">
        <f t="shared" si="17"/>
        <v>重复</v>
      </c>
      <c r="AU11" s="12" t="s">
        <v>138</v>
      </c>
      <c r="AV11" s="12" t="s">
        <v>208</v>
      </c>
    </row>
    <row r="12" s="12" customFormat="1" ht="18" customHeight="1" spans="1:48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39">
        <v>18356553626</v>
      </c>
      <c r="H12" s="40"/>
      <c r="I12" s="40"/>
      <c r="J12" s="70"/>
      <c r="K12" s="40"/>
      <c r="L12" s="71">
        <v>7000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10"/>
        <v>535.21</v>
      </c>
      <c r="R12" s="73">
        <v>0</v>
      </c>
      <c r="S12" s="92">
        <f>L12+IFERROR(VLOOKUP($E:$E,'（居民）工资表-4月'!$E:$S,15,0),0)</f>
        <v>31118.18</v>
      </c>
      <c r="T12" s="93">
        <f>5000+IFERROR(VLOOKUP($E:$E,'（居民）工资表-4月'!$E:$T,16,0),0)</f>
        <v>25000</v>
      </c>
      <c r="U12" s="93">
        <f>Q12+IFERROR(VLOOKUP($E:$E,'（居民）工资表-4月'!$E:$U,17,0),0)</f>
        <v>2661.09</v>
      </c>
      <c r="V12" s="73"/>
      <c r="W12" s="73"/>
      <c r="X12" s="73"/>
      <c r="Y12" s="73"/>
      <c r="Z12" s="73"/>
      <c r="AA12" s="73"/>
      <c r="AB12" s="92">
        <f t="shared" si="11"/>
        <v>0</v>
      </c>
      <c r="AC12" s="92">
        <f>R12+IFERROR(VLOOKUP($E:$E,'（居民）工资表-4月'!$E:$AC,25,0),0)</f>
        <v>0</v>
      </c>
      <c r="AD12" s="97">
        <f t="shared" si="12"/>
        <v>3457.09</v>
      </c>
      <c r="AE12" s="98">
        <f>ROUND(MAX((AD12)*{0.03;0.1;0.2;0.25;0.3;0.35;0.45}-{0;2520;16920;31920;52920;85920;181920},0),2)</f>
        <v>103.71</v>
      </c>
      <c r="AF12" s="99">
        <f>IFERROR(VLOOKUP(E:E,'（居民）工资表-4月'!E:AF,28,0)+VLOOKUP(E:E,'（居民）工资表-4月'!E:AG,29,0),0)</f>
        <v>59.77</v>
      </c>
      <c r="AG12" s="99">
        <f t="shared" si="8"/>
        <v>43.94</v>
      </c>
      <c r="AH12" s="109">
        <f t="shared" si="9"/>
        <v>6420.85</v>
      </c>
      <c r="AI12" s="110"/>
      <c r="AJ12" s="109">
        <f t="shared" si="13"/>
        <v>6420.85</v>
      </c>
      <c r="AK12" s="111"/>
      <c r="AL12" s="109">
        <f t="shared" si="14"/>
        <v>6464.79</v>
      </c>
      <c r="AM12" s="111"/>
      <c r="AN12" s="111"/>
      <c r="AO12" s="111"/>
      <c r="AP12" s="111"/>
      <c r="AQ12" s="111"/>
      <c r="AR12" s="118" t="str">
        <f t="shared" si="15"/>
        <v>正确</v>
      </c>
      <c r="AS12" s="118" t="str">
        <f t="shared" si="16"/>
        <v>不</v>
      </c>
      <c r="AT12" s="118" t="str">
        <f t="shared" si="17"/>
        <v>重复</v>
      </c>
      <c r="AU12" s="12" t="s">
        <v>146</v>
      </c>
      <c r="AV12" s="12" t="s">
        <v>51</v>
      </c>
    </row>
    <row r="13" s="12" customFormat="1" ht="18" customHeight="1" spans="1:48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39">
        <v>18326897140</v>
      </c>
      <c r="H13" s="40"/>
      <c r="I13" s="40"/>
      <c r="J13" s="70"/>
      <c r="K13" s="40"/>
      <c r="L13" s="71">
        <v>5500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10"/>
        <v>580.36</v>
      </c>
      <c r="R13" s="73">
        <v>0</v>
      </c>
      <c r="S13" s="92">
        <f>L13+IFERROR(VLOOKUP($E:$E,'（居民）工资表-4月'!$E:$S,15,0),0)</f>
        <v>24450</v>
      </c>
      <c r="T13" s="93">
        <f>5000+IFERROR(VLOOKUP($E:$E,'（居民）工资表-4月'!$E:$T,16,0),0)</f>
        <v>25000</v>
      </c>
      <c r="U13" s="93">
        <f>Q13+IFERROR(VLOOKUP($E:$E,'（居民）工资表-4月'!$E:$U,17,0),0)</f>
        <v>3031.01</v>
      </c>
      <c r="V13" s="73"/>
      <c r="W13" s="73"/>
      <c r="X13" s="73"/>
      <c r="Y13" s="73"/>
      <c r="Z13" s="73"/>
      <c r="AA13" s="73"/>
      <c r="AB13" s="92">
        <f t="shared" si="11"/>
        <v>0</v>
      </c>
      <c r="AC13" s="92">
        <f>R13+IFERROR(VLOOKUP($E:$E,'（居民）工资表-4月'!$E:$AC,25,0),0)</f>
        <v>0</v>
      </c>
      <c r="AD13" s="97">
        <f t="shared" si="12"/>
        <v>-3581.01</v>
      </c>
      <c r="AE13" s="98">
        <f>ROUND(MAX((AD13)*{0.03;0.1;0.2;0.25;0.3;0.35;0.45}-{0;2520;16920;31920;52920;85920;181920},0),2)</f>
        <v>0</v>
      </c>
      <c r="AF13" s="99">
        <f>IFERROR(VLOOKUP(E:E,'（居民）工资表-4月'!E:AF,28,0)+VLOOKUP(E:E,'（居民）工资表-4月'!E:AG,29,0),0)</f>
        <v>0</v>
      </c>
      <c r="AG13" s="99">
        <f t="shared" si="8"/>
        <v>0</v>
      </c>
      <c r="AH13" s="109">
        <f t="shared" si="9"/>
        <v>4919.64</v>
      </c>
      <c r="AI13" s="110"/>
      <c r="AJ13" s="109">
        <f t="shared" si="13"/>
        <v>4919.64</v>
      </c>
      <c r="AK13" s="111"/>
      <c r="AL13" s="109">
        <f t="shared" si="14"/>
        <v>4919.64</v>
      </c>
      <c r="AM13" s="111"/>
      <c r="AN13" s="111"/>
      <c r="AO13" s="111"/>
      <c r="AP13" s="111"/>
      <c r="AQ13" s="111"/>
      <c r="AR13" s="118" t="str">
        <f t="shared" si="15"/>
        <v>正确</v>
      </c>
      <c r="AS13" s="118" t="str">
        <f t="shared" si="16"/>
        <v>不</v>
      </c>
      <c r="AT13" s="118" t="str">
        <f t="shared" si="17"/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39">
        <v>17201857014</v>
      </c>
      <c r="H14" s="40"/>
      <c r="I14" s="40"/>
      <c r="J14" s="70"/>
      <c r="K14" s="40"/>
      <c r="L14" s="71">
        <v>5500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10"/>
        <v>580.36</v>
      </c>
      <c r="R14" s="73">
        <v>0</v>
      </c>
      <c r="S14" s="92">
        <f>L14+IFERROR(VLOOKUP($E:$E,'（居民）工资表-4月'!$E:$S,15,0),0)</f>
        <v>24550</v>
      </c>
      <c r="T14" s="93">
        <f>5000+IFERROR(VLOOKUP($E:$E,'（居民）工资表-4月'!$E:$T,16,0),0)</f>
        <v>25000</v>
      </c>
      <c r="U14" s="93">
        <f>Q14+IFERROR(VLOOKUP($E:$E,'（居民）工资表-4月'!$E:$U,17,0),0)</f>
        <v>3031.01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R14+IFERROR(VLOOKUP($E:$E,'（居民）工资表-4月'!$E:$AC,25,0),0)</f>
        <v>0</v>
      </c>
      <c r="AD14" s="97">
        <f t="shared" si="12"/>
        <v>-3481.01</v>
      </c>
      <c r="AE14" s="98">
        <f>ROUND(MAX((AD14)*{0.03;0.1;0.2;0.25;0.3;0.35;0.45}-{0;2520;16920;31920;52920;85920;181920},0),2)</f>
        <v>0</v>
      </c>
      <c r="AF14" s="99">
        <f>IFERROR(VLOOKUP(E:E,'（居民）工资表-4月'!E:AF,28,0)+VLOOKUP(E:E,'（居民）工资表-4月'!E:AG,29,0),0)</f>
        <v>0</v>
      </c>
      <c r="AG14" s="99">
        <f t="shared" si="8"/>
        <v>0</v>
      </c>
      <c r="AH14" s="109">
        <f t="shared" si="9"/>
        <v>4919.64</v>
      </c>
      <c r="AI14" s="110"/>
      <c r="AJ14" s="109">
        <f t="shared" si="13"/>
        <v>4919.64</v>
      </c>
      <c r="AK14" s="111"/>
      <c r="AL14" s="109">
        <f t="shared" si="14"/>
        <v>4919.64</v>
      </c>
      <c r="AM14" s="111"/>
      <c r="AN14" s="111"/>
      <c r="AO14" s="111"/>
      <c r="AP14" s="111"/>
      <c r="AQ14" s="111"/>
      <c r="AR14" s="118" t="str">
        <f t="shared" si="15"/>
        <v>正确</v>
      </c>
      <c r="AS14" s="118" t="str">
        <f t="shared" si="16"/>
        <v>不</v>
      </c>
      <c r="AT14" s="118" t="str">
        <f t="shared" si="17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39" t="s">
        <v>209</v>
      </c>
      <c r="H15" s="40"/>
      <c r="I15" s="40"/>
      <c r="J15" s="70"/>
      <c r="K15" s="40"/>
      <c r="L15" s="71">
        <v>7000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10"/>
        <v>535.21</v>
      </c>
      <c r="R15" s="73">
        <v>0</v>
      </c>
      <c r="S15" s="92">
        <f>L15+IFERROR(VLOOKUP($E:$E,'（居民）工资表-4月'!$E:$S,15,0),0)</f>
        <v>31309.09</v>
      </c>
      <c r="T15" s="93">
        <f>5000+IFERROR(VLOOKUP($E:$E,'（居民）工资表-4月'!$E:$T,16,0),0)</f>
        <v>25000</v>
      </c>
      <c r="U15" s="93">
        <f>Q15+IFERROR(VLOOKUP($E:$E,'（居民）工资表-4月'!$E:$U,17,0),0)</f>
        <v>2669.13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R15+IFERROR(VLOOKUP($E:$E,'（居民）工资表-4月'!$E:$AC,25,0),0)</f>
        <v>0</v>
      </c>
      <c r="AD15" s="97">
        <f t="shared" si="12"/>
        <v>3639.96</v>
      </c>
      <c r="AE15" s="98">
        <f>ROUND(MAX((AD15)*{0.03;0.1;0.2;0.25;0.3;0.35;0.45}-{0;2520;16920;31920;52920;85920;181920},0),2)</f>
        <v>109.2</v>
      </c>
      <c r="AF15" s="99">
        <f>IFERROR(VLOOKUP(E:E,'（居民）工资表-4月'!E:AF,28,0)+VLOOKUP(E:E,'（居民）工资表-4月'!E:AG,29,0),0)</f>
        <v>65.26</v>
      </c>
      <c r="AG15" s="99">
        <f t="shared" si="8"/>
        <v>43.94</v>
      </c>
      <c r="AH15" s="109">
        <f t="shared" si="9"/>
        <v>6420.85</v>
      </c>
      <c r="AI15" s="110"/>
      <c r="AJ15" s="109">
        <f t="shared" si="13"/>
        <v>6420.85</v>
      </c>
      <c r="AK15" s="111"/>
      <c r="AL15" s="109">
        <f t="shared" si="14"/>
        <v>6464.79</v>
      </c>
      <c r="AM15" s="111"/>
      <c r="AN15" s="111"/>
      <c r="AO15" s="111"/>
      <c r="AP15" s="111"/>
      <c r="AQ15" s="111"/>
      <c r="AR15" s="118" t="str">
        <f t="shared" si="15"/>
        <v>正确</v>
      </c>
      <c r="AS15" s="118" t="str">
        <f t="shared" si="16"/>
        <v>不</v>
      </c>
      <c r="AT15" s="118" t="str">
        <f t="shared" si="17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39">
        <v>15855788591</v>
      </c>
      <c r="H16" s="40"/>
      <c r="I16" s="40"/>
      <c r="J16" s="70"/>
      <c r="K16" s="40"/>
      <c r="L16" s="71">
        <v>6060</v>
      </c>
      <c r="M16" s="72">
        <v>306.56</v>
      </c>
      <c r="N16" s="72">
        <v>84.64</v>
      </c>
      <c r="O16" s="72">
        <v>19.16</v>
      </c>
      <c r="P16" s="72">
        <v>162</v>
      </c>
      <c r="Q16" s="91">
        <f t="shared" si="10"/>
        <v>572.36</v>
      </c>
      <c r="R16" s="73">
        <v>0</v>
      </c>
      <c r="S16" s="92">
        <f>L16+IFERROR(VLOOKUP($E:$E,'（居民）工资表-4月'!$E:$S,15,0),0)</f>
        <v>25272</v>
      </c>
      <c r="T16" s="93">
        <f>5000+IFERROR(VLOOKUP($E:$E,'（居民）工资表-4月'!$E:$T,16,0),0)</f>
        <v>25000</v>
      </c>
      <c r="U16" s="93">
        <f>Q16+IFERROR(VLOOKUP($E:$E,'（居民）工资表-4月'!$E:$U,17,0),0)</f>
        <v>2999.16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R16+IFERROR(VLOOKUP($E:$E,'（居民）工资表-4月'!$E:$AC,25,0),0)</f>
        <v>0</v>
      </c>
      <c r="AD16" s="97">
        <f t="shared" si="12"/>
        <v>-2727.16</v>
      </c>
      <c r="AE16" s="98">
        <f>ROUND(MAX((AD16)*{0.03;0.1;0.2;0.25;0.3;0.35;0.45}-{0;2520;16920;31920;52920;85920;181920},0),2)</f>
        <v>0</v>
      </c>
      <c r="AF16" s="99">
        <f>IFERROR(VLOOKUP(E:E,'（居民）工资表-4月'!E:AF,28,0)+VLOOKUP(E:E,'（居民）工资表-4月'!E:AG,29,0),0)</f>
        <v>0</v>
      </c>
      <c r="AG16" s="99">
        <f t="shared" si="8"/>
        <v>0</v>
      </c>
      <c r="AH16" s="109">
        <f t="shared" si="9"/>
        <v>5487.64</v>
      </c>
      <c r="AI16" s="110"/>
      <c r="AJ16" s="109">
        <f t="shared" si="13"/>
        <v>5487.64</v>
      </c>
      <c r="AK16" s="111"/>
      <c r="AL16" s="109">
        <f t="shared" si="14"/>
        <v>5487.64</v>
      </c>
      <c r="AM16" s="111"/>
      <c r="AN16" s="111"/>
      <c r="AO16" s="111"/>
      <c r="AP16" s="111"/>
      <c r="AQ16" s="111"/>
      <c r="AR16" s="118" t="str">
        <f t="shared" si="15"/>
        <v>正确</v>
      </c>
      <c r="AS16" s="118" t="str">
        <f t="shared" si="16"/>
        <v>不</v>
      </c>
      <c r="AT16" s="118" t="str">
        <f t="shared" si="17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39">
        <v>13873717760</v>
      </c>
      <c r="H17" s="40"/>
      <c r="I17" s="40"/>
      <c r="J17" s="70"/>
      <c r="K17" s="40"/>
      <c r="L17" s="71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10"/>
        <v>589.16</v>
      </c>
      <c r="R17" s="73">
        <v>0</v>
      </c>
      <c r="S17" s="92">
        <f>L17+IFERROR(VLOOKUP($E:$E,'（居民）工资表-4月'!$E:$S,15,0),0)</f>
        <v>23965</v>
      </c>
      <c r="T17" s="93">
        <f>5000+IFERROR(VLOOKUP($E:$E,'（居民）工资表-4月'!$E:$T,16,0),0)</f>
        <v>25000</v>
      </c>
      <c r="U17" s="93">
        <f>Q17+IFERROR(VLOOKUP($E:$E,'（居民）工资表-4月'!$E:$U,17,0),0)</f>
        <v>3626.67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R17+IFERROR(VLOOKUP($E:$E,'（居民）工资表-4月'!$E:$AC,25,0),0)</f>
        <v>0</v>
      </c>
      <c r="AD17" s="97">
        <f t="shared" si="12"/>
        <v>-4661.67</v>
      </c>
      <c r="AE17" s="98">
        <f>ROUND(MAX((AD17)*{0.03;0.1;0.2;0.25;0.3;0.35;0.45}-{0;2520;16920;31920;52920;85920;181920},0),2)</f>
        <v>0</v>
      </c>
      <c r="AF17" s="99">
        <f>IFERROR(VLOOKUP(E:E,'（居民）工资表-4月'!E:AF,28,0)+VLOOKUP(E:E,'（居民）工资表-4月'!E:AG,29,0),0)</f>
        <v>0</v>
      </c>
      <c r="AG17" s="99">
        <f t="shared" si="8"/>
        <v>0</v>
      </c>
      <c r="AH17" s="109">
        <f t="shared" si="9"/>
        <v>5970.84</v>
      </c>
      <c r="AI17" s="110"/>
      <c r="AJ17" s="109">
        <f t="shared" si="13"/>
        <v>5970.84</v>
      </c>
      <c r="AK17" s="111"/>
      <c r="AL17" s="109">
        <f t="shared" si="14"/>
        <v>5970.84</v>
      </c>
      <c r="AM17" s="111"/>
      <c r="AN17" s="111"/>
      <c r="AO17" s="111"/>
      <c r="AP17" s="111"/>
      <c r="AQ17" s="111"/>
      <c r="AR17" s="118" t="str">
        <f t="shared" si="15"/>
        <v>正确</v>
      </c>
      <c r="AS17" s="118" t="str">
        <f>IF(SUMPRODUCT(N(E$1:E$7=E17))&gt;1,"重复","不")</f>
        <v>不</v>
      </c>
      <c r="AT17" s="118" t="str">
        <f>IF(SUMPRODUCT(N(AO$1:AO$7=AO17))&gt;1,"重复","不")</f>
        <v>重复</v>
      </c>
      <c r="AU17" s="12" t="s">
        <v>204</v>
      </c>
      <c r="AV17" s="12" t="s">
        <v>51</v>
      </c>
    </row>
    <row r="18" s="12" customFormat="1" ht="18" customHeight="1" spans="1:48">
      <c r="A18" s="36">
        <v>15</v>
      </c>
      <c r="B18" s="37" t="s">
        <v>196</v>
      </c>
      <c r="C18" s="37" t="s">
        <v>147</v>
      </c>
      <c r="D18" s="37" t="s">
        <v>197</v>
      </c>
      <c r="E18" s="384" t="s">
        <v>148</v>
      </c>
      <c r="F18" s="38" t="s">
        <v>200</v>
      </c>
      <c r="G18" s="39"/>
      <c r="H18" s="40"/>
      <c r="I18" s="40"/>
      <c r="J18" s="70"/>
      <c r="K18" s="40"/>
      <c r="L18" s="71">
        <v>2836.37</v>
      </c>
      <c r="M18" s="72">
        <v>613.12</v>
      </c>
      <c r="N18" s="72">
        <v>153.28</v>
      </c>
      <c r="O18" s="72">
        <v>38.32</v>
      </c>
      <c r="P18" s="72">
        <v>206</v>
      </c>
      <c r="Q18" s="91">
        <f t="shared" si="10"/>
        <v>1010.72</v>
      </c>
      <c r="R18" s="73">
        <v>0</v>
      </c>
      <c r="S18" s="92">
        <f>L18+IFERROR(VLOOKUP($E:$E,'（居民）工资表-4月'!$E:$S,15,0),0)</f>
        <v>2836.37</v>
      </c>
      <c r="T18" s="93">
        <f>5000+IFERROR(VLOOKUP($E:$E,'（居民）工资表-4月'!$E:$T,16,0),0)</f>
        <v>5000</v>
      </c>
      <c r="U18" s="93">
        <f>Q18+IFERROR(VLOOKUP($E:$E,'（居民）工资表-4月'!$E:$U,17,0),0)</f>
        <v>1010.72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R18+IFERROR(VLOOKUP($E:$E,'（居民）工资表-4月'!$E:$AC,25,0),0)</f>
        <v>0</v>
      </c>
      <c r="AD18" s="97">
        <f t="shared" si="12"/>
        <v>-3174.35</v>
      </c>
      <c r="AE18" s="98">
        <f>ROUND(MAX((AD18)*{0.03;0.1;0.2;0.25;0.3;0.35;0.45}-{0;2520;16920;31920;52920;85920;181920},0),2)</f>
        <v>0</v>
      </c>
      <c r="AF18" s="99">
        <f>IFERROR(VLOOKUP(E:E,'（居民）工资表-4月'!E:AF,28,0)+VLOOKUP(E:E,'（居民）工资表-4月'!E:AG,29,0),0)</f>
        <v>0</v>
      </c>
      <c r="AG18" s="99">
        <f t="shared" si="8"/>
        <v>0</v>
      </c>
      <c r="AH18" s="109">
        <f t="shared" si="9"/>
        <v>1825.65</v>
      </c>
      <c r="AI18" s="110"/>
      <c r="AJ18" s="109">
        <f t="shared" si="13"/>
        <v>1825.65</v>
      </c>
      <c r="AK18" s="111"/>
      <c r="AL18" s="109">
        <f t="shared" si="14"/>
        <v>1825.65</v>
      </c>
      <c r="AM18" s="111"/>
      <c r="AN18" s="111"/>
      <c r="AO18" s="111"/>
      <c r="AP18" s="111"/>
      <c r="AQ18" s="111"/>
      <c r="AR18" s="118" t="str">
        <f t="shared" si="15"/>
        <v>正确</v>
      </c>
      <c r="AS18" s="118" t="str">
        <f>IF(SUMPRODUCT(N(E$1:E$7=E18))&gt;1,"重复","不")</f>
        <v>不</v>
      </c>
      <c r="AT18" s="118" t="str">
        <f>IF(SUMPRODUCT(N(AO$1:AO$7=AO18))&gt;1,"重复","不")</f>
        <v>重复</v>
      </c>
      <c r="AU18" s="12" t="s">
        <v>146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211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Q20" si="18">SUM(L4:L18)</f>
        <v>115815.17</v>
      </c>
      <c r="M20" s="76">
        <f t="shared" si="18"/>
        <v>5243.7</v>
      </c>
      <c r="N20" s="76">
        <f t="shared" si="18"/>
        <v>1482.54</v>
      </c>
      <c r="O20" s="76">
        <f t="shared" si="18"/>
        <v>286.22</v>
      </c>
      <c r="P20" s="76">
        <f t="shared" si="18"/>
        <v>2202.3</v>
      </c>
      <c r="Q20" s="76">
        <f t="shared" si="18"/>
        <v>9214.76</v>
      </c>
      <c r="R20" s="76">
        <f t="shared" ref="R20:AL20" si="19">SUM(R4:R18)</f>
        <v>0</v>
      </c>
      <c r="S20" s="76">
        <f t="shared" si="19"/>
        <v>533294.64</v>
      </c>
      <c r="T20" s="76">
        <f t="shared" si="19"/>
        <v>355000</v>
      </c>
      <c r="U20" s="76">
        <f t="shared" si="19"/>
        <v>43491.96</v>
      </c>
      <c r="V20" s="76">
        <f t="shared" si="19"/>
        <v>0</v>
      </c>
      <c r="W20" s="76">
        <f t="shared" si="19"/>
        <v>0</v>
      </c>
      <c r="X20" s="76">
        <f t="shared" si="19"/>
        <v>0</v>
      </c>
      <c r="Y20" s="76">
        <f t="shared" si="19"/>
        <v>0</v>
      </c>
      <c r="Z20" s="76">
        <f t="shared" si="19"/>
        <v>0</v>
      </c>
      <c r="AA20" s="76">
        <f t="shared" si="19"/>
        <v>0</v>
      </c>
      <c r="AB20" s="76">
        <f t="shared" si="19"/>
        <v>0</v>
      </c>
      <c r="AC20" s="76">
        <f t="shared" si="19"/>
        <v>0</v>
      </c>
      <c r="AD20" s="76">
        <f t="shared" si="19"/>
        <v>134802.68</v>
      </c>
      <c r="AE20" s="76">
        <f t="shared" si="19"/>
        <v>10673.69</v>
      </c>
      <c r="AF20" s="76">
        <f t="shared" si="19"/>
        <v>7945.25</v>
      </c>
      <c r="AG20" s="76">
        <f t="shared" si="19"/>
        <v>2728.44</v>
      </c>
      <c r="AH20" s="76">
        <f t="shared" si="19"/>
        <v>103871.97</v>
      </c>
      <c r="AI20" s="76">
        <f t="shared" si="19"/>
        <v>0</v>
      </c>
      <c r="AJ20" s="76">
        <f t="shared" si="19"/>
        <v>103871.97</v>
      </c>
      <c r="AK20" s="76">
        <f t="shared" si="19"/>
        <v>0</v>
      </c>
      <c r="AL20" s="76">
        <f t="shared" si="19"/>
        <v>106600.41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3">
      <c r="B24" s="48" t="s">
        <v>185</v>
      </c>
      <c r="C24" s="48" t="s">
        <v>212</v>
      </c>
      <c r="D24" s="48" t="s">
        <v>22</v>
      </c>
      <c r="E24" s="48" t="s">
        <v>23</v>
      </c>
      <c r="AD24" s="10"/>
      <c r="AG24" s="19"/>
    </row>
    <row r="25" ht="18.75" customHeight="1" spans="2:5">
      <c r="B25" s="49">
        <f>AJ20</f>
        <v>103871.97</v>
      </c>
      <c r="C25" s="49">
        <f>AG20</f>
        <v>2728.44</v>
      </c>
      <c r="D25" s="49">
        <f>AK20</f>
        <v>0</v>
      </c>
      <c r="E25" s="49">
        <f>B25+C25</f>
        <v>106600.41</v>
      </c>
    </row>
    <row r="26" spans="2:5">
      <c r="B26" s="50"/>
      <c r="C26" s="50"/>
      <c r="D26" s="50"/>
      <c r="E26" s="50"/>
    </row>
    <row r="27" s="14" customFormat="1" spans="1:35">
      <c r="A27" s="52" t="s">
        <v>213</v>
      </c>
      <c r="B27" s="53" t="s">
        <v>214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216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217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218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219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220</v>
      </c>
    </row>
    <row r="35" spans="2:2">
      <c r="B35" s="60" t="s">
        <v>221</v>
      </c>
    </row>
    <row r="36" spans="2:2">
      <c r="B36" s="60" t="s">
        <v>222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E18">
    <cfRule type="duplicateValues" dxfId="3" priority="4"/>
    <cfRule type="duplicateValues" dxfId="3" priority="3"/>
    <cfRule type="duplicateValues" dxfId="3" priority="2" stopIfTrue="1"/>
    <cfRule type="duplicateValues" dxfId="3" priority="1"/>
  </conditionalFormatting>
  <conditionalFormatting sqref="B32">
    <cfRule type="duplicateValues" dxfId="3" priority="6" stopIfTrue="1"/>
  </conditionalFormatting>
  <conditionalFormatting sqref="B27:B31">
    <cfRule type="duplicateValues" dxfId="3" priority="7" stopIfTrue="1"/>
  </conditionalFormatting>
  <conditionalFormatting sqref="B35:B36">
    <cfRule type="duplicateValues" dxfId="3" priority="5" stopIfTrue="1"/>
  </conditionalFormatting>
  <conditionalFormatting sqref="C24:C26">
    <cfRule type="duplicateValues" dxfId="3" priority="8" stopIfTrue="1"/>
    <cfRule type="expression" dxfId="4" priority="9" stopIfTrue="1">
      <formula>AND(COUNTIF($B$20:$B$65456,C24)+COUNTIF($B$1:$B$3,C24)&gt;1,NOT(ISBLANK(C24)))</formula>
    </cfRule>
    <cfRule type="expression" dxfId="4" priority="10" stopIfTrue="1">
      <formula>AND(COUNTIF($B$31:$B$65407,C24)+COUNTIF($B$1:$B$30,C24)&gt;1,NOT(ISBLANK(C24)))</formula>
    </cfRule>
    <cfRule type="expression" dxfId="4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T14" sqref="T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41">
        <v>13944441728</v>
      </c>
      <c r="H4" s="40"/>
      <c r="I4" s="40"/>
      <c r="J4" s="70"/>
      <c r="K4" s="40"/>
      <c r="L4" s="73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>ROUND(SUM(M4:P4),2)</f>
        <v>560.99</v>
      </c>
      <c r="R4" s="73">
        <v>0</v>
      </c>
      <c r="S4" s="92">
        <f>L4+IFERROR(VLOOKUP($E:$E,'（居民）工资表-5月'!$E:$S,15,0),0)</f>
        <v>46000</v>
      </c>
      <c r="T4" s="93">
        <f>5000+IFERROR(VLOOKUP($E:$E,'（居民）工资表-5月'!$E:$T,16,0),0)</f>
        <v>30000</v>
      </c>
      <c r="U4" s="93">
        <f>Q4+IFERROR(VLOOKUP($E:$E,'（居民）工资表-5月'!$E:$U,17,0),0)</f>
        <v>3481.19</v>
      </c>
      <c r="V4" s="73"/>
      <c r="W4" s="73"/>
      <c r="X4" s="73"/>
      <c r="Y4" s="73"/>
      <c r="Z4" s="73"/>
      <c r="AA4" s="73"/>
      <c r="AB4" s="92">
        <f>ROUND(SUM(V4:AA4),2)</f>
        <v>0</v>
      </c>
      <c r="AC4" s="92">
        <f>R4+IFERROR(VLOOKUP($E:$E,'（居民）工资表-5月'!$E:$AC,25,0),0)</f>
        <v>0</v>
      </c>
      <c r="AD4" s="97">
        <f>ROUND(S4-T4-U4-AB4-AC4,2)</f>
        <v>12518.81</v>
      </c>
      <c r="AE4" s="98">
        <f>ROUND(MAX((AD4)*{0.03;0.1;0.2;0.25;0.3;0.35;0.45}-{0;2520;16920;31920;52920;85920;181920},0),2)</f>
        <v>375.56</v>
      </c>
      <c r="AF4" s="99">
        <f>IFERROR(VLOOKUP(E:E,'（居民）工资表-5月'!E:AF,28,0)+VLOOKUP(E:E,'（居民）工资表-5月'!E:AG,29,0),0)</f>
        <v>302.39</v>
      </c>
      <c r="AG4" s="99">
        <f>IF((AE4-AF4)&lt;0,0,AE4-AF4)</f>
        <v>73.17</v>
      </c>
      <c r="AH4" s="109">
        <f>ROUND(IF((L4-Q4-AG4)&lt;0,0,(L4-Q4-AG4)),2)</f>
        <v>7365.84</v>
      </c>
      <c r="AI4" s="110"/>
      <c r="AJ4" s="109">
        <f>AH4+AI4</f>
        <v>7365.84</v>
      </c>
      <c r="AK4" s="111"/>
      <c r="AL4" s="109">
        <f>AJ4+AG4+AK4</f>
        <v>7439.01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IF(SUMPRODUCT(N(E$1:E$19=E4))&gt;1,"重复","不")</f>
        <v>不</v>
      </c>
      <c r="AT4" s="118" t="str">
        <f>IF(SUMPRODUCT(N(AO$1:AO$19=AO4))&gt;1,"重复","不")</f>
        <v>重复</v>
      </c>
      <c r="AU4" s="12" t="s">
        <v>199</v>
      </c>
      <c r="AV4" s="12" t="s">
        <v>51</v>
      </c>
    </row>
    <row r="5" s="12" customFormat="1" ht="18" customHeight="1" spans="1:48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41">
        <v>15360550807</v>
      </c>
      <c r="H5" s="40"/>
      <c r="I5" s="40"/>
      <c r="J5" s="70"/>
      <c r="K5" s="40"/>
      <c r="L5" s="73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>ROUND(SUM(M5:P5),2)</f>
        <v>600.12</v>
      </c>
      <c r="R5" s="73">
        <v>0</v>
      </c>
      <c r="S5" s="92">
        <f>L5+IFERROR(VLOOKUP($E:$E,'（居民）工资表-5月'!$E:$S,15,0),0)</f>
        <v>34200</v>
      </c>
      <c r="T5" s="93">
        <f>5000+IFERROR(VLOOKUP($E:$E,'（居民）工资表-5月'!$E:$T,16,0),0)</f>
        <v>30000</v>
      </c>
      <c r="U5" s="93">
        <f>Q5+IFERROR(VLOOKUP($E:$E,'（居民）工资表-5月'!$E:$U,17,0),0)</f>
        <v>3600.72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R5+IFERROR(VLOOKUP($E:$E,'（居民）工资表-5月'!$E:$AC,25,0),0)</f>
        <v>0</v>
      </c>
      <c r="AD5" s="97">
        <f>ROUND(S5-T5-U5-AB5-AC5,2)</f>
        <v>599.28</v>
      </c>
      <c r="AE5" s="98">
        <f>ROUND(MAX((AD5)*{0.03;0.1;0.2;0.25;0.3;0.35;0.45}-{0;2520;16920;31920;52920;85920;181920},0),2)</f>
        <v>17.98</v>
      </c>
      <c r="AF5" s="99">
        <f>IFERROR(VLOOKUP(E:E,'（居民）工资表-5月'!E:AF,28,0)+VLOOKUP(E:E,'（居民）工资表-5月'!E:AG,29,0),0)</f>
        <v>14.98</v>
      </c>
      <c r="AG5" s="99">
        <f>IF((AE5-AF5)&lt;0,0,AE5-AF5)</f>
        <v>3</v>
      </c>
      <c r="AH5" s="109">
        <f>ROUND(IF((L5-Q5-AG5)&lt;0,0,(L5-Q5-AG5)),2)</f>
        <v>5096.88</v>
      </c>
      <c r="AI5" s="110"/>
      <c r="AJ5" s="109">
        <f>AH5+AI5</f>
        <v>5096.88</v>
      </c>
      <c r="AK5" s="111"/>
      <c r="AL5" s="109">
        <f>AJ5+AG5+AK5</f>
        <v>5099.88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IF(SUMPRODUCT(N(E$1:E$19=E5))&gt;1,"重复","不")</f>
        <v>不</v>
      </c>
      <c r="AT5" s="118" t="str">
        <f>IF(SUMPRODUCT(N(AO$1:AO$19=AO5))&gt;1,"重复","不")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41" t="s">
        <v>201</v>
      </c>
      <c r="H6" s="40"/>
      <c r="I6" s="40"/>
      <c r="J6" s="70"/>
      <c r="K6" s="40"/>
      <c r="L6" s="73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>ROUND(SUM(M6:P6),2)</f>
        <v>865.9</v>
      </c>
      <c r="R6" s="73">
        <v>0</v>
      </c>
      <c r="S6" s="92">
        <f>L6+IFERROR(VLOOKUP($E:$E,'（居民）工资表-5月'!$E:$S,15,0),0)</f>
        <v>180360</v>
      </c>
      <c r="T6" s="93">
        <f>5000+IFERROR(VLOOKUP($E:$E,'（居民）工资表-5月'!$E:$T,16,0),0)</f>
        <v>30000</v>
      </c>
      <c r="U6" s="93">
        <f>Q6+IFERROR(VLOOKUP($E:$E,'（居民）工资表-5月'!$E:$U,17,0),0)</f>
        <v>5195.4</v>
      </c>
      <c r="V6" s="73"/>
      <c r="W6" s="73"/>
      <c r="X6" s="73"/>
      <c r="Y6" s="73"/>
      <c r="Z6" s="73"/>
      <c r="AA6" s="73"/>
      <c r="AB6" s="92">
        <f>ROUND(SUM(V6:AA6),2)</f>
        <v>0</v>
      </c>
      <c r="AC6" s="92">
        <f>R6+IFERROR(VLOOKUP($E:$E,'（居民）工资表-5月'!$E:$AC,25,0),0)</f>
        <v>0</v>
      </c>
      <c r="AD6" s="97">
        <f>ROUND(S6-T6-U6-AB6-AC6,2)</f>
        <v>145164.6</v>
      </c>
      <c r="AE6" s="98">
        <f>ROUND(MAX((AD6)*{0.03;0.1;0.2;0.25;0.3;0.35;0.45}-{0;2520;16920;31920;52920;85920;181920},0),2)</f>
        <v>12112.92</v>
      </c>
      <c r="AF6" s="99">
        <f>IFERROR(VLOOKUP(E:E,'（居民）工资表-5月'!E:AF,28,0)+VLOOKUP(E:E,'（居民）工资表-5月'!E:AG,29,0),0)</f>
        <v>9577.05</v>
      </c>
      <c r="AG6" s="99">
        <f>IF((AE6-AF6)&lt;0,0,AE6-AF6)</f>
        <v>2535.87</v>
      </c>
      <c r="AH6" s="109">
        <f>ROUND(IF((L6-Q6-AG6)&lt;0,0,(L6-Q6-AG6)),2)</f>
        <v>26658.23</v>
      </c>
      <c r="AI6" s="110"/>
      <c r="AJ6" s="109">
        <f>AH6+AI6</f>
        <v>26658.23</v>
      </c>
      <c r="AK6" s="111"/>
      <c r="AL6" s="109">
        <f>AJ6+AG6+AK6</f>
        <v>29194.1</v>
      </c>
      <c r="AM6" s="111"/>
      <c r="AN6" s="111"/>
      <c r="AO6" s="111"/>
      <c r="AP6" s="111"/>
      <c r="AQ6" s="111"/>
      <c r="AR6" s="11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>IF(SUMPRODUCT(N(E$1:E$19=E6))&gt;1,"重复","不")</f>
        <v>不</v>
      </c>
      <c r="AT6" s="118" t="str">
        <f>IF(SUMPRODUCT(N(AO$1:AO$19=AO6))&gt;1,"重复","不")</f>
        <v>重复</v>
      </c>
      <c r="AU6" s="12" t="s">
        <v>104</v>
      </c>
      <c r="AV6" s="12" t="s">
        <v>202</v>
      </c>
    </row>
    <row r="7" s="12" customFormat="1" ht="18" customHeight="1" spans="1:48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41" t="s">
        <v>203</v>
      </c>
      <c r="H7" s="40"/>
      <c r="I7" s="40"/>
      <c r="J7" s="70"/>
      <c r="K7" s="40"/>
      <c r="L7" s="73">
        <v>7000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ref="Q7:Q18" si="0">ROUND(SUM(M7:P7),2)</f>
        <v>507.36</v>
      </c>
      <c r="R7" s="73">
        <v>0</v>
      </c>
      <c r="S7" s="92">
        <f>L7+IFERROR(VLOOKUP($E:$E,'（居民）工资表-5月'!$E:$S,15,0),0)</f>
        <v>40000</v>
      </c>
      <c r="T7" s="93">
        <f>5000+IFERROR(VLOOKUP($E:$E,'（居民）工资表-5月'!$E:$T,16,0),0)</f>
        <v>30000</v>
      </c>
      <c r="U7" s="93">
        <f>Q7+IFERROR(VLOOKUP($E:$E,'（居民）工资表-5月'!$E:$U,17,0),0)</f>
        <v>3274.42</v>
      </c>
      <c r="V7" s="73"/>
      <c r="W7" s="73"/>
      <c r="X7" s="73"/>
      <c r="Y7" s="73"/>
      <c r="Z7" s="73"/>
      <c r="AA7" s="73"/>
      <c r="AB7" s="92">
        <f t="shared" ref="AB7:AB18" si="1">ROUND(SUM(V7:AA7),2)</f>
        <v>0</v>
      </c>
      <c r="AC7" s="92">
        <f>R7+IFERROR(VLOOKUP($E:$E,'（居民）工资表-5月'!$E:$AC,25,0),0)</f>
        <v>0</v>
      </c>
      <c r="AD7" s="97">
        <f t="shared" ref="AD7:AD18" si="2">ROUND(S7-T7-U7-AB7-AC7,2)</f>
        <v>6725.58</v>
      </c>
      <c r="AE7" s="98">
        <f>ROUND(MAX((AD7)*{0.03;0.1;0.2;0.25;0.3;0.35;0.45}-{0;2520;16920;31920;52920;85920;181920},0),2)</f>
        <v>201.77</v>
      </c>
      <c r="AF7" s="99">
        <f>IFERROR(VLOOKUP(E:E,'（居民）工资表-5月'!E:AF,28,0)+VLOOKUP(E:E,'（居民）工资表-5月'!E:AG,29,0),0)</f>
        <v>156.99</v>
      </c>
      <c r="AG7" s="99">
        <f t="shared" ref="AG7:AG18" si="3">IF((AE7-AF7)&lt;0,0,AE7-AF7)</f>
        <v>44.78</v>
      </c>
      <c r="AH7" s="109">
        <f t="shared" ref="AH7:AH18" si="4">ROUND(IF((L7-Q7-AG7)&lt;0,0,(L7-Q7-AG7)),2)</f>
        <v>6447.86</v>
      </c>
      <c r="AI7" s="110"/>
      <c r="AJ7" s="109">
        <f t="shared" ref="AJ7:AJ18" si="5">AH7+AI7</f>
        <v>6447.86</v>
      </c>
      <c r="AK7" s="111"/>
      <c r="AL7" s="109">
        <f t="shared" ref="AL7:AL18" si="6">AJ7+AG7+AK7</f>
        <v>6492.64</v>
      </c>
      <c r="AM7" s="111"/>
      <c r="AN7" s="111"/>
      <c r="AO7" s="111"/>
      <c r="AP7" s="111"/>
      <c r="AQ7" s="111"/>
      <c r="AR7" s="118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8" t="str">
        <f t="shared" ref="AS7:AS17" si="8">IF(SUMPRODUCT(N(E$1:E$19=E7))&gt;1,"重复","不")</f>
        <v>不</v>
      </c>
      <c r="AT7" s="118" t="str">
        <f t="shared" ref="AT7:AT17" si="9">IF(SUMPRODUCT(N(AO$1:AO$19=AO7))&gt;1,"重复","不")</f>
        <v>重复</v>
      </c>
      <c r="AU7" s="12" t="s">
        <v>146</v>
      </c>
      <c r="AV7" s="12" t="s">
        <v>51</v>
      </c>
    </row>
    <row r="8" s="12" customFormat="1" ht="18" customHeight="1" spans="1:48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38" t="s">
        <v>198</v>
      </c>
      <c r="G8" s="41">
        <v>19356875630</v>
      </c>
      <c r="H8" s="40"/>
      <c r="I8" s="40"/>
      <c r="J8" s="70"/>
      <c r="K8" s="40"/>
      <c r="L8" s="73">
        <v>9500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L8+IFERROR(VLOOKUP($E:$E,'（居民）工资表-5月'!$E:$S,15,0),0)</f>
        <v>46500</v>
      </c>
      <c r="T8" s="93">
        <f>5000+IFERROR(VLOOKUP($E:$E,'（居民）工资表-5月'!$E:$T,16,0),0)</f>
        <v>30000</v>
      </c>
      <c r="U8" s="93">
        <f>Q8+IFERROR(VLOOKUP($E:$E,'（居民）工资表-5月'!$E:$U,17,0),0)</f>
        <v>3822.42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R8+IFERROR(VLOOKUP($E:$E,'（居民）工资表-5月'!$E:$AC,25,0),0)</f>
        <v>0</v>
      </c>
      <c r="AD8" s="97">
        <f t="shared" si="2"/>
        <v>12677.58</v>
      </c>
      <c r="AE8" s="98">
        <f>ROUND(MAX((AD8)*{0.03;0.1;0.2;0.25;0.3;0.35;0.45}-{0;2520;16920;31920;52920;85920;181920},0),2)</f>
        <v>380.33</v>
      </c>
      <c r="AF8" s="99">
        <f>IFERROR(VLOOKUP(E:E,'（居民）工资表-5月'!E:AF,28,0)+VLOOKUP(E:E,'（居民）工资表-5月'!E:AG,29,0),0)</f>
        <v>262.74</v>
      </c>
      <c r="AG8" s="99">
        <f t="shared" si="3"/>
        <v>117.59</v>
      </c>
      <c r="AH8" s="109">
        <f t="shared" si="4"/>
        <v>8802.05</v>
      </c>
      <c r="AI8" s="110"/>
      <c r="AJ8" s="109">
        <f t="shared" si="5"/>
        <v>8802.05</v>
      </c>
      <c r="AK8" s="111"/>
      <c r="AL8" s="109">
        <f t="shared" si="6"/>
        <v>8919.64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38" t="s">
        <v>198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L9+IFERROR(VLOOKUP($E:$E,'（居民）工资表-5月'!$E:$S,15,0),0)</f>
        <v>39000</v>
      </c>
      <c r="T9" s="93">
        <f>5000+IFERROR(VLOOKUP($E:$E,'（居民）工资表-5月'!$E:$T,16,0),0)</f>
        <v>30000</v>
      </c>
      <c r="U9" s="93">
        <f>Q9+IFERROR(VLOOKUP($E:$E,'（居民）工资表-5月'!$E:$U,17,0),0)</f>
        <v>3126.46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R9+IFERROR(VLOOKUP($E:$E,'（居民）工资表-5月'!$E:$AC,25,0),0)</f>
        <v>0</v>
      </c>
      <c r="AD9" s="97">
        <f t="shared" si="2"/>
        <v>5873.54</v>
      </c>
      <c r="AE9" s="98">
        <f>ROUND(MAX((AD9)*{0.03;0.1;0.2;0.25;0.3;0.35;0.45}-{0;2520;16920;31920;52920;85920;181920},0),2)</f>
        <v>176.21</v>
      </c>
      <c r="AF9" s="99">
        <f>IFERROR(VLOOKUP(E:E,'（居民）工资表-5月'!E:AF,28,0)+VLOOKUP(E:E,'（居民）工资表-5月'!E:AG,29,0),0)</f>
        <v>146.63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204</v>
      </c>
      <c r="AV9" s="12" t="s">
        <v>51</v>
      </c>
    </row>
    <row r="10" s="12" customFormat="1" ht="18" customHeight="1" spans="1:48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41" t="s">
        <v>205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L10+IFERROR(VLOOKUP($E:$E,'（居民）工资表-5月'!$E:$S,15,0),0)</f>
        <v>33000</v>
      </c>
      <c r="T10" s="93">
        <f>5000+IFERROR(VLOOKUP($E:$E,'（居民）工资表-5月'!$E:$T,16,0),0)</f>
        <v>30000</v>
      </c>
      <c r="U10" s="93">
        <f>Q10+IFERROR(VLOOKUP($E:$E,'（居民）工资表-5月'!$E:$U,17,0),0)</f>
        <v>3152.94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R10+IFERROR(VLOOKUP($E:$E,'（居民）工资表-5月'!$E:$AC,25,0),0)</f>
        <v>0</v>
      </c>
      <c r="AD10" s="97">
        <f t="shared" si="2"/>
        <v>-152.94</v>
      </c>
      <c r="AE10" s="98">
        <f>ROUND(MAX((AD10)*{0.03;0.1;0.2;0.25;0.3;0.35;0.45}-{0;2520;16920;31920;52920;85920;181920},0),2)</f>
        <v>0</v>
      </c>
      <c r="AF10" s="99">
        <f>IFERROR(VLOOKUP(E:E,'（居民）工资表-5月'!E:AF,28,0)+VLOOKUP(E:E,'（居民）工资表-5月'!E:AG,29,0),0)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135</v>
      </c>
      <c r="AV10" s="12" t="s">
        <v>206</v>
      </c>
    </row>
    <row r="11" s="12" customFormat="1" ht="18" customHeight="1" spans="1:48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41" t="s">
        <v>207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L11+IFERROR(VLOOKUP($E:$E,'（居民）工资表-5月'!$E:$S,15,0),0)</f>
        <v>27592.8</v>
      </c>
      <c r="T11" s="93">
        <f>5000+IFERROR(VLOOKUP($E:$E,'（居民）工资表-5月'!$E:$T,16,0),0)</f>
        <v>30000</v>
      </c>
      <c r="U11" s="93">
        <f>Q11+IFERROR(VLOOKUP($E:$E,'（居民）工资表-5月'!$E:$U,17,0),0)</f>
        <v>3557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R11+IFERROR(VLOOKUP($E:$E,'（居民）工资表-5月'!$E:$AC,25,0),0)</f>
        <v>0</v>
      </c>
      <c r="AD11" s="97">
        <f t="shared" si="2"/>
        <v>-5964.2</v>
      </c>
      <c r="AE11" s="98">
        <f>ROUND(MAX((AD11)*{0.03;0.1;0.2;0.25;0.3;0.35;0.45}-{0;2520;16920;31920;52920;85920;181920},0),2)</f>
        <v>0</v>
      </c>
      <c r="AF11" s="99">
        <f>IFERROR(VLOOKUP(E:E,'（居民）工资表-5月'!E:AF,28,0)+VLOOKUP(E:E,'（居民）工资表-5月'!E:AG,29,0),0)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 t="s">
        <v>138</v>
      </c>
      <c r="AV11" s="12" t="s">
        <v>208</v>
      </c>
    </row>
    <row r="12" s="12" customFormat="1" ht="18" customHeight="1" spans="1:48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41">
        <v>18356553626</v>
      </c>
      <c r="H12" s="40"/>
      <c r="I12" s="40"/>
      <c r="J12" s="70"/>
      <c r="K12" s="40"/>
      <c r="L12" s="73">
        <v>7000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L12+IFERROR(VLOOKUP($E:$E,'（居民）工资表-5月'!$E:$S,15,0),0)</f>
        <v>38118.18</v>
      </c>
      <c r="T12" s="93">
        <f>5000+IFERROR(VLOOKUP($E:$E,'（居民）工资表-5月'!$E:$T,16,0),0)</f>
        <v>30000</v>
      </c>
      <c r="U12" s="93">
        <f>Q12+IFERROR(VLOOKUP($E:$E,'（居民）工资表-5月'!$E:$U,17,0),0)</f>
        <v>3196.3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R12+IFERROR(VLOOKUP($E:$E,'（居民）工资表-5月'!$E:$AC,25,0),0)</f>
        <v>0</v>
      </c>
      <c r="AD12" s="97">
        <f t="shared" si="2"/>
        <v>4921.88</v>
      </c>
      <c r="AE12" s="98">
        <f>ROUND(MAX((AD12)*{0.03;0.1;0.2;0.25;0.3;0.35;0.45}-{0;2520;16920;31920;52920;85920;181920},0),2)</f>
        <v>147.66</v>
      </c>
      <c r="AF12" s="99">
        <f>IFERROR(VLOOKUP(E:E,'（居民）工资表-5月'!E:AF,28,0)+VLOOKUP(E:E,'（居民）工资表-5月'!E:AG,29,0),0)</f>
        <v>103.71</v>
      </c>
      <c r="AG12" s="99">
        <f t="shared" si="3"/>
        <v>43.95</v>
      </c>
      <c r="AH12" s="109">
        <f t="shared" si="4"/>
        <v>6420.84</v>
      </c>
      <c r="AI12" s="110"/>
      <c r="AJ12" s="109">
        <f t="shared" si="5"/>
        <v>6420.84</v>
      </c>
      <c r="AK12" s="111"/>
      <c r="AL12" s="109">
        <f t="shared" si="6"/>
        <v>6464.79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 t="s">
        <v>146</v>
      </c>
      <c r="AV12" s="12" t="s">
        <v>51</v>
      </c>
    </row>
    <row r="13" s="12" customFormat="1" ht="18" customHeight="1" spans="1:48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41">
        <v>18326897140</v>
      </c>
      <c r="H13" s="40"/>
      <c r="I13" s="40"/>
      <c r="J13" s="70"/>
      <c r="K13" s="40"/>
      <c r="L13" s="73">
        <v>7000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L13+IFERROR(VLOOKUP($E:$E,'（居民）工资表-5月'!$E:$S,15,0),0)</f>
        <v>31450</v>
      </c>
      <c r="T13" s="93">
        <f>5000+IFERROR(VLOOKUP($E:$E,'（居民）工资表-5月'!$E:$T,16,0),0)</f>
        <v>30000</v>
      </c>
      <c r="U13" s="93">
        <f>Q13+IFERROR(VLOOKUP($E:$E,'（居民）工资表-5月'!$E:$U,17,0),0)</f>
        <v>3611.37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R13+IFERROR(VLOOKUP($E:$E,'（居民）工资表-5月'!$E:$AC,25,0),0)</f>
        <v>0</v>
      </c>
      <c r="AD13" s="97">
        <f t="shared" si="2"/>
        <v>-2161.37</v>
      </c>
      <c r="AE13" s="98">
        <f>ROUND(MAX((AD13)*{0.03;0.1;0.2;0.25;0.3;0.35;0.45}-{0;2520;16920;31920;52920;85920;181920},0),2)</f>
        <v>0</v>
      </c>
      <c r="AF13" s="99">
        <f>IFERROR(VLOOKUP(E:E,'（居民）工资表-5月'!E:AF,28,0)+VLOOKUP(E:E,'（居民）工资表-5月'!E:AG,29,0),0)</f>
        <v>0</v>
      </c>
      <c r="AG13" s="99">
        <f t="shared" si="3"/>
        <v>0</v>
      </c>
      <c r="AH13" s="109">
        <f t="shared" si="4"/>
        <v>6419.64</v>
      </c>
      <c r="AI13" s="110"/>
      <c r="AJ13" s="109">
        <f t="shared" si="5"/>
        <v>6419.64</v>
      </c>
      <c r="AK13" s="111"/>
      <c r="AL13" s="109">
        <f t="shared" si="6"/>
        <v>6419.64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41">
        <v>17201857014</v>
      </c>
      <c r="H14" s="40"/>
      <c r="I14" s="40"/>
      <c r="J14" s="70"/>
      <c r="K14" s="40"/>
      <c r="L14" s="73">
        <v>7000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L14+IFERROR(VLOOKUP($E:$E,'（居民）工资表-5月'!$E:$S,15,0),0)</f>
        <v>31550</v>
      </c>
      <c r="T14" s="93">
        <f>5000+IFERROR(VLOOKUP($E:$E,'（居民）工资表-5月'!$E:$T,16,0),0)</f>
        <v>30000</v>
      </c>
      <c r="U14" s="93">
        <f>Q14+IFERROR(VLOOKUP($E:$E,'（居民）工资表-5月'!$E:$U,17,0),0)</f>
        <v>3611.37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R14+IFERROR(VLOOKUP($E:$E,'（居民）工资表-5月'!$E:$AC,25,0),0)</f>
        <v>0</v>
      </c>
      <c r="AD14" s="97">
        <f t="shared" si="2"/>
        <v>-2061.37</v>
      </c>
      <c r="AE14" s="98">
        <f>ROUND(MAX((AD14)*{0.03;0.1;0.2;0.25;0.3;0.35;0.45}-{0;2520;16920;31920;52920;85920;181920},0),2)</f>
        <v>0</v>
      </c>
      <c r="AF14" s="99">
        <f>IFERROR(VLOOKUP(E:E,'（居民）工资表-5月'!E:AF,28,0)+VLOOKUP(E:E,'（居民）工资表-5月'!E:AG,29,0),0)</f>
        <v>0</v>
      </c>
      <c r="AG14" s="99">
        <f t="shared" si="3"/>
        <v>0</v>
      </c>
      <c r="AH14" s="109">
        <f t="shared" si="4"/>
        <v>6419.64</v>
      </c>
      <c r="AI14" s="110"/>
      <c r="AJ14" s="109">
        <f t="shared" si="5"/>
        <v>6419.64</v>
      </c>
      <c r="AK14" s="111"/>
      <c r="AL14" s="109">
        <f t="shared" si="6"/>
        <v>6419.64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41" t="s">
        <v>209</v>
      </c>
      <c r="H15" s="40"/>
      <c r="I15" s="40"/>
      <c r="J15" s="70"/>
      <c r="K15" s="40"/>
      <c r="L15" s="73">
        <v>7000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L15+IFERROR(VLOOKUP($E:$E,'（居民）工资表-5月'!$E:$S,15,0),0)</f>
        <v>38309.09</v>
      </c>
      <c r="T15" s="93">
        <f>5000+IFERROR(VLOOKUP($E:$E,'（居民）工资表-5月'!$E:$T,16,0),0)</f>
        <v>30000</v>
      </c>
      <c r="U15" s="93">
        <f>Q15+IFERROR(VLOOKUP($E:$E,'（居民）工资表-5月'!$E:$U,17,0),0)</f>
        <v>3204.34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R15+IFERROR(VLOOKUP($E:$E,'（居民）工资表-5月'!$E:$AC,25,0),0)</f>
        <v>0</v>
      </c>
      <c r="AD15" s="97">
        <f t="shared" si="2"/>
        <v>5104.75</v>
      </c>
      <c r="AE15" s="98">
        <f>ROUND(MAX((AD15)*{0.03;0.1;0.2;0.25;0.3;0.35;0.45}-{0;2520;16920;31920;52920;85920;181920},0),2)</f>
        <v>153.14</v>
      </c>
      <c r="AF15" s="99">
        <f>IFERROR(VLOOKUP(E:E,'（居民）工资表-5月'!E:AF,28,0)+VLOOKUP(E:E,'（居民）工资表-5月'!E:AG,29,0),0)</f>
        <v>109.2</v>
      </c>
      <c r="AG15" s="99">
        <f t="shared" si="3"/>
        <v>43.94</v>
      </c>
      <c r="AH15" s="109">
        <f t="shared" si="4"/>
        <v>6420.85</v>
      </c>
      <c r="AI15" s="110"/>
      <c r="AJ15" s="109">
        <f t="shared" si="5"/>
        <v>6420.85</v>
      </c>
      <c r="AK15" s="111"/>
      <c r="AL15" s="109">
        <f t="shared" si="6"/>
        <v>6464.79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41">
        <v>15855788591</v>
      </c>
      <c r="H16" s="40"/>
      <c r="I16" s="40"/>
      <c r="J16" s="70"/>
      <c r="K16" s="40"/>
      <c r="L16" s="73">
        <v>6060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L16+IFERROR(VLOOKUP($E:$E,'（居民）工资表-5月'!$E:$S,15,0),0)</f>
        <v>31332</v>
      </c>
      <c r="T16" s="93">
        <f>5000+IFERROR(VLOOKUP($E:$E,'（居民）工资表-5月'!$E:$T,16,0),0)</f>
        <v>30000</v>
      </c>
      <c r="U16" s="93">
        <f>Q16+IFERROR(VLOOKUP($E:$E,'（居民）工资表-5月'!$E:$U,17,0),0)</f>
        <v>3506.52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R16+IFERROR(VLOOKUP($E:$E,'（居民）工资表-5月'!$E:$AC,25,0),0)</f>
        <v>0</v>
      </c>
      <c r="AD16" s="97">
        <f t="shared" si="2"/>
        <v>-2174.52</v>
      </c>
      <c r="AE16" s="98">
        <f>ROUND(MAX((AD16)*{0.03;0.1;0.2;0.25;0.3;0.35;0.45}-{0;2520;16920;31920;52920;85920;181920},0),2)</f>
        <v>0</v>
      </c>
      <c r="AF16" s="99">
        <f>IFERROR(VLOOKUP(E:E,'（居民）工资表-5月'!E:AF,28,0)+VLOOKUP(E:E,'（居民）工资表-5月'!E:AG,29,0),0)</f>
        <v>0</v>
      </c>
      <c r="AG16" s="99">
        <f t="shared" si="3"/>
        <v>0</v>
      </c>
      <c r="AH16" s="109">
        <f t="shared" si="4"/>
        <v>5552.64</v>
      </c>
      <c r="AI16" s="110"/>
      <c r="AJ16" s="109">
        <f t="shared" si="5"/>
        <v>5552.64</v>
      </c>
      <c r="AK16" s="111"/>
      <c r="AL16" s="109">
        <f t="shared" si="6"/>
        <v>5552.64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41">
        <v>13873717760</v>
      </c>
      <c r="H17" s="40"/>
      <c r="I17" s="40"/>
      <c r="J17" s="70"/>
      <c r="K17" s="40"/>
      <c r="L17" s="73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L17+IFERROR(VLOOKUP($E:$E,'（居民）工资表-5月'!$E:$S,15,0),0)</f>
        <v>30525</v>
      </c>
      <c r="T17" s="93">
        <f>5000+IFERROR(VLOOKUP($E:$E,'（居民）工资表-5月'!$E:$T,16,0),0)</f>
        <v>30000</v>
      </c>
      <c r="U17" s="93">
        <f>Q17+IFERROR(VLOOKUP($E:$E,'（居民）工资表-5月'!$E:$U,17,0),0)</f>
        <v>4215.83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R17+IFERROR(VLOOKUP($E:$E,'（居民）工资表-5月'!$E:$AC,25,0),0)</f>
        <v>0</v>
      </c>
      <c r="AD17" s="97">
        <f t="shared" si="2"/>
        <v>-3690.83</v>
      </c>
      <c r="AE17" s="98">
        <f>ROUND(MAX((AD17)*{0.03;0.1;0.2;0.25;0.3;0.35;0.45}-{0;2520;16920;31920;52920;85920;181920},0),2)</f>
        <v>0</v>
      </c>
      <c r="AF17" s="99">
        <f>IFERROR(VLOOKUP(E:E,'（居民）工资表-5月'!E:AF,28,0)+VLOOKUP(E:E,'（居民）工资表-5月'!E:AG,29,0),0)</f>
        <v>0</v>
      </c>
      <c r="AG17" s="99">
        <f t="shared" si="3"/>
        <v>0</v>
      </c>
      <c r="AH17" s="109">
        <f t="shared" si="4"/>
        <v>5970.84</v>
      </c>
      <c r="AI17" s="110"/>
      <c r="AJ17" s="109">
        <f t="shared" si="5"/>
        <v>5970.84</v>
      </c>
      <c r="AK17" s="111"/>
      <c r="AL17" s="109">
        <f t="shared" si="6"/>
        <v>5970.84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 t="shared" si="8"/>
        <v>不</v>
      </c>
      <c r="AT17" s="118" t="str">
        <f t="shared" si="9"/>
        <v>重复</v>
      </c>
      <c r="AU17" s="12" t="s">
        <v>204</v>
      </c>
      <c r="AV17" s="12" t="s">
        <v>51</v>
      </c>
    </row>
    <row r="18" s="12" customFormat="1" ht="18" customHeight="1" spans="1:48">
      <c r="A18" s="36">
        <v>15</v>
      </c>
      <c r="B18" s="37" t="s">
        <v>196</v>
      </c>
      <c r="C18" s="37" t="s">
        <v>147</v>
      </c>
      <c r="D18" s="37" t="s">
        <v>197</v>
      </c>
      <c r="E18" s="383" t="s">
        <v>148</v>
      </c>
      <c r="F18" s="38" t="s">
        <v>200</v>
      </c>
      <c r="G18" s="41"/>
      <c r="H18" s="40"/>
      <c r="I18" s="40"/>
      <c r="J18" s="70"/>
      <c r="K18" s="40"/>
      <c r="L18" s="73">
        <v>4800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L18+IFERROR(VLOOKUP($E:$E,'（居民）工资表-5月'!$E:$S,15,0),0)</f>
        <v>7636.37</v>
      </c>
      <c r="T18" s="93">
        <f>5000+IFERROR(VLOOKUP($E:$E,'（居民）工资表-5月'!$E:$T,16,0),0)</f>
        <v>10000</v>
      </c>
      <c r="U18" s="93">
        <f>Q18+IFERROR(VLOOKUP($E:$E,'（居民）工资表-5月'!$E:$U,17,0),0)</f>
        <v>1516.08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R18+IFERROR(VLOOKUP($E:$E,'（居民）工资表-5月'!$E:$AC,25,0),0)</f>
        <v>0</v>
      </c>
      <c r="AD18" s="97">
        <f t="shared" si="2"/>
        <v>-3879.71</v>
      </c>
      <c r="AE18" s="98">
        <f>ROUND(MAX((AD18)*{0.03;0.1;0.2;0.25;0.3;0.35;0.45}-{0;2520;16920;31920;52920;85920;181920},0),2)</f>
        <v>0</v>
      </c>
      <c r="AF18" s="99">
        <f>IFERROR(VLOOKUP(E:E,'（居民）工资表-5月'!E:AF,28,0)+VLOOKUP(E:E,'（居民）工资表-5月'!E:AG,29,0),0)</f>
        <v>0</v>
      </c>
      <c r="AG18" s="99">
        <f t="shared" si="3"/>
        <v>0</v>
      </c>
      <c r="AH18" s="109">
        <f t="shared" si="4"/>
        <v>4294.64</v>
      </c>
      <c r="AI18" s="110"/>
      <c r="AJ18" s="109">
        <f t="shared" si="5"/>
        <v>4294.64</v>
      </c>
      <c r="AK18" s="111"/>
      <c r="AL18" s="109">
        <f t="shared" si="6"/>
        <v>4294.64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IF(SUMPRODUCT(N(E$1:E$19=E18))&gt;1,"重复","不")</f>
        <v>不</v>
      </c>
      <c r="AT18" s="118" t="str">
        <f>IF(SUMPRODUCT(N(AO$1:AO$19=AO18))&gt;1,"重复","不")</f>
        <v>重复</v>
      </c>
      <c r="AU18" s="12" t="s">
        <v>146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211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AL20" si="10">SUM(L4:L19)</f>
        <v>122278.8</v>
      </c>
      <c r="M20" s="76">
        <f t="shared" si="10"/>
        <v>4937.14</v>
      </c>
      <c r="N20" s="76">
        <f t="shared" si="10"/>
        <v>1406.9</v>
      </c>
      <c r="O20" s="76">
        <f t="shared" si="10"/>
        <v>267.06</v>
      </c>
      <c r="P20" s="76">
        <f t="shared" si="10"/>
        <v>1969.3</v>
      </c>
      <c r="Q20" s="76">
        <f t="shared" si="10"/>
        <v>8580.4</v>
      </c>
      <c r="R20" s="76">
        <f t="shared" si="10"/>
        <v>0</v>
      </c>
      <c r="S20" s="76">
        <f t="shared" si="10"/>
        <v>655573.44</v>
      </c>
      <c r="T20" s="76">
        <f t="shared" si="10"/>
        <v>430000</v>
      </c>
      <c r="U20" s="76">
        <f t="shared" si="10"/>
        <v>52072.36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173501.08</v>
      </c>
      <c r="AE20" s="76">
        <f t="shared" si="10"/>
        <v>13565.57</v>
      </c>
      <c r="AF20" s="76">
        <f t="shared" si="10"/>
        <v>10673.69</v>
      </c>
      <c r="AG20" s="76">
        <f t="shared" si="10"/>
        <v>2891.88</v>
      </c>
      <c r="AH20" s="76">
        <f t="shared" si="10"/>
        <v>110806.52</v>
      </c>
      <c r="AI20" s="126">
        <f t="shared" si="10"/>
        <v>0</v>
      </c>
      <c r="AJ20" s="76">
        <f t="shared" si="10"/>
        <v>110806.52</v>
      </c>
      <c r="AK20" s="76">
        <f t="shared" si="10"/>
        <v>0</v>
      </c>
      <c r="AL20" s="76">
        <f t="shared" si="10"/>
        <v>113698.4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6">
      <c r="B24" s="48" t="s">
        <v>185</v>
      </c>
      <c r="C24" s="48" t="s">
        <v>212</v>
      </c>
      <c r="D24" s="48" t="s">
        <v>22</v>
      </c>
      <c r="E24" s="48" t="s">
        <v>23</v>
      </c>
      <c r="AD24" s="10"/>
      <c r="AJ24" s="15">
        <v>80</v>
      </c>
    </row>
    <row r="25" ht="18.75" customHeight="1" spans="2:5">
      <c r="B25" s="49">
        <f>AJ20</f>
        <v>110806.52</v>
      </c>
      <c r="C25" s="49">
        <f>AG20</f>
        <v>2891.88</v>
      </c>
      <c r="D25" s="49">
        <f>AK20</f>
        <v>0</v>
      </c>
      <c r="E25" s="49">
        <f>B25+C25+D25</f>
        <v>113698.4</v>
      </c>
    </row>
    <row r="26" spans="2:5">
      <c r="B26" s="50"/>
      <c r="C26" s="50"/>
      <c r="D26" s="50"/>
      <c r="E26" s="50"/>
    </row>
    <row r="27" s="14" customFormat="1" spans="1:35">
      <c r="A27" s="52" t="s">
        <v>213</v>
      </c>
      <c r="B27" s="53" t="s">
        <v>214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216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217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218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219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220</v>
      </c>
    </row>
    <row r="35" spans="2:2">
      <c r="B35" s="60" t="s">
        <v>221</v>
      </c>
    </row>
    <row r="36" spans="2:2">
      <c r="B36" s="60" t="s">
        <v>222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41">
        <v>13944441728</v>
      </c>
      <c r="H4" s="40"/>
      <c r="I4" s="40"/>
      <c r="J4" s="70"/>
      <c r="K4" s="40"/>
      <c r="L4" s="73">
        <v>8000</v>
      </c>
      <c r="M4" s="72">
        <v>342.66</v>
      </c>
      <c r="N4" s="72">
        <v>76.62</v>
      </c>
      <c r="O4" s="72">
        <v>12.85</v>
      </c>
      <c r="P4" s="72">
        <v>177</v>
      </c>
      <c r="Q4" s="91">
        <f>ROUND(SUM(M4:P4),2)</f>
        <v>609.13</v>
      </c>
      <c r="R4" s="73">
        <v>0</v>
      </c>
      <c r="S4" s="92">
        <f>L4+IFERROR(VLOOKUP($E:$E,'（居民）工资表-7月'!$E:$S,15,0),0)</f>
        <v>62000</v>
      </c>
      <c r="T4" s="93">
        <f>5000+IFERROR(VLOOKUP($E:$E,'（居民）工资表-7月'!$E:$T,16,0),0)</f>
        <v>40000</v>
      </c>
      <c r="U4" s="93">
        <f>Q4+IFERROR(VLOOKUP($E:$E,'（居民）工资表-7月'!$E:$U,17,0),0)</f>
        <v>4651.31</v>
      </c>
      <c r="V4" s="73"/>
      <c r="W4" s="73"/>
      <c r="X4" s="73"/>
      <c r="Y4" s="73"/>
      <c r="Z4" s="73"/>
      <c r="AA4" s="73"/>
      <c r="AB4" s="92">
        <f>ROUND(SUM(V4:AA4),2)</f>
        <v>0</v>
      </c>
      <c r="AC4" s="92">
        <f>R4+IFERROR(VLOOKUP($E:$E,'（居民）工资表-7月'!$E:$AC,25,0),0)</f>
        <v>0</v>
      </c>
      <c r="AD4" s="97">
        <f>ROUND(S4-T4-U4-AB4-AC4,2)</f>
        <v>17348.69</v>
      </c>
      <c r="AE4" s="98">
        <f>ROUND(MAX((AD4)*{0.03;0.1;0.2;0.25;0.3;0.35;0.45}-{0;2520;16920;31920;52920;85920;181920},0),2)</f>
        <v>520.46</v>
      </c>
      <c r="AF4" s="99">
        <f>IFERROR(VLOOKUP(E:E,'（居民）工资表-7月'!E:AF,28,0)+VLOOKUP(E:E,'（居民）工资表-7月'!E:AG,29,0),0)</f>
        <v>375.56</v>
      </c>
      <c r="AG4" s="99">
        <f>IF((AE4-AF4)&lt;0,0,AE4-AF4)</f>
        <v>144.9</v>
      </c>
      <c r="AH4" s="109">
        <f>ROUND(IF((L4-Q4-AG4)&lt;0,0,(L4-Q4-AG4)),2)</f>
        <v>7245.97</v>
      </c>
      <c r="AI4" s="110"/>
      <c r="AJ4" s="109">
        <f>AH4+AI4</f>
        <v>7245.97</v>
      </c>
      <c r="AK4" s="111"/>
      <c r="AL4" s="109">
        <f>AJ4+AG4+AK4</f>
        <v>7390.87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IF(SUMPRODUCT(N(E$1:E$18=E4))&gt;1,"重复","不")</f>
        <v>不</v>
      </c>
      <c r="AT4" s="118" t="str">
        <f>IF(SUMPRODUCT(N(AO$1:AO$18=AO4))&gt;1,"重复","不")</f>
        <v>重复</v>
      </c>
      <c r="AU4" s="12" t="s">
        <v>199</v>
      </c>
      <c r="AV4" s="12" t="s">
        <v>51</v>
      </c>
    </row>
    <row r="5" s="12" customFormat="1" ht="18" customHeight="1" spans="1:48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41">
        <v>15360550807</v>
      </c>
      <c r="H5" s="40"/>
      <c r="I5" s="40"/>
      <c r="J5" s="70"/>
      <c r="K5" s="40"/>
      <c r="L5" s="73">
        <v>5700</v>
      </c>
      <c r="M5" s="72">
        <v>478.4</v>
      </c>
      <c r="N5" s="72">
        <v>113.48</v>
      </c>
      <c r="O5" s="72">
        <v>4.6</v>
      </c>
      <c r="P5" s="72">
        <v>115</v>
      </c>
      <c r="Q5" s="91">
        <f>ROUND(SUM(M5:P5),2)</f>
        <v>711.48</v>
      </c>
      <c r="R5" s="73">
        <v>0</v>
      </c>
      <c r="S5" s="92">
        <f>L5+IFERROR(VLOOKUP($E:$E,'（居民）工资表-7月'!$E:$S,15,0),0)</f>
        <v>45600</v>
      </c>
      <c r="T5" s="93">
        <f>5000+IFERROR(VLOOKUP($E:$E,'（居民）工资表-7月'!$E:$T,16,0),0)</f>
        <v>40000</v>
      </c>
      <c r="U5" s="93">
        <f>Q5+IFERROR(VLOOKUP($E:$E,'（居民）工资表-7月'!$E:$U,17,0),0)</f>
        <v>4912.32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R5+IFERROR(VLOOKUP($E:$E,'（居民）工资表-7月'!$E:$AC,25,0),0)</f>
        <v>0</v>
      </c>
      <c r="AD5" s="97">
        <f>ROUND(S5-T5-U5-AB5-AC5,2)</f>
        <v>687.68</v>
      </c>
      <c r="AE5" s="98">
        <f>ROUND(MAX((AD5)*{0.03;0.1;0.2;0.25;0.3;0.35;0.45}-{0;2520;16920;31920;52920;85920;181920},0),2)</f>
        <v>20.63</v>
      </c>
      <c r="AF5" s="99">
        <f>IFERROR(VLOOKUP(E:E,'（居民）工资表-7月'!E:AF,28,0)+VLOOKUP(E:E,'（居民）工资表-7月'!E:AG,29,0),0)</f>
        <v>17.98</v>
      </c>
      <c r="AG5" s="99">
        <f>IF((AE5-AF5)&lt;0,0,AE5-AF5)</f>
        <v>2.65</v>
      </c>
      <c r="AH5" s="109">
        <f>ROUND(IF((L5-Q5-AG5)&lt;0,0,(L5-Q5-AG5)),2)</f>
        <v>4985.87</v>
      </c>
      <c r="AI5" s="110"/>
      <c r="AJ5" s="109">
        <f>AH5+AI5</f>
        <v>4985.87</v>
      </c>
      <c r="AK5" s="111"/>
      <c r="AL5" s="109">
        <f>AJ5+AG5+AK5</f>
        <v>4988.52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IF(SUMPRODUCT(N(E$1:E$18=E5))&gt;1,"重复","不")</f>
        <v>不</v>
      </c>
      <c r="AT5" s="118" t="str">
        <f>IF(SUMPRODUCT(N(AO$1:AO$18=AO5))&gt;1,"重复","不")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41" t="s">
        <v>201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181.3</v>
      </c>
      <c r="Q6" s="91">
        <f t="shared" ref="Q6:Q19" si="0">ROUND(SUM(M6:P6),2)</f>
        <v>948.85</v>
      </c>
      <c r="R6" s="73">
        <v>0</v>
      </c>
      <c r="S6" s="92">
        <f>L6+IFERROR(VLOOKUP($E:$E,'（居民）工资表-7月'!$E:$S,15,0),0)</f>
        <v>242480</v>
      </c>
      <c r="T6" s="93">
        <f>5000+IFERROR(VLOOKUP($E:$E,'（居民）工资表-7月'!$E:$T,16,0),0)</f>
        <v>40000</v>
      </c>
      <c r="U6" s="93">
        <f>Q6+IFERROR(VLOOKUP($E:$E,'（居民）工资表-7月'!$E:$U,17,0),0)</f>
        <v>7093.1</v>
      </c>
      <c r="V6" s="73"/>
      <c r="W6" s="73"/>
      <c r="X6" s="73"/>
      <c r="Y6" s="73"/>
      <c r="Z6" s="73"/>
      <c r="AA6" s="73"/>
      <c r="AB6" s="92">
        <f t="shared" ref="AB6:AB19" si="1">ROUND(SUM(V6:AA6),2)</f>
        <v>0</v>
      </c>
      <c r="AC6" s="92">
        <f>R6+IFERROR(VLOOKUP($E:$E,'（居民）工资表-7月'!$E:$AC,25,0),0)</f>
        <v>0</v>
      </c>
      <c r="AD6" s="97">
        <f t="shared" ref="AD6:AD19" si="2">ROUND(S6-T6-U6-AB6-AC6,2)</f>
        <v>195386.9</v>
      </c>
      <c r="AE6" s="98">
        <f>ROUND(MAX((AD6)*{0.03;0.1;0.2;0.25;0.3;0.35;0.45}-{0;2520;16920;31920;52920;85920;181920},0),2)</f>
        <v>22157.38</v>
      </c>
      <c r="AF6" s="99">
        <f>IFERROR(VLOOKUP(E:E,'（居民）工资表-7月'!E:AF,28,0)+VLOOKUP(E:E,'（居民）工资表-7月'!E:AG,29,0),0)</f>
        <v>14935.15</v>
      </c>
      <c r="AG6" s="99">
        <f t="shared" ref="AG6:AG19" si="3">IF((AE6-AF6)&lt;0,0,AE6-AF6)</f>
        <v>7222.23</v>
      </c>
      <c r="AH6" s="109">
        <f t="shared" ref="AH6:AH19" si="4">ROUND(IF((L6-Q6-AG6)&lt;0,0,(L6-Q6-AG6)),2)</f>
        <v>23388.92</v>
      </c>
      <c r="AI6" s="110"/>
      <c r="AJ6" s="109">
        <f t="shared" ref="AJ6:AJ19" si="5">AH6+AI6</f>
        <v>23388.92</v>
      </c>
      <c r="AK6" s="111"/>
      <c r="AL6" s="109">
        <f t="shared" ref="AL6:AL19" si="6">AJ6+AG6+AK6</f>
        <v>30611.15</v>
      </c>
      <c r="AM6" s="111"/>
      <c r="AN6" s="111"/>
      <c r="AO6" s="111"/>
      <c r="AP6" s="111"/>
      <c r="AQ6" s="111"/>
      <c r="AR6" s="118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 t="shared" ref="AS6:AS16" si="8">IF(SUMPRODUCT(N(E$1:E$18=E6))&gt;1,"重复","不")</f>
        <v>不</v>
      </c>
      <c r="AT6" s="118" t="str">
        <f t="shared" ref="AT6:AT16" si="9">IF(SUMPRODUCT(N(AO$1:AO$18=AO6))&gt;1,"重复","不")</f>
        <v>重复</v>
      </c>
      <c r="AU6" s="12" t="s">
        <v>104</v>
      </c>
      <c r="AV6" s="12" t="s">
        <v>202</v>
      </c>
    </row>
    <row r="7" s="12" customFormat="1" ht="18" customHeight="1" spans="1:48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41" t="s">
        <v>203</v>
      </c>
      <c r="H7" s="40"/>
      <c r="I7" s="40"/>
      <c r="J7" s="70"/>
      <c r="K7" s="40"/>
      <c r="L7" s="73">
        <v>8500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si="0"/>
        <v>507.36</v>
      </c>
      <c r="R7" s="73">
        <v>0</v>
      </c>
      <c r="S7" s="92">
        <f>L7+IFERROR(VLOOKUP($E:$E,'（居民）工资表-7月'!$E:$S,15,0),0)</f>
        <v>57600</v>
      </c>
      <c r="T7" s="93">
        <f>5000+IFERROR(VLOOKUP($E:$E,'（居民）工资表-7月'!$E:$T,16,0),0)</f>
        <v>40000</v>
      </c>
      <c r="U7" s="93">
        <f>Q7+IFERROR(VLOOKUP($E:$E,'（居民）工资表-7月'!$E:$U,17,0),0)</f>
        <v>4289.14</v>
      </c>
      <c r="V7" s="73"/>
      <c r="W7" s="73"/>
      <c r="Y7" s="73"/>
      <c r="Z7" s="73"/>
      <c r="AA7" s="73"/>
      <c r="AB7" s="92">
        <f t="shared" si="1"/>
        <v>0</v>
      </c>
      <c r="AC7" s="92">
        <f>R7+IFERROR(VLOOKUP($E:$E,'（居民）工资表-7月'!$E:$AC,25,0),0)</f>
        <v>0</v>
      </c>
      <c r="AD7" s="97">
        <f t="shared" si="2"/>
        <v>13310.86</v>
      </c>
      <c r="AE7" s="98">
        <f>ROUND(MAX((AD7)*{0.03;0.1;0.2;0.25;0.3;0.35;0.45}-{0;2520;16920;31920;52920;85920;181920},0),2)</f>
        <v>399.33</v>
      </c>
      <c r="AF7" s="99">
        <f>IFERROR(VLOOKUP(E:E,'（居民）工资表-7月'!E:AF,28,0)+VLOOKUP(E:E,'（居民）工资表-7月'!E:AG,29,0),0)</f>
        <v>201.77</v>
      </c>
      <c r="AG7" s="99">
        <f t="shared" si="3"/>
        <v>197.56</v>
      </c>
      <c r="AH7" s="109">
        <f t="shared" si="4"/>
        <v>7795.08</v>
      </c>
      <c r="AI7" s="110"/>
      <c r="AJ7" s="109">
        <f t="shared" si="5"/>
        <v>7795.08</v>
      </c>
      <c r="AK7" s="111"/>
      <c r="AL7" s="109">
        <f t="shared" si="6"/>
        <v>7992.64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U7" s="12" t="s">
        <v>146</v>
      </c>
      <c r="AV7" s="12" t="s">
        <v>51</v>
      </c>
    </row>
    <row r="8" s="12" customFormat="1" ht="18" customHeight="1" spans="1:48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38" t="s">
        <v>198</v>
      </c>
      <c r="G8" s="41">
        <v>19356875630</v>
      </c>
      <c r="H8" s="40"/>
      <c r="I8" s="40"/>
      <c r="J8" s="70"/>
      <c r="K8" s="40"/>
      <c r="L8" s="73">
        <v>11800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L8+IFERROR(VLOOKUP($E:$E,'（居民）工资表-7月'!$E:$S,15,0),0)</f>
        <v>68600</v>
      </c>
      <c r="T8" s="93">
        <f>5000+IFERROR(VLOOKUP($E:$E,'（居民）工资表-7月'!$E:$T,16,0),0)</f>
        <v>40000</v>
      </c>
      <c r="U8" s="93">
        <f>Q8+IFERROR(VLOOKUP($E:$E,'（居民）工资表-7月'!$E:$U,17,0),0)</f>
        <v>4983.14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R8+IFERROR(VLOOKUP($E:$E,'（居民）工资表-7月'!$E:$AC,25,0),0)</f>
        <v>0</v>
      </c>
      <c r="AD8" s="97">
        <f t="shared" si="2"/>
        <v>23616.86</v>
      </c>
      <c r="AE8" s="98">
        <f>ROUND(MAX((AD8)*{0.03;0.1;0.2;0.25;0.3;0.35;0.45}-{0;2520;16920;31920;52920;85920;181920},0),2)</f>
        <v>708.51</v>
      </c>
      <c r="AF8" s="99">
        <f>IFERROR(VLOOKUP(E:E,'（居民）工资表-7月'!E:AF,28,0)+VLOOKUP(E:E,'（居民）工资表-7月'!E:AG,29,0),0)</f>
        <v>521.92</v>
      </c>
      <c r="AG8" s="99">
        <f t="shared" si="3"/>
        <v>186.59</v>
      </c>
      <c r="AH8" s="109">
        <f t="shared" si="4"/>
        <v>11033.05</v>
      </c>
      <c r="AI8" s="110"/>
      <c r="AJ8" s="109">
        <f t="shared" si="5"/>
        <v>11033.05</v>
      </c>
      <c r="AK8" s="111"/>
      <c r="AL8" s="109">
        <f t="shared" si="6"/>
        <v>11219.64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38" t="s">
        <v>198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L9+IFERROR(VLOOKUP($E:$E,'（居民）工资表-7月'!$E:$S,15,0),0)</f>
        <v>52000</v>
      </c>
      <c r="T9" s="93">
        <f>5000+IFERROR(VLOOKUP($E:$E,'（居民）工资表-7月'!$E:$T,16,0),0)</f>
        <v>40000</v>
      </c>
      <c r="U9" s="93">
        <f>Q9+IFERROR(VLOOKUP($E:$E,'（居民）工资表-7月'!$E:$U,17,0),0)</f>
        <v>4154.78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R9+IFERROR(VLOOKUP($E:$E,'（居民）工资表-7月'!$E:$AC,25,0),0)</f>
        <v>0</v>
      </c>
      <c r="AD9" s="97">
        <f t="shared" si="2"/>
        <v>7845.22</v>
      </c>
      <c r="AE9" s="98">
        <f>ROUND(MAX((AD9)*{0.03;0.1;0.2;0.25;0.3;0.35;0.45}-{0;2520;16920;31920;52920;85920;181920},0),2)</f>
        <v>235.36</v>
      </c>
      <c r="AF9" s="99">
        <f>IFERROR(VLOOKUP(E:E,'（居民）工资表-7月'!E:AF,28,0)+VLOOKUP(E:E,'（居民）工资表-7月'!E:AG,29,0),0)</f>
        <v>205.78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204</v>
      </c>
      <c r="AV9" s="12" t="s">
        <v>51</v>
      </c>
    </row>
    <row r="10" s="12" customFormat="1" ht="18" customHeight="1" spans="1:48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41" t="s">
        <v>205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L10+IFERROR(VLOOKUP($E:$E,'（居民）工资表-7月'!$E:$S,15,0),0)</f>
        <v>44000</v>
      </c>
      <c r="T10" s="93">
        <f>5000+IFERROR(VLOOKUP($E:$E,'（居民）工资表-7月'!$E:$T,16,0),0)</f>
        <v>40000</v>
      </c>
      <c r="U10" s="93">
        <f>Q10+IFERROR(VLOOKUP($E:$E,'（居民）工资表-7月'!$E:$U,17,0),0)</f>
        <v>4203.92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R10+IFERROR(VLOOKUP($E:$E,'（居民）工资表-7月'!$E:$AC,25,0),0)</f>
        <v>0</v>
      </c>
      <c r="AD10" s="97">
        <f t="shared" si="2"/>
        <v>-203.92</v>
      </c>
      <c r="AE10" s="98">
        <f>ROUND(MAX((AD10)*{0.03;0.1;0.2;0.25;0.3;0.35;0.45}-{0;2520;16920;31920;52920;85920;181920},0),2)</f>
        <v>0</v>
      </c>
      <c r="AF10" s="99">
        <f>IFERROR(VLOOKUP(E:E,'（居民）工资表-7月'!E:AF,28,0)+VLOOKUP(E:E,'（居民）工资表-7月'!E:AG,29,0),0)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135</v>
      </c>
      <c r="AV10" s="12" t="s">
        <v>206</v>
      </c>
    </row>
    <row r="11" s="12" customFormat="1" ht="18" customHeight="1" spans="1:48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41" t="s">
        <v>207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L11+IFERROR(VLOOKUP($E:$E,'（居民）工资表-7月'!$E:$S,15,0),0)</f>
        <v>36790.4</v>
      </c>
      <c r="T11" s="93">
        <f>5000+IFERROR(VLOOKUP($E:$E,'（居民）工资表-7月'!$E:$T,16,0),0)</f>
        <v>40000</v>
      </c>
      <c r="U11" s="93">
        <f>Q11+IFERROR(VLOOKUP($E:$E,'（居民）工资表-7月'!$E:$U,17,0),0)</f>
        <v>4743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R11+IFERROR(VLOOKUP($E:$E,'（居民）工资表-7月'!$E:$AC,25,0),0)</f>
        <v>0</v>
      </c>
      <c r="AD11" s="97">
        <f t="shared" si="2"/>
        <v>-7952.6</v>
      </c>
      <c r="AE11" s="98">
        <f>ROUND(MAX((AD11)*{0.03;0.1;0.2;0.25;0.3;0.35;0.45}-{0;2520;16920;31920;52920;85920;181920},0),2)</f>
        <v>0</v>
      </c>
      <c r="AF11" s="99">
        <f>IFERROR(VLOOKUP(E:E,'（居民）工资表-7月'!E:AF,28,0)+VLOOKUP(E:E,'（居民）工资表-7月'!E:AG,29,0),0)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 t="s">
        <v>138</v>
      </c>
      <c r="AV11" s="12" t="s">
        <v>208</v>
      </c>
    </row>
    <row r="12" s="12" customFormat="1" ht="18" customHeight="1" spans="1:48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41">
        <v>18356553626</v>
      </c>
      <c r="H12" s="40"/>
      <c r="I12" s="40"/>
      <c r="J12" s="70"/>
      <c r="K12" s="40"/>
      <c r="L12" s="73">
        <v>11300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L12+IFERROR(VLOOKUP($E:$E,'（居民）工资表-7月'!$E:$S,15,0),0)</f>
        <v>59718.18</v>
      </c>
      <c r="T12" s="93">
        <f>5000+IFERROR(VLOOKUP($E:$E,'（居民）工资表-7月'!$E:$T,16,0),0)</f>
        <v>40000</v>
      </c>
      <c r="U12" s="93">
        <f>Q12+IFERROR(VLOOKUP($E:$E,'（居民）工资表-7月'!$E:$U,17,0),0)</f>
        <v>4266.72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R12+IFERROR(VLOOKUP($E:$E,'（居民）工资表-7月'!$E:$AC,25,0),0)</f>
        <v>0</v>
      </c>
      <c r="AD12" s="97">
        <f t="shared" si="2"/>
        <v>15451.46</v>
      </c>
      <c r="AE12" s="98">
        <f>ROUND(MAX((AD12)*{0.03;0.1;0.2;0.25;0.3;0.35;0.45}-{0;2520;16920;31920;52920;85920;181920},0),2)</f>
        <v>463.54</v>
      </c>
      <c r="AF12" s="99">
        <f>IFERROR(VLOOKUP(E:E,'（居民）工资表-7月'!E:AF,28,0)+VLOOKUP(E:E,'（居民）工资表-7月'!E:AG,29,0),0)</f>
        <v>290.6</v>
      </c>
      <c r="AG12" s="99">
        <f t="shared" si="3"/>
        <v>172.94</v>
      </c>
      <c r="AH12" s="109">
        <f t="shared" si="4"/>
        <v>10591.85</v>
      </c>
      <c r="AI12" s="110"/>
      <c r="AJ12" s="109">
        <f t="shared" si="5"/>
        <v>10591.85</v>
      </c>
      <c r="AK12" s="111"/>
      <c r="AL12" s="109">
        <f t="shared" si="6"/>
        <v>10764.79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 t="s">
        <v>146</v>
      </c>
      <c r="AV12" s="12" t="s">
        <v>51</v>
      </c>
    </row>
    <row r="13" s="12" customFormat="1" ht="18" customHeight="1" spans="1:48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41">
        <v>18326897140</v>
      </c>
      <c r="H13" s="40"/>
      <c r="I13" s="40"/>
      <c r="J13" s="70"/>
      <c r="K13" s="40"/>
      <c r="L13" s="73">
        <v>8227.27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L13+IFERROR(VLOOKUP($E:$E,'（居民）工资表-7月'!$E:$S,15,0),0)</f>
        <v>48677.27</v>
      </c>
      <c r="T13" s="93">
        <f>5000+IFERROR(VLOOKUP($E:$E,'（居民）工资表-7月'!$E:$T,16,0),0)</f>
        <v>40000</v>
      </c>
      <c r="U13" s="93">
        <f>Q13+IFERROR(VLOOKUP($E:$E,'（居民）工资表-7月'!$E:$U,17,0),0)</f>
        <v>4772.09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R13+IFERROR(VLOOKUP($E:$E,'（居民）工资表-7月'!$E:$AC,25,0),0)</f>
        <v>0</v>
      </c>
      <c r="AD13" s="97">
        <f t="shared" si="2"/>
        <v>3905.18</v>
      </c>
      <c r="AE13" s="98">
        <f>ROUND(MAX((AD13)*{0.03;0.1;0.2;0.25;0.3;0.35;0.45}-{0;2520;16920;31920;52920;85920;181920},0),2)</f>
        <v>117.16</v>
      </c>
      <c r="AF13" s="99">
        <f>IFERROR(VLOOKUP(E:E,'（居民）工资表-7月'!E:AF,28,0)+VLOOKUP(E:E,'（居民）工资表-7月'!E:AG,29,0),0)</f>
        <v>37.75</v>
      </c>
      <c r="AG13" s="99">
        <f t="shared" si="3"/>
        <v>79.41</v>
      </c>
      <c r="AH13" s="109">
        <f t="shared" si="4"/>
        <v>7567.5</v>
      </c>
      <c r="AI13" s="110"/>
      <c r="AJ13" s="109">
        <f t="shared" si="5"/>
        <v>7567.5</v>
      </c>
      <c r="AK13" s="111"/>
      <c r="AL13" s="109">
        <f t="shared" si="6"/>
        <v>7646.91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41">
        <v>17201857014</v>
      </c>
      <c r="H14" s="40"/>
      <c r="I14" s="40"/>
      <c r="J14" s="70"/>
      <c r="K14" s="40"/>
      <c r="L14" s="73">
        <v>11000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L14+IFERROR(VLOOKUP($E:$E,'（居民）工资表-7月'!$E:$S,15,0),0)</f>
        <v>51550</v>
      </c>
      <c r="T14" s="93">
        <f>5000+IFERROR(VLOOKUP($E:$E,'（居民）工资表-7月'!$E:$T,16,0),0)</f>
        <v>40000</v>
      </c>
      <c r="U14" s="93">
        <f>Q14+IFERROR(VLOOKUP($E:$E,'（居民）工资表-7月'!$E:$U,17,0),0)</f>
        <v>4772.09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R14+IFERROR(VLOOKUP($E:$E,'（居民）工资表-7月'!$E:$AC,25,0),0)</f>
        <v>0</v>
      </c>
      <c r="AD14" s="97">
        <f t="shared" si="2"/>
        <v>6777.91</v>
      </c>
      <c r="AE14" s="98">
        <f>ROUND(MAX((AD14)*{0.03;0.1;0.2;0.25;0.3;0.35;0.45}-{0;2520;16920;31920;52920;85920;181920},0),2)</f>
        <v>203.34</v>
      </c>
      <c r="AF14" s="99">
        <f>IFERROR(VLOOKUP(E:E,'（居民）工资表-7月'!E:AF,28,0)+VLOOKUP(E:E,'（居民）工资表-7月'!E:AG,29,0),0)</f>
        <v>40.75</v>
      </c>
      <c r="AG14" s="99">
        <f t="shared" si="3"/>
        <v>162.59</v>
      </c>
      <c r="AH14" s="109">
        <f t="shared" si="4"/>
        <v>10257.05</v>
      </c>
      <c r="AI14" s="110"/>
      <c r="AJ14" s="109">
        <f t="shared" si="5"/>
        <v>10257.05</v>
      </c>
      <c r="AK14" s="111"/>
      <c r="AL14" s="109">
        <f t="shared" si="6"/>
        <v>10419.64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41" t="s">
        <v>209</v>
      </c>
      <c r="H15" s="40"/>
      <c r="I15" s="40"/>
      <c r="J15" s="70"/>
      <c r="K15" s="40"/>
      <c r="L15" s="73">
        <v>7900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L15+IFERROR(VLOOKUP($E:$E,'（居民）工资表-7月'!$E:$S,15,0),0)</f>
        <v>55009.09</v>
      </c>
      <c r="T15" s="93">
        <f>5000+IFERROR(VLOOKUP($E:$E,'（居民）工资表-7月'!$E:$T,16,0),0)</f>
        <v>40000</v>
      </c>
      <c r="U15" s="93">
        <f>Q15+IFERROR(VLOOKUP($E:$E,'（居民）工资表-7月'!$E:$U,17,0),0)</f>
        <v>4274.76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R15+IFERROR(VLOOKUP($E:$E,'（居民）工资表-7月'!$E:$AC,25,0),0)</f>
        <v>0</v>
      </c>
      <c r="AD15" s="97">
        <f t="shared" si="2"/>
        <v>10734.33</v>
      </c>
      <c r="AE15" s="98">
        <f>ROUND(MAX((AD15)*{0.03;0.1;0.2;0.25;0.3;0.35;0.45}-{0;2520;16920;31920;52920;85920;181920},0),2)</f>
        <v>322.03</v>
      </c>
      <c r="AF15" s="99">
        <f>IFERROR(VLOOKUP(E:E,'（居民）工资表-7月'!E:AF,28,0)+VLOOKUP(E:E,'（居民）工资表-7月'!E:AG,29,0),0)</f>
        <v>251.09</v>
      </c>
      <c r="AG15" s="99">
        <f t="shared" si="3"/>
        <v>70.94</v>
      </c>
      <c r="AH15" s="109">
        <f t="shared" si="4"/>
        <v>7293.85</v>
      </c>
      <c r="AI15" s="110"/>
      <c r="AJ15" s="109">
        <f t="shared" si="5"/>
        <v>7293.85</v>
      </c>
      <c r="AK15" s="111"/>
      <c r="AL15" s="109">
        <f t="shared" si="6"/>
        <v>7364.79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41">
        <v>15855788591</v>
      </c>
      <c r="H16" s="40"/>
      <c r="I16" s="40"/>
      <c r="J16" s="70"/>
      <c r="K16" s="40"/>
      <c r="L16" s="73">
        <v>7860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L16+IFERROR(VLOOKUP($E:$E,'（居民）工资表-7月'!$E:$S,15,0),0)</f>
        <v>46552</v>
      </c>
      <c r="T16" s="93">
        <f>5000+IFERROR(VLOOKUP($E:$E,'（居民）工资表-7月'!$E:$T,16,0),0)</f>
        <v>40000</v>
      </c>
      <c r="U16" s="93">
        <f>Q16+IFERROR(VLOOKUP($E:$E,'（居民）工资表-7月'!$E:$U,17,0),0)</f>
        <v>4521.24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R16+IFERROR(VLOOKUP($E:$E,'（居民）工资表-7月'!$E:$AC,25,0),0)</f>
        <v>0</v>
      </c>
      <c r="AD16" s="97">
        <f t="shared" si="2"/>
        <v>2030.76</v>
      </c>
      <c r="AE16" s="98">
        <f>ROUND(MAX((AD16)*{0.03;0.1;0.2;0.25;0.3;0.35;0.45}-{0;2520;16920;31920;52920;85920;181920},0),2)</f>
        <v>60.92</v>
      </c>
      <c r="AF16" s="99">
        <f>IFERROR(VLOOKUP(E:E,'（居民）工资表-7月'!E:AF,28,0)+VLOOKUP(E:E,'（居民）工资表-7月'!E:AG,29,0),0)</f>
        <v>0</v>
      </c>
      <c r="AG16" s="99">
        <f t="shared" si="3"/>
        <v>60.92</v>
      </c>
      <c r="AH16" s="109">
        <f t="shared" si="4"/>
        <v>7291.72</v>
      </c>
      <c r="AI16" s="110"/>
      <c r="AJ16" s="109">
        <f t="shared" si="5"/>
        <v>7291.72</v>
      </c>
      <c r="AK16" s="111"/>
      <c r="AL16" s="109">
        <f t="shared" si="6"/>
        <v>7352.64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41">
        <v>13873717760</v>
      </c>
      <c r="H17" s="40"/>
      <c r="I17" s="40"/>
      <c r="J17" s="70"/>
      <c r="K17" s="40"/>
      <c r="L17" s="73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L17+IFERROR(VLOOKUP($E:$E,'（居民）工资表-7月'!$E:$S,15,0),0)</f>
        <v>44145</v>
      </c>
      <c r="T17" s="93">
        <f>5000+IFERROR(VLOOKUP($E:$E,'（居民）工资表-7月'!$E:$T,16,0),0)</f>
        <v>40000</v>
      </c>
      <c r="U17" s="93">
        <f>Q17+IFERROR(VLOOKUP($E:$E,'（居民）工资表-7月'!$E:$U,17,0),0)</f>
        <v>5394.15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R17+IFERROR(VLOOKUP($E:$E,'（居民）工资表-7月'!$E:$AC,25,0),0)</f>
        <v>0</v>
      </c>
      <c r="AD17" s="97">
        <f t="shared" si="2"/>
        <v>-1249.15</v>
      </c>
      <c r="AE17" s="98">
        <f>ROUND(MAX((AD17)*{0.03;0.1;0.2;0.25;0.3;0.35;0.45}-{0;2520;16920;31920;52920;85920;181920},0),2)</f>
        <v>0</v>
      </c>
      <c r="AF17" s="99">
        <f>IFERROR(VLOOKUP(E:E,'（居民）工资表-7月'!E:AF,28,0)+VLOOKUP(E:E,'（居民）工资表-7月'!E:AG,29,0),0)</f>
        <v>0</v>
      </c>
      <c r="AG17" s="99">
        <f t="shared" si="3"/>
        <v>0</v>
      </c>
      <c r="AH17" s="109">
        <f t="shared" si="4"/>
        <v>5970.84</v>
      </c>
      <c r="AI17" s="110"/>
      <c r="AJ17" s="109">
        <f t="shared" si="5"/>
        <v>5970.84</v>
      </c>
      <c r="AK17" s="111"/>
      <c r="AL17" s="109">
        <f t="shared" si="6"/>
        <v>5970.84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>IF(SUMPRODUCT(N(E$1:E$18=E17))&gt;1,"重复","不")</f>
        <v>不</v>
      </c>
      <c r="AT17" s="118" t="str">
        <f>IF(SUMPRODUCT(N(AO$1:AO$18=AO17))&gt;1,"重复","不")</f>
        <v>重复</v>
      </c>
      <c r="AU17" s="12" t="s">
        <v>204</v>
      </c>
      <c r="AV17" s="12" t="s">
        <v>51</v>
      </c>
    </row>
    <row r="18" s="12" customFormat="1" ht="18" customHeight="1" spans="1:48">
      <c r="A18" s="36">
        <v>15</v>
      </c>
      <c r="B18" s="37" t="s">
        <v>196</v>
      </c>
      <c r="C18" s="37" t="s">
        <v>147</v>
      </c>
      <c r="D18" s="37" t="s">
        <v>197</v>
      </c>
      <c r="E18" s="383" t="s">
        <v>148</v>
      </c>
      <c r="F18" s="38" t="s">
        <v>200</v>
      </c>
      <c r="G18" s="41"/>
      <c r="H18" s="40"/>
      <c r="I18" s="40"/>
      <c r="J18" s="70"/>
      <c r="K18" s="40"/>
      <c r="L18" s="73">
        <v>7800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L18+IFERROR(VLOOKUP($E:$E,'（居民）工资表-7月'!$E:$S,15,0),0)</f>
        <v>20836.37</v>
      </c>
      <c r="T18" s="93">
        <f>5000+IFERROR(VLOOKUP($E:$E,'（居民）工资表-7月'!$E:$T,16,0),0)</f>
        <v>20000</v>
      </c>
      <c r="U18" s="93">
        <f>Q18+IFERROR(VLOOKUP($E:$E,'（居民）工资表-7月'!$E:$U,17,0),0)</f>
        <v>2526.8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R18+IFERROR(VLOOKUP($E:$E,'（居民）工资表-7月'!$E:$AC,25,0),0)</f>
        <v>0</v>
      </c>
      <c r="AD18" s="97">
        <f t="shared" si="2"/>
        <v>-1690.43</v>
      </c>
      <c r="AE18" s="98">
        <f>ROUND(MAX((AD18)*{0.03;0.1;0.2;0.25;0.3;0.35;0.45}-{0;2520;16920;31920;52920;85920;181920},0),2)</f>
        <v>0</v>
      </c>
      <c r="AF18" s="99">
        <f>IFERROR(VLOOKUP(E:E,'（居民）工资表-7月'!E:AF,28,0)+VLOOKUP(E:E,'（居民）工资表-7月'!E:AG,29,0),0)</f>
        <v>0</v>
      </c>
      <c r="AG18" s="99">
        <f t="shared" si="3"/>
        <v>0</v>
      </c>
      <c r="AH18" s="109">
        <f t="shared" si="4"/>
        <v>7294.64</v>
      </c>
      <c r="AI18" s="110"/>
      <c r="AJ18" s="109">
        <f t="shared" si="5"/>
        <v>7294.64</v>
      </c>
      <c r="AK18" s="111"/>
      <c r="AL18" s="109">
        <f t="shared" si="6"/>
        <v>7294.64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IF(SUMPRODUCT(N(E$1:E$18=E18))&gt;1,"重复","不")</f>
        <v>不</v>
      </c>
      <c r="AT18" s="118" t="str">
        <f>IF(SUMPRODUCT(N(AO$1:AO$18=AO18))&gt;1,"重复","不")</f>
        <v>重复</v>
      </c>
      <c r="AU18" s="12" t="s">
        <v>146</v>
      </c>
      <c r="AV18" s="12" t="s">
        <v>51</v>
      </c>
    </row>
    <row r="19" s="12" customFormat="1" ht="18" customHeight="1" spans="1:48">
      <c r="A19" s="36">
        <v>16</v>
      </c>
      <c r="B19" s="37" t="s">
        <v>196</v>
      </c>
      <c r="C19" s="37" t="s">
        <v>152</v>
      </c>
      <c r="D19" s="37" t="s">
        <v>197</v>
      </c>
      <c r="E19" s="383" t="s">
        <v>153</v>
      </c>
      <c r="F19" s="38" t="s">
        <v>200</v>
      </c>
      <c r="G19" s="41">
        <v>15571147351</v>
      </c>
      <c r="H19" s="40"/>
      <c r="I19" s="40"/>
      <c r="J19" s="70"/>
      <c r="K19" s="40"/>
      <c r="L19" s="73">
        <v>3800</v>
      </c>
      <c r="M19" s="72">
        <v>326.16</v>
      </c>
      <c r="N19" s="72">
        <v>88.54</v>
      </c>
      <c r="O19" s="72">
        <v>12.23</v>
      </c>
      <c r="P19" s="72">
        <v>100.5</v>
      </c>
      <c r="Q19" s="91">
        <f t="shared" si="0"/>
        <v>527.43</v>
      </c>
      <c r="R19" s="73">
        <v>0</v>
      </c>
      <c r="S19" s="92">
        <f>L19+IFERROR(VLOOKUP($E:$E,'（居民）工资表-7月'!$E:$S,15,0),0)</f>
        <v>5266.67</v>
      </c>
      <c r="T19" s="93">
        <f>5000+IFERROR(VLOOKUP($E:$E,'（居民）工资表-7月'!$E:$T,16,0),0)</f>
        <v>10000</v>
      </c>
      <c r="U19" s="93">
        <f>Q19+IFERROR(VLOOKUP($E:$E,'（居民）工资表-7月'!$E:$U,17,0),0)</f>
        <v>1575.29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R19+IFERROR(VLOOKUP($E:$E,'（居民）工资表-7月'!$E:$AC,25,0),0)</f>
        <v>0</v>
      </c>
      <c r="AD19" s="97">
        <f t="shared" si="2"/>
        <v>-6308.62</v>
      </c>
      <c r="AE19" s="98">
        <f>ROUND(MAX((AD19)*{0.03;0.1;0.2;0.25;0.3;0.35;0.45}-{0;2520;16920;31920;52920;85920;181920},0),2)</f>
        <v>0</v>
      </c>
      <c r="AF19" s="99">
        <f>IFERROR(VLOOKUP(E:E,'（居民）工资表-7月'!E:AF,28,0)+VLOOKUP(E:E,'（居民）工资表-7月'!E:AG,29,0),0)</f>
        <v>0</v>
      </c>
      <c r="AG19" s="99">
        <f t="shared" si="3"/>
        <v>0</v>
      </c>
      <c r="AH19" s="109">
        <f t="shared" si="4"/>
        <v>3272.57</v>
      </c>
      <c r="AI19" s="110"/>
      <c r="AJ19" s="109">
        <f t="shared" si="5"/>
        <v>3272.57</v>
      </c>
      <c r="AK19" s="111"/>
      <c r="AL19" s="109">
        <f t="shared" si="6"/>
        <v>3272.57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>IF(SUMPRODUCT(N(E$1:E$18=E19))&gt;1,"重复","不")</f>
        <v>不</v>
      </c>
      <c r="AT19" s="118" t="str">
        <f>IF(SUMPRODUCT(N(AO$1:AO$18=AO19))&gt;1,"重复","不")</f>
        <v>重复</v>
      </c>
      <c r="AU19" s="12" t="s">
        <v>151</v>
      </c>
      <c r="AV19" s="12" t="s">
        <v>210</v>
      </c>
    </row>
    <row r="20" s="13" customFormat="1" ht="18" customHeight="1" spans="1:46">
      <c r="A20" s="42"/>
      <c r="B20" s="43" t="s">
        <v>211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146606.07</v>
      </c>
      <c r="M20" s="76">
        <f>SUM(M4:M19)</f>
        <v>5484.26</v>
      </c>
      <c r="N20" s="76">
        <f>SUM(N4:N19)</f>
        <v>1511.24</v>
      </c>
      <c r="O20" s="76">
        <f t="shared" ref="O20:AL20" si="10">SUM(O4:O19)</f>
        <v>284.98</v>
      </c>
      <c r="P20" s="76">
        <f t="shared" si="10"/>
        <v>2069.8</v>
      </c>
      <c r="Q20" s="76">
        <f t="shared" si="10"/>
        <v>9350.28</v>
      </c>
      <c r="R20" s="76">
        <f t="shared" si="10"/>
        <v>0</v>
      </c>
      <c r="S20" s="76">
        <f t="shared" si="10"/>
        <v>940824.98</v>
      </c>
      <c r="T20" s="76">
        <f t="shared" si="10"/>
        <v>590000</v>
      </c>
      <c r="U20" s="76">
        <f t="shared" si="10"/>
        <v>71133.85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279691.13</v>
      </c>
      <c r="AE20" s="76">
        <f t="shared" si="10"/>
        <v>25208.66</v>
      </c>
      <c r="AF20" s="76">
        <f t="shared" si="10"/>
        <v>16878.35</v>
      </c>
      <c r="AG20" s="76">
        <f t="shared" si="10"/>
        <v>8330.31</v>
      </c>
      <c r="AH20" s="76">
        <f t="shared" si="10"/>
        <v>128925.48</v>
      </c>
      <c r="AI20" s="76">
        <f t="shared" si="10"/>
        <v>0</v>
      </c>
      <c r="AJ20" s="76">
        <f t="shared" si="10"/>
        <v>128925.48</v>
      </c>
      <c r="AK20" s="76">
        <f t="shared" si="10"/>
        <v>0</v>
      </c>
      <c r="AL20" s="76">
        <f t="shared" si="10"/>
        <v>137255.79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0">
      <c r="B24" s="48" t="s">
        <v>185</v>
      </c>
      <c r="C24" s="48" t="s">
        <v>212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128925.48</v>
      </c>
      <c r="C25" s="49">
        <f>AG20</f>
        <v>8330.31</v>
      </c>
      <c r="D25" s="49">
        <f>AK20</f>
        <v>0</v>
      </c>
      <c r="E25" s="49">
        <f>B25+C25+D25</f>
        <v>137255.79</v>
      </c>
    </row>
    <row r="26" spans="2:5">
      <c r="B26" s="50"/>
      <c r="C26" s="50"/>
      <c r="D26" s="50"/>
      <c r="E26" s="50">
        <f>社保1!BC32</f>
        <v>35452.72</v>
      </c>
    </row>
    <row r="27" s="14" customFormat="1" spans="1:35">
      <c r="A27" s="52" t="s">
        <v>213</v>
      </c>
      <c r="B27" s="53" t="s">
        <v>214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215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216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217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218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219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220</v>
      </c>
    </row>
    <row r="35" spans="2:2">
      <c r="B35" s="60" t="s">
        <v>221</v>
      </c>
    </row>
    <row r="36" spans="2:2">
      <c r="B36" s="60" t="s">
        <v>222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A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86.35</v>
      </c>
      <c r="O4" s="72">
        <v>11.98</v>
      </c>
      <c r="P4" s="72">
        <v>177</v>
      </c>
      <c r="Q4" s="91">
        <f>ROUND(SUM(M4:P4),2)</f>
        <v>594.79</v>
      </c>
      <c r="R4" s="73">
        <v>0</v>
      </c>
      <c r="S4" s="92">
        <f>L4+IFERROR(VLOOKUP($E:$E,'（居民）工资表-8月'!$E:$S,15,0),0)</f>
        <v>70000</v>
      </c>
      <c r="T4" s="93">
        <f>5000+IFERROR(VLOOKUP($E:$E,'（居民）工资表-8月'!$E:$T,16,0),0)</f>
        <v>45000</v>
      </c>
      <c r="U4" s="93">
        <f>Q4+IFERROR(VLOOKUP($E:$E,'（居民）工资表-8月'!$E:$U,17,0),0)</f>
        <v>5246.1</v>
      </c>
      <c r="V4" s="73"/>
      <c r="W4" s="145"/>
      <c r="X4" s="73"/>
      <c r="Y4" s="73"/>
      <c r="Z4" s="73"/>
      <c r="AA4" s="73"/>
      <c r="AB4" s="92">
        <f>ROUND(SUM(V4:AA4),2)</f>
        <v>0</v>
      </c>
      <c r="AC4" s="92">
        <f>R4+IFERROR(VLOOKUP($E:$E,'（居民）工资表-8月'!$E:$AC,25,0),0)</f>
        <v>0</v>
      </c>
      <c r="AD4" s="97">
        <f>ROUND(S4-T4-U4-AB4-AC4,2)</f>
        <v>19753.9</v>
      </c>
      <c r="AE4" s="98">
        <f>ROUND(MAX((AD4)*{0.03;0.1;0.2;0.25;0.3;0.35;0.45}-{0;2520;16920;31920;52920;85920;181920},0),2)</f>
        <v>592.62</v>
      </c>
      <c r="AF4" s="99">
        <f>IFERROR(VLOOKUP(E:E,'（居民）工资表-8月'!E:AF,28,0)+VLOOKUP(E:E,'（居民）工资表-8月'!E:AG,29,0),0)</f>
        <v>520.46</v>
      </c>
      <c r="AG4" s="99">
        <f>AE4-AF4</f>
        <v>72.16</v>
      </c>
      <c r="AH4" s="109">
        <f>ROUND(IF((L4-Q4-AG4)&lt;0,0,(L4-Q4-AG4)),2)</f>
        <v>7333.05</v>
      </c>
      <c r="AI4" s="110"/>
      <c r="AJ4" s="109">
        <f>AH4+AI4</f>
        <v>7333.05</v>
      </c>
      <c r="AK4" s="111"/>
      <c r="AL4" s="109">
        <f>AJ4+AG4+AK4</f>
        <v>7405.21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IF(SUMPRODUCT(N(E$1:E$8=E4))&gt;1,"重复","不")</f>
        <v>不</v>
      </c>
      <c r="AT4" s="118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ref="Q5:Q19" si="0">ROUND(SUM(M5:P5),2)</f>
        <v>655.8</v>
      </c>
      <c r="R5" s="73">
        <v>0</v>
      </c>
      <c r="S5" s="92">
        <f>L5+IFERROR(VLOOKUP($E:$E,'（居民）工资表-8月'!$E:$S,15,0),0)</f>
        <v>51300</v>
      </c>
      <c r="T5" s="93">
        <f>5000+IFERROR(VLOOKUP($E:$E,'（居民）工资表-8月'!$E:$T,16,0),0)</f>
        <v>45000</v>
      </c>
      <c r="U5" s="93">
        <f>Q5+IFERROR(VLOOKUP($E:$E,'（居民）工资表-8月'!$E:$U,17,0),0)</f>
        <v>5568.12</v>
      </c>
      <c r="V5" s="73"/>
      <c r="W5" s="145"/>
      <c r="X5" s="73"/>
      <c r="Y5" s="73"/>
      <c r="Z5" s="73"/>
      <c r="AA5" s="73"/>
      <c r="AB5" s="92">
        <f t="shared" ref="AB5:AB19" si="1">ROUND(SUM(V5:AA5),2)</f>
        <v>0</v>
      </c>
      <c r="AC5" s="92">
        <f>R5+IFERROR(VLOOKUP($E:$E,'（居民）工资表-8月'!$E:$AC,25,0),0)</f>
        <v>0</v>
      </c>
      <c r="AD5" s="97">
        <f t="shared" ref="AD5:AD19" si="2">ROUND(S5-T5-U5-AB5-AC5,2)</f>
        <v>731.88</v>
      </c>
      <c r="AE5" s="98">
        <f>ROUND(MAX((AD5)*{0.03;0.1;0.2;0.25;0.3;0.35;0.45}-{0;2520;16920;31920;52920;85920;181920},0),2)</f>
        <v>21.96</v>
      </c>
      <c r="AF5" s="99">
        <f>IFERROR(VLOOKUP(E:E,'（居民）工资表-8月'!E:AF,28,0)+VLOOKUP(E:E,'（居民）工资表-8月'!E:AG,29,0),0)</f>
        <v>20.63</v>
      </c>
      <c r="AG5" s="99">
        <f t="shared" ref="AG5:AG19" si="3">AE5-AF5</f>
        <v>1.33</v>
      </c>
      <c r="AH5" s="109">
        <f t="shared" ref="AH5:AH19" si="4">ROUND(IF((L5-Q5-AG5)&lt;0,0,(L5-Q5-AG5)),2)</f>
        <v>5042.87</v>
      </c>
      <c r="AI5" s="110"/>
      <c r="AJ5" s="109">
        <f t="shared" ref="AJ5:AJ19" si="5">AH5+AI5</f>
        <v>5042.87</v>
      </c>
      <c r="AK5" s="111"/>
      <c r="AL5" s="109">
        <f t="shared" ref="AL5:AL19" si="6">AJ5+AG5+AK5</f>
        <v>5044.2</v>
      </c>
      <c r="AM5" s="111"/>
      <c r="AN5" s="111"/>
      <c r="AO5" s="111"/>
      <c r="AP5" s="111"/>
      <c r="AQ5" s="111"/>
      <c r="AR5" s="118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 t="shared" ref="AS5:AS19" si="8">IF(SUMPRODUCT(N(E$1:E$8=E5))&gt;1,"重复","不")</f>
        <v>不</v>
      </c>
      <c r="AT5" s="118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41" t="s">
        <v>201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181.3</v>
      </c>
      <c r="Q6" s="91">
        <f t="shared" si="0"/>
        <v>948.85</v>
      </c>
      <c r="R6" s="73">
        <v>0</v>
      </c>
      <c r="S6" s="92">
        <f>L6+IFERROR(VLOOKUP($E:$E,'（居民）工资表-8月'!$E:$S,15,0),0)</f>
        <v>274040</v>
      </c>
      <c r="T6" s="93">
        <f>5000+IFERROR(VLOOKUP($E:$E,'（居民）工资表-8月'!$E:$T,16,0),0)</f>
        <v>45000</v>
      </c>
      <c r="U6" s="93">
        <f>Q6+IFERROR(VLOOKUP($E:$E,'（居民）工资表-8月'!$E:$U,17,0),0)</f>
        <v>8041.95</v>
      </c>
      <c r="V6" s="73"/>
      <c r="W6" s="145"/>
      <c r="X6" s="73"/>
      <c r="Y6" s="73"/>
      <c r="Z6" s="73"/>
      <c r="AA6" s="73"/>
      <c r="AB6" s="92">
        <f t="shared" si="1"/>
        <v>0</v>
      </c>
      <c r="AC6" s="92">
        <f>R6+IFERROR(VLOOKUP($E:$E,'（居民）工资表-8月'!$E:$AC,25,0),0)</f>
        <v>0</v>
      </c>
      <c r="AD6" s="97">
        <f t="shared" si="2"/>
        <v>220998.05</v>
      </c>
      <c r="AE6" s="98">
        <f>ROUND(MAX((AD6)*{0.03;0.1;0.2;0.25;0.3;0.35;0.45}-{0;2520;16920;31920;52920;85920;181920},0),2)</f>
        <v>27279.61</v>
      </c>
      <c r="AF6" s="99">
        <f>IFERROR(VLOOKUP(E:E,'（居民）工资表-8月'!E:AF,28,0)+VLOOKUP(E:E,'（居民）工资表-8月'!E:AG,29,0),0)</f>
        <v>22157.38</v>
      </c>
      <c r="AG6" s="99">
        <f t="shared" si="3"/>
        <v>5122.23</v>
      </c>
      <c r="AH6" s="109">
        <f t="shared" si="4"/>
        <v>25488.92</v>
      </c>
      <c r="AI6" s="110"/>
      <c r="AJ6" s="109">
        <f t="shared" si="5"/>
        <v>25488.92</v>
      </c>
      <c r="AK6" s="111"/>
      <c r="AL6" s="109">
        <f t="shared" si="6"/>
        <v>30611.15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41" t="s">
        <v>203</v>
      </c>
      <c r="H7" s="40"/>
      <c r="I7" s="40"/>
      <c r="J7" s="70"/>
      <c r="K7" s="40"/>
      <c r="L7" s="73">
        <v>9600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si="0"/>
        <v>507.36</v>
      </c>
      <c r="R7" s="73">
        <v>0</v>
      </c>
      <c r="S7" s="92">
        <f>L7+IFERROR(VLOOKUP($E:$E,'（居民）工资表-8月'!$E:$S,15,0),0)</f>
        <v>67200</v>
      </c>
      <c r="T7" s="93">
        <f>5000+IFERROR(VLOOKUP($E:$E,'（居民）工资表-8月'!$E:$T,16,0),0)</f>
        <v>45000</v>
      </c>
      <c r="U7" s="93">
        <f>Q7+IFERROR(VLOOKUP($E:$E,'（居民）工资表-8月'!$E:$U,17,0),0)</f>
        <v>4796.5</v>
      </c>
      <c r="V7" s="73"/>
      <c r="W7" s="145"/>
      <c r="X7" s="73"/>
      <c r="Y7" s="73"/>
      <c r="Z7" s="73"/>
      <c r="AA7" s="73"/>
      <c r="AB7" s="92">
        <f t="shared" si="1"/>
        <v>0</v>
      </c>
      <c r="AC7" s="92">
        <f>R7+IFERROR(VLOOKUP($E:$E,'（居民）工资表-8月'!$E:$AC,25,0),0)</f>
        <v>0</v>
      </c>
      <c r="AD7" s="97">
        <f t="shared" si="2"/>
        <v>17403.5</v>
      </c>
      <c r="AE7" s="98">
        <f>ROUND(MAX((AD7)*{0.03;0.1;0.2;0.25;0.3;0.35;0.45}-{0;2520;16920;31920;52920;85920;181920},0),2)</f>
        <v>522.11</v>
      </c>
      <c r="AF7" s="99">
        <f>IFERROR(VLOOKUP(E:E,'（居民）工资表-8月'!E:AF,28,0)+VLOOKUP(E:E,'（居民）工资表-8月'!E:AG,29,0),0)</f>
        <v>399.33</v>
      </c>
      <c r="AG7" s="99">
        <f t="shared" si="3"/>
        <v>122.78</v>
      </c>
      <c r="AH7" s="109">
        <f t="shared" si="4"/>
        <v>8969.86</v>
      </c>
      <c r="AI7" s="110"/>
      <c r="AJ7" s="109">
        <f t="shared" si="5"/>
        <v>8969.86</v>
      </c>
      <c r="AK7" s="111"/>
      <c r="AL7" s="109">
        <f t="shared" si="6"/>
        <v>9092.64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38" t="s">
        <v>198</v>
      </c>
      <c r="G8" s="41">
        <v>19356875630</v>
      </c>
      <c r="H8" s="40"/>
      <c r="I8" s="40"/>
      <c r="J8" s="70"/>
      <c r="K8" s="40"/>
      <c r="L8" s="73">
        <v>11100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L8+IFERROR(VLOOKUP($E:$E,'（居民）工资表-8月'!$E:$S,15,0),0)</f>
        <v>79700</v>
      </c>
      <c r="T8" s="93">
        <f>5000+IFERROR(VLOOKUP($E:$E,'（居民）工资表-8月'!$E:$T,16,0),0)</f>
        <v>45000</v>
      </c>
      <c r="U8" s="93">
        <f>Q8+IFERROR(VLOOKUP($E:$E,'（居民）工资表-8月'!$E:$U,17,0),0)</f>
        <v>5563.5</v>
      </c>
      <c r="V8" s="73"/>
      <c r="W8" s="145"/>
      <c r="X8" s="73"/>
      <c r="Y8" s="73"/>
      <c r="Z8" s="73"/>
      <c r="AA8" s="73"/>
      <c r="AB8" s="92">
        <f t="shared" si="1"/>
        <v>0</v>
      </c>
      <c r="AC8" s="92">
        <f>R8+IFERROR(VLOOKUP($E:$E,'（居民）工资表-8月'!$E:$AC,25,0),0)</f>
        <v>0</v>
      </c>
      <c r="AD8" s="97">
        <f t="shared" si="2"/>
        <v>29136.5</v>
      </c>
      <c r="AE8" s="98">
        <f>ROUND(MAX((AD8)*{0.03;0.1;0.2;0.25;0.3;0.35;0.45}-{0;2520;16920;31920;52920;85920;181920},0),2)</f>
        <v>874.1</v>
      </c>
      <c r="AF8" s="99">
        <f>IFERROR(VLOOKUP(E:E,'（居民）工资表-8月'!E:AF,28,0)+VLOOKUP(E:E,'（居民）工资表-8月'!E:AG,29,0),0)</f>
        <v>708.51</v>
      </c>
      <c r="AG8" s="99">
        <f t="shared" si="3"/>
        <v>165.59</v>
      </c>
      <c r="AH8" s="109">
        <f t="shared" si="4"/>
        <v>10354.05</v>
      </c>
      <c r="AI8" s="110"/>
      <c r="AJ8" s="109">
        <f t="shared" si="5"/>
        <v>10354.05</v>
      </c>
      <c r="AK8" s="111"/>
      <c r="AL8" s="109">
        <f t="shared" si="6"/>
        <v>10519.64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</row>
    <row r="9" s="12" customFormat="1" ht="18" customHeight="1" spans="1:46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38" t="s">
        <v>198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L9+IFERROR(VLOOKUP($E:$E,'（居民）工资表-8月'!$E:$S,15,0),0)</f>
        <v>58500</v>
      </c>
      <c r="T9" s="93">
        <f>5000+IFERROR(VLOOKUP($E:$E,'（居民）工资表-8月'!$E:$T,16,0),0)</f>
        <v>45000</v>
      </c>
      <c r="U9" s="93">
        <f>Q9+IFERROR(VLOOKUP($E:$E,'（居民）工资表-8月'!$E:$U,17,0),0)</f>
        <v>4668.94</v>
      </c>
      <c r="V9" s="73"/>
      <c r="W9" s="145"/>
      <c r="X9" s="73"/>
      <c r="Y9" s="73"/>
      <c r="Z9" s="73"/>
      <c r="AA9" s="73"/>
      <c r="AB9" s="92">
        <f t="shared" si="1"/>
        <v>0</v>
      </c>
      <c r="AC9" s="92">
        <f>R9+IFERROR(VLOOKUP($E:$E,'（居民）工资表-8月'!$E:$AC,25,0),0)</f>
        <v>0</v>
      </c>
      <c r="AD9" s="97">
        <f t="shared" si="2"/>
        <v>8831.06</v>
      </c>
      <c r="AE9" s="98">
        <f>ROUND(MAX((AD9)*{0.03;0.1;0.2;0.25;0.3;0.35;0.45}-{0;2520;16920;31920;52920;85920;181920},0),2)</f>
        <v>264.93</v>
      </c>
      <c r="AF9" s="99">
        <f>IFERROR(VLOOKUP(E:E,'（居民）工资表-8月'!E:AF,28,0)+VLOOKUP(E:E,'（居民）工资表-8月'!E:AG,29,0),0)</f>
        <v>235.36</v>
      </c>
      <c r="AG9" s="99">
        <f t="shared" si="3"/>
        <v>29.57</v>
      </c>
      <c r="AH9" s="109">
        <f t="shared" si="4"/>
        <v>5956.27</v>
      </c>
      <c r="AI9" s="110"/>
      <c r="AJ9" s="109">
        <f t="shared" si="5"/>
        <v>5956.27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41" t="s">
        <v>205</v>
      </c>
      <c r="H10" s="40"/>
      <c r="I10" s="40"/>
      <c r="J10" s="70"/>
      <c r="K10" s="40"/>
      <c r="L10" s="73">
        <v>5500</v>
      </c>
      <c r="M10" s="72">
        <v>445.36</v>
      </c>
      <c r="N10" s="72">
        <v>116.34</v>
      </c>
      <c r="O10" s="72">
        <v>27.84</v>
      </c>
      <c r="P10" s="72">
        <v>105</v>
      </c>
      <c r="Q10" s="91">
        <f t="shared" si="0"/>
        <v>694.54</v>
      </c>
      <c r="R10" s="73">
        <v>0</v>
      </c>
      <c r="S10" s="92">
        <f>L10+IFERROR(VLOOKUP($E:$E,'（居民）工资表-8月'!$E:$S,15,0),0)</f>
        <v>49500</v>
      </c>
      <c r="T10" s="93">
        <f>5000+IFERROR(VLOOKUP($E:$E,'（居民）工资表-8月'!$E:$T,16,0),0)</f>
        <v>45000</v>
      </c>
      <c r="U10" s="93">
        <f>Q10+IFERROR(VLOOKUP($E:$E,'（居民）工资表-8月'!$E:$U,17,0),0)</f>
        <v>4898.46</v>
      </c>
      <c r="V10" s="73"/>
      <c r="W10" s="145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R10+IFERROR(VLOOKUP($E:$E,'（居民）工资表-8月'!$E:$AC,25,0),0)</f>
        <v>0</v>
      </c>
      <c r="AD10" s="97">
        <f t="shared" si="2"/>
        <v>-398.46</v>
      </c>
      <c r="AE10" s="98">
        <f>ROUND(MAX((AD10)*{0.03;0.1;0.2;0.25;0.3;0.35;0.45}-{0;2520;16920;31920;52920;85920;181920},0),2)</f>
        <v>0</v>
      </c>
      <c r="AF10" s="99">
        <f>IFERROR(VLOOKUP(E:E,'（居民）工资表-8月'!E:AF,28,0)+VLOOKUP(E:E,'（居民）工资表-8月'!E:AG,29,0),0)</f>
        <v>0</v>
      </c>
      <c r="AG10" s="99">
        <f t="shared" si="3"/>
        <v>0</v>
      </c>
      <c r="AH10" s="109">
        <f t="shared" si="4"/>
        <v>4805.46</v>
      </c>
      <c r="AI10" s="110"/>
      <c r="AJ10" s="109">
        <f t="shared" si="5"/>
        <v>4805.46</v>
      </c>
      <c r="AK10" s="111"/>
      <c r="AL10" s="109">
        <f t="shared" si="6"/>
        <v>4805.46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41" t="s">
        <v>207</v>
      </c>
      <c r="H11" s="40"/>
      <c r="I11" s="40"/>
      <c r="J11" s="70"/>
      <c r="K11" s="40"/>
      <c r="L11" s="73">
        <v>4598.8</v>
      </c>
      <c r="M11" s="72">
        <v>352</v>
      </c>
      <c r="N11" s="72">
        <v>109</v>
      </c>
      <c r="O11" s="72">
        <v>22</v>
      </c>
      <c r="P11" s="72">
        <v>109</v>
      </c>
      <c r="Q11" s="91">
        <f t="shared" si="0"/>
        <v>592</v>
      </c>
      <c r="R11" s="73">
        <v>0</v>
      </c>
      <c r="S11" s="92">
        <f>L11+IFERROR(VLOOKUP($E:$E,'（居民）工资表-8月'!$E:$S,15,0),0)</f>
        <v>41389.2</v>
      </c>
      <c r="T11" s="93">
        <f>5000+IFERROR(VLOOKUP($E:$E,'（居民）工资表-8月'!$E:$T,16,0),0)</f>
        <v>45000</v>
      </c>
      <c r="U11" s="93">
        <f>Q11+IFERROR(VLOOKUP($E:$E,'（居民）工资表-8月'!$E:$U,17,0),0)</f>
        <v>5335</v>
      </c>
      <c r="V11" s="73"/>
      <c r="W11" s="145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R11+IFERROR(VLOOKUP($E:$E,'（居民）工资表-8月'!$E:$AC,25,0),0)</f>
        <v>0</v>
      </c>
      <c r="AD11" s="97">
        <f t="shared" si="2"/>
        <v>-8945.8</v>
      </c>
      <c r="AE11" s="98">
        <f>ROUND(MAX((AD11)*{0.03;0.1;0.2;0.25;0.3;0.35;0.45}-{0;2520;16920;31920;52920;85920;181920},0),2)</f>
        <v>0</v>
      </c>
      <c r="AF11" s="99">
        <f>IFERROR(VLOOKUP(E:E,'（居民）工资表-8月'!E:AF,28,0)+VLOOKUP(E:E,'（居民）工资表-8月'!E:AG,29,0),0)</f>
        <v>0</v>
      </c>
      <c r="AG11" s="99">
        <f t="shared" si="3"/>
        <v>0</v>
      </c>
      <c r="AH11" s="109">
        <f t="shared" si="4"/>
        <v>4006.8</v>
      </c>
      <c r="AI11" s="110"/>
      <c r="AJ11" s="109">
        <f t="shared" si="5"/>
        <v>4006.8</v>
      </c>
      <c r="AK11" s="111"/>
      <c r="AL11" s="109">
        <f t="shared" si="6"/>
        <v>4006.8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</row>
    <row r="12" s="12" customFormat="1" ht="18" customHeight="1" spans="1:46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41">
        <v>18356553626</v>
      </c>
      <c r="H12" s="40"/>
      <c r="I12" s="40"/>
      <c r="J12" s="70"/>
      <c r="K12" s="40"/>
      <c r="L12" s="73">
        <v>11000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L12+IFERROR(VLOOKUP($E:$E,'（居民）工资表-8月'!$E:$S,15,0),0)</f>
        <v>70718.18</v>
      </c>
      <c r="T12" s="93">
        <f>5000+IFERROR(VLOOKUP($E:$E,'（居民）工资表-8月'!$E:$T,16,0),0)</f>
        <v>45000</v>
      </c>
      <c r="U12" s="93">
        <f>Q12+IFERROR(VLOOKUP($E:$E,'（居民）工资表-8月'!$E:$U,17,0),0)</f>
        <v>4801.93</v>
      </c>
      <c r="V12" s="73"/>
      <c r="W12" s="145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R12+IFERROR(VLOOKUP($E:$E,'（居民）工资表-8月'!$E:$AC,25,0),0)</f>
        <v>0</v>
      </c>
      <c r="AD12" s="97">
        <f t="shared" si="2"/>
        <v>20916.25</v>
      </c>
      <c r="AE12" s="98">
        <f>ROUND(MAX((AD12)*{0.03;0.1;0.2;0.25;0.3;0.35;0.45}-{0;2520;16920;31920;52920;85920;181920},0),2)</f>
        <v>627.49</v>
      </c>
      <c r="AF12" s="99">
        <f>IFERROR(VLOOKUP(E:E,'（居民）工资表-8月'!E:AF,28,0)+VLOOKUP(E:E,'（居民）工资表-8月'!E:AG,29,0),0)</f>
        <v>463.54</v>
      </c>
      <c r="AG12" s="99">
        <f t="shared" si="3"/>
        <v>163.95</v>
      </c>
      <c r="AH12" s="109">
        <f t="shared" si="4"/>
        <v>10300.84</v>
      </c>
      <c r="AI12" s="110"/>
      <c r="AJ12" s="109">
        <f t="shared" si="5"/>
        <v>10300.84</v>
      </c>
      <c r="AK12" s="111"/>
      <c r="AL12" s="109">
        <f t="shared" si="6"/>
        <v>10464.79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</row>
    <row r="13" s="12" customFormat="1" ht="18" customHeight="1" spans="1:46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41">
        <v>18326897140</v>
      </c>
      <c r="H13" s="40"/>
      <c r="I13" s="40"/>
      <c r="J13" s="70"/>
      <c r="K13" s="40"/>
      <c r="L13" s="73">
        <v>8434.78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L13+IFERROR(VLOOKUP($E:$E,'（居民）工资表-8月'!$E:$S,15,0),0)</f>
        <v>57112.05</v>
      </c>
      <c r="T13" s="93">
        <f>5000+IFERROR(VLOOKUP($E:$E,'（居民）工资表-8月'!$E:$T,16,0),0)</f>
        <v>45000</v>
      </c>
      <c r="U13" s="93">
        <f>Q13+IFERROR(VLOOKUP($E:$E,'（居民）工资表-8月'!$E:$U,17,0),0)</f>
        <v>5352.45</v>
      </c>
      <c r="V13" s="73"/>
      <c r="W13" s="145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R13+IFERROR(VLOOKUP($E:$E,'（居民）工资表-8月'!$E:$AC,25,0),0)</f>
        <v>0</v>
      </c>
      <c r="AD13" s="97">
        <f t="shared" si="2"/>
        <v>6759.6</v>
      </c>
      <c r="AE13" s="98">
        <f>ROUND(MAX((AD13)*{0.03;0.1;0.2;0.25;0.3;0.35;0.45}-{0;2520;16920;31920;52920;85920;181920},0),2)</f>
        <v>202.79</v>
      </c>
      <c r="AF13" s="99">
        <f>IFERROR(VLOOKUP(E:E,'（居民）工资表-8月'!E:AF,28,0)+VLOOKUP(E:E,'（居民）工资表-8月'!E:AG,29,0),0)</f>
        <v>117.16</v>
      </c>
      <c r="AG13" s="99">
        <f t="shared" si="3"/>
        <v>85.63</v>
      </c>
      <c r="AH13" s="109">
        <f t="shared" si="4"/>
        <v>7768.79</v>
      </c>
      <c r="AI13" s="110"/>
      <c r="AJ13" s="109">
        <f t="shared" si="5"/>
        <v>7768.79</v>
      </c>
      <c r="AK13" s="111"/>
      <c r="AL13" s="109">
        <f t="shared" si="6"/>
        <v>7854.42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</row>
    <row r="14" s="12" customFormat="1" ht="18" customHeight="1" spans="1:46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41">
        <v>17201857014</v>
      </c>
      <c r="H14" s="40"/>
      <c r="I14" s="40"/>
      <c r="J14" s="70"/>
      <c r="K14" s="40"/>
      <c r="L14" s="73">
        <v>9800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L14+IFERROR(VLOOKUP($E:$E,'（居民）工资表-8月'!$E:$S,15,0),0)</f>
        <v>61350</v>
      </c>
      <c r="T14" s="93">
        <f>5000+IFERROR(VLOOKUP($E:$E,'（居民）工资表-8月'!$E:$T,16,0),0)</f>
        <v>45000</v>
      </c>
      <c r="U14" s="93">
        <f>Q14+IFERROR(VLOOKUP($E:$E,'（居民）工资表-8月'!$E:$U,17,0),0)</f>
        <v>5352.45</v>
      </c>
      <c r="V14" s="73"/>
      <c r="W14" s="145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R14+IFERROR(VLOOKUP($E:$E,'（居民）工资表-8月'!$E:$AC,25,0),0)</f>
        <v>0</v>
      </c>
      <c r="AD14" s="97">
        <f t="shared" si="2"/>
        <v>10997.55</v>
      </c>
      <c r="AE14" s="98">
        <f>ROUND(MAX((AD14)*{0.03;0.1;0.2;0.25;0.3;0.35;0.45}-{0;2520;16920;31920;52920;85920;181920},0),2)</f>
        <v>329.93</v>
      </c>
      <c r="AF14" s="99">
        <f>IFERROR(VLOOKUP(E:E,'（居民）工资表-8月'!E:AF,28,0)+VLOOKUP(E:E,'（居民）工资表-8月'!E:AG,29,0),0)</f>
        <v>203.34</v>
      </c>
      <c r="AG14" s="99">
        <f t="shared" si="3"/>
        <v>126.59</v>
      </c>
      <c r="AH14" s="109">
        <f t="shared" si="4"/>
        <v>9093.05</v>
      </c>
      <c r="AI14" s="110"/>
      <c r="AJ14" s="109">
        <f t="shared" si="5"/>
        <v>9093.05</v>
      </c>
      <c r="AK14" s="111"/>
      <c r="AL14" s="109">
        <f t="shared" si="6"/>
        <v>9219.64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</row>
    <row r="15" s="12" customFormat="1" ht="18" customHeight="1" spans="1:46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41" t="s">
        <v>209</v>
      </c>
      <c r="H15" s="40"/>
      <c r="I15" s="40"/>
      <c r="J15" s="70"/>
      <c r="K15" s="40"/>
      <c r="L15" s="73">
        <v>7900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L15+IFERROR(VLOOKUP($E:$E,'（居民）工资表-8月'!$E:$S,15,0),0)</f>
        <v>62909.09</v>
      </c>
      <c r="T15" s="93">
        <f>5000+IFERROR(VLOOKUP($E:$E,'（居民）工资表-8月'!$E:$T,16,0),0)</f>
        <v>45000</v>
      </c>
      <c r="U15" s="93">
        <f>Q15+IFERROR(VLOOKUP($E:$E,'（居民）工资表-8月'!$E:$U,17,0),0)</f>
        <v>4809.97</v>
      </c>
      <c r="V15" s="73"/>
      <c r="W15" s="145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R15+IFERROR(VLOOKUP($E:$E,'（居民）工资表-8月'!$E:$AC,25,0),0)</f>
        <v>0</v>
      </c>
      <c r="AD15" s="97">
        <f t="shared" si="2"/>
        <v>13099.12</v>
      </c>
      <c r="AE15" s="98">
        <f>ROUND(MAX((AD15)*{0.03;0.1;0.2;0.25;0.3;0.35;0.45}-{0;2520;16920;31920;52920;85920;181920},0),2)</f>
        <v>392.97</v>
      </c>
      <c r="AF15" s="99">
        <f>IFERROR(VLOOKUP(E:E,'（居民）工资表-8月'!E:AF,28,0)+VLOOKUP(E:E,'（居民）工资表-8月'!E:AG,29,0),0)</f>
        <v>322.03</v>
      </c>
      <c r="AG15" s="99">
        <f t="shared" si="3"/>
        <v>70.9400000000001</v>
      </c>
      <c r="AH15" s="109">
        <f t="shared" si="4"/>
        <v>7293.85</v>
      </c>
      <c r="AI15" s="110"/>
      <c r="AJ15" s="109">
        <f t="shared" si="5"/>
        <v>7293.85</v>
      </c>
      <c r="AK15" s="111"/>
      <c r="AL15" s="109">
        <f t="shared" si="6"/>
        <v>7364.79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</row>
    <row r="16" s="12" customFormat="1" ht="18" customHeight="1" spans="1:46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41">
        <v>15855788591</v>
      </c>
      <c r="H16" s="40"/>
      <c r="I16" s="40"/>
      <c r="J16" s="70"/>
      <c r="K16" s="40"/>
      <c r="L16" s="73">
        <v>7060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L16+IFERROR(VLOOKUP($E:$E,'（居民）工资表-8月'!$E:$S,15,0),0)</f>
        <v>53612</v>
      </c>
      <c r="T16" s="93">
        <f>5000+IFERROR(VLOOKUP($E:$E,'（居民）工资表-8月'!$E:$T,16,0),0)</f>
        <v>45000</v>
      </c>
      <c r="U16" s="93">
        <f>Q16+IFERROR(VLOOKUP($E:$E,'（居民）工资表-8月'!$E:$U,17,0),0)</f>
        <v>5028.6</v>
      </c>
      <c r="V16" s="73"/>
      <c r="W16" s="145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R16+IFERROR(VLOOKUP($E:$E,'（居民）工资表-8月'!$E:$AC,25,0),0)</f>
        <v>0</v>
      </c>
      <c r="AD16" s="97">
        <f t="shared" si="2"/>
        <v>3583.4</v>
      </c>
      <c r="AE16" s="98">
        <f>ROUND(MAX((AD16)*{0.03;0.1;0.2;0.25;0.3;0.35;0.45}-{0;2520;16920;31920;52920;85920;181920},0),2)</f>
        <v>107.5</v>
      </c>
      <c r="AF16" s="99">
        <f>IFERROR(VLOOKUP(E:E,'（居民）工资表-8月'!E:AF,28,0)+VLOOKUP(E:E,'（居民）工资表-8月'!E:AG,29,0),0)</f>
        <v>60.92</v>
      </c>
      <c r="AG16" s="99">
        <f t="shared" si="3"/>
        <v>46.58</v>
      </c>
      <c r="AH16" s="109">
        <f t="shared" si="4"/>
        <v>6506.06</v>
      </c>
      <c r="AI16" s="110"/>
      <c r="AJ16" s="109">
        <f t="shared" si="5"/>
        <v>6506.06</v>
      </c>
      <c r="AK16" s="111"/>
      <c r="AL16" s="109">
        <f t="shared" si="6"/>
        <v>6552.64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</row>
    <row r="17" s="12" customFormat="1" ht="18" customHeight="1" spans="1:46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41">
        <v>13873717760</v>
      </c>
      <c r="H17" s="40"/>
      <c r="I17" s="40"/>
      <c r="J17" s="70"/>
      <c r="K17" s="40"/>
      <c r="L17" s="73">
        <v>8060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L17+IFERROR(VLOOKUP($E:$E,'（居民）工资表-8月'!$E:$S,15,0),0)</f>
        <v>52205</v>
      </c>
      <c r="T17" s="93">
        <f>5000+IFERROR(VLOOKUP($E:$E,'（居民）工资表-8月'!$E:$T,16,0),0)</f>
        <v>45000</v>
      </c>
      <c r="U17" s="93">
        <f>Q17+IFERROR(VLOOKUP($E:$E,'（居民）工资表-8月'!$E:$U,17,0),0)</f>
        <v>5983.31</v>
      </c>
      <c r="V17" s="73"/>
      <c r="W17" s="145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R17+IFERROR(VLOOKUP($E:$E,'（居民）工资表-8月'!$E:$AC,25,0),0)</f>
        <v>0</v>
      </c>
      <c r="AD17" s="97">
        <f t="shared" si="2"/>
        <v>1221.69</v>
      </c>
      <c r="AE17" s="98">
        <f>ROUND(MAX((AD17)*{0.03;0.1;0.2;0.25;0.3;0.35;0.45}-{0;2520;16920;31920;52920;85920;181920},0),2)</f>
        <v>36.65</v>
      </c>
      <c r="AF17" s="99">
        <f>IFERROR(VLOOKUP(E:E,'（居民）工资表-8月'!E:AF,28,0)+VLOOKUP(E:E,'（居民）工资表-8月'!E:AG,29,0),0)</f>
        <v>0</v>
      </c>
      <c r="AG17" s="99">
        <f t="shared" si="3"/>
        <v>36.65</v>
      </c>
      <c r="AH17" s="109">
        <f t="shared" si="4"/>
        <v>7434.19</v>
      </c>
      <c r="AI17" s="110"/>
      <c r="AJ17" s="109">
        <f t="shared" si="5"/>
        <v>7434.19</v>
      </c>
      <c r="AK17" s="111"/>
      <c r="AL17" s="109">
        <f t="shared" si="6"/>
        <v>7470.84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 t="shared" si="8"/>
        <v>不</v>
      </c>
      <c r="AT17" s="118" t="str">
        <f t="shared" si="9"/>
        <v>重复</v>
      </c>
    </row>
    <row r="18" s="12" customFormat="1" ht="18" customHeight="1" spans="1:46">
      <c r="A18" s="36">
        <v>15</v>
      </c>
      <c r="B18" s="37" t="s">
        <v>196</v>
      </c>
      <c r="C18" s="37" t="s">
        <v>147</v>
      </c>
      <c r="D18" s="37" t="s">
        <v>197</v>
      </c>
      <c r="E18" s="383" t="s">
        <v>148</v>
      </c>
      <c r="F18" s="38" t="s">
        <v>200</v>
      </c>
      <c r="G18" s="41"/>
      <c r="H18" s="40"/>
      <c r="I18" s="40"/>
      <c r="J18" s="70"/>
      <c r="K18" s="40"/>
      <c r="L18" s="73">
        <v>6600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L18+IFERROR(VLOOKUP($E:$E,'（居民）工资表-8月'!$E:$S,15,0),0)</f>
        <v>27436.37</v>
      </c>
      <c r="T18" s="93">
        <f>5000+IFERROR(VLOOKUP($E:$E,'（居民）工资表-8月'!$E:$T,16,0),0)</f>
        <v>25000</v>
      </c>
      <c r="U18" s="93">
        <f>Q18+IFERROR(VLOOKUP($E:$E,'（居民）工资表-8月'!$E:$U,17,0),0)</f>
        <v>3032.16</v>
      </c>
      <c r="V18" s="73"/>
      <c r="W18" s="145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R18+IFERROR(VLOOKUP($E:$E,'（居民）工资表-8月'!$E:$AC,25,0),0)</f>
        <v>0</v>
      </c>
      <c r="AD18" s="97">
        <f t="shared" si="2"/>
        <v>-595.79</v>
      </c>
      <c r="AE18" s="98">
        <f>ROUND(MAX((AD18)*{0.03;0.1;0.2;0.25;0.3;0.35;0.45}-{0;2520;16920;31920;52920;85920;181920},0),2)</f>
        <v>0</v>
      </c>
      <c r="AF18" s="99">
        <f>IFERROR(VLOOKUP(E:E,'（居民）工资表-8月'!E:AF,28,0)+VLOOKUP(E:E,'（居民）工资表-8月'!E:AG,29,0),0)</f>
        <v>0</v>
      </c>
      <c r="AG18" s="99">
        <f t="shared" si="3"/>
        <v>0</v>
      </c>
      <c r="AH18" s="109">
        <f t="shared" si="4"/>
        <v>6094.64</v>
      </c>
      <c r="AI18" s="110"/>
      <c r="AJ18" s="109">
        <f t="shared" si="5"/>
        <v>6094.64</v>
      </c>
      <c r="AK18" s="111"/>
      <c r="AL18" s="109">
        <f t="shared" si="6"/>
        <v>6094.64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 t="shared" si="8"/>
        <v>不</v>
      </c>
      <c r="AT18" s="118" t="str">
        <f t="shared" si="9"/>
        <v>重复</v>
      </c>
    </row>
    <row r="19" s="12" customFormat="1" ht="18" customHeight="1" spans="1:46">
      <c r="A19" s="36">
        <v>16</v>
      </c>
      <c r="B19" s="37" t="s">
        <v>196</v>
      </c>
      <c r="C19" s="37" t="s">
        <v>152</v>
      </c>
      <c r="D19" s="37" t="s">
        <v>197</v>
      </c>
      <c r="E19" s="383" t="s">
        <v>153</v>
      </c>
      <c r="F19" s="38" t="s">
        <v>200</v>
      </c>
      <c r="G19" s="41">
        <v>15571147351</v>
      </c>
      <c r="H19" s="40"/>
      <c r="I19" s="40"/>
      <c r="J19" s="70"/>
      <c r="K19" s="40"/>
      <c r="L19" s="73">
        <v>4377.04</v>
      </c>
      <c r="M19" s="72">
        <v>326.16</v>
      </c>
      <c r="N19" s="72">
        <v>88.54</v>
      </c>
      <c r="O19" s="72">
        <v>12.23</v>
      </c>
      <c r="P19" s="72">
        <v>100.5</v>
      </c>
      <c r="Q19" s="91">
        <f t="shared" si="0"/>
        <v>527.43</v>
      </c>
      <c r="R19" s="73">
        <v>0</v>
      </c>
      <c r="S19" s="92">
        <f>L19+IFERROR(VLOOKUP($E:$E,'（居民）工资表-8月'!$E:$S,15,0),0)</f>
        <v>9643.71</v>
      </c>
      <c r="T19" s="93">
        <f>5000+IFERROR(VLOOKUP($E:$E,'（居民）工资表-8月'!$E:$T,16,0),0)</f>
        <v>15000</v>
      </c>
      <c r="U19" s="93">
        <f>Q19+IFERROR(VLOOKUP($E:$E,'（居民）工资表-8月'!$E:$U,17,0),0)</f>
        <v>2102.72</v>
      </c>
      <c r="V19" s="73"/>
      <c r="W19" s="145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R19+IFERROR(VLOOKUP($E:$E,'（居民）工资表-8月'!$E:$AC,25,0),0)</f>
        <v>0</v>
      </c>
      <c r="AD19" s="97">
        <f t="shared" si="2"/>
        <v>-7459.01</v>
      </c>
      <c r="AE19" s="98">
        <f>ROUND(MAX((AD19)*{0.03;0.1;0.2;0.25;0.3;0.35;0.45}-{0;2520;16920;31920;52920;85920;181920},0),2)</f>
        <v>0</v>
      </c>
      <c r="AF19" s="99">
        <f>IFERROR(VLOOKUP(E:E,'（居民）工资表-8月'!E:AF,28,0)+VLOOKUP(E:E,'（居民）工资表-8月'!E:AG,29,0),0)</f>
        <v>0</v>
      </c>
      <c r="AG19" s="99">
        <f t="shared" si="3"/>
        <v>0</v>
      </c>
      <c r="AH19" s="109">
        <f t="shared" si="4"/>
        <v>3849.61</v>
      </c>
      <c r="AI19" s="110"/>
      <c r="AJ19" s="109">
        <f t="shared" si="5"/>
        <v>3849.61</v>
      </c>
      <c r="AK19" s="111"/>
      <c r="AL19" s="109">
        <f t="shared" si="6"/>
        <v>3849.61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 t="shared" si="8"/>
        <v>不</v>
      </c>
      <c r="AT19" s="118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9" customHeight="1" spans="1:46">
      <c r="A21" s="42"/>
      <c r="B21" s="43" t="s">
        <v>211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145790.62</v>
      </c>
      <c r="M21" s="76">
        <f>SUM(M4:M20)</f>
        <v>5534.18</v>
      </c>
      <c r="N21" s="76">
        <f>SUM(N4:N20)</f>
        <v>1552.17</v>
      </c>
      <c r="O21" s="76">
        <f t="shared" ref="O21:AL21" si="10">SUM(O4:O20)</f>
        <v>292.16</v>
      </c>
      <c r="P21" s="76">
        <f t="shared" si="10"/>
        <v>2069.8</v>
      </c>
      <c r="Q21" s="76">
        <f t="shared" si="10"/>
        <v>9448.31</v>
      </c>
      <c r="R21" s="76">
        <f t="shared" si="10"/>
        <v>0</v>
      </c>
      <c r="S21" s="76">
        <f t="shared" si="10"/>
        <v>1086615.6</v>
      </c>
      <c r="T21" s="76">
        <f t="shared" si="10"/>
        <v>670000</v>
      </c>
      <c r="U21" s="76">
        <f t="shared" si="10"/>
        <v>80582.16</v>
      </c>
      <c r="V21" s="76">
        <f t="shared" si="10"/>
        <v>0</v>
      </c>
      <c r="W21" s="76">
        <f t="shared" si="10"/>
        <v>0</v>
      </c>
      <c r="X21" s="76">
        <f t="shared" si="10"/>
        <v>0</v>
      </c>
      <c r="Y21" s="76">
        <f t="shared" si="10"/>
        <v>0</v>
      </c>
      <c r="Z21" s="76">
        <f t="shared" si="10"/>
        <v>0</v>
      </c>
      <c r="AA21" s="76">
        <f t="shared" si="10"/>
        <v>0</v>
      </c>
      <c r="AB21" s="76">
        <f t="shared" si="10"/>
        <v>0</v>
      </c>
      <c r="AC21" s="76">
        <f t="shared" si="10"/>
        <v>0</v>
      </c>
      <c r="AD21" s="76">
        <f t="shared" si="10"/>
        <v>336033.44</v>
      </c>
      <c r="AE21" s="76">
        <f t="shared" si="10"/>
        <v>31252.66</v>
      </c>
      <c r="AF21" s="76">
        <f t="shared" si="10"/>
        <v>25208.66</v>
      </c>
      <c r="AG21" s="76">
        <f t="shared" si="10"/>
        <v>6044</v>
      </c>
      <c r="AH21" s="76">
        <f t="shared" si="10"/>
        <v>130298.31</v>
      </c>
      <c r="AI21" s="76">
        <f t="shared" si="10"/>
        <v>0</v>
      </c>
      <c r="AJ21" s="76">
        <f t="shared" si="10"/>
        <v>130298.31</v>
      </c>
      <c r="AK21" s="76">
        <f t="shared" si="10"/>
        <v>0</v>
      </c>
      <c r="AL21" s="76">
        <f t="shared" si="10"/>
        <v>136342.31</v>
      </c>
      <c r="AM21" s="112"/>
      <c r="AN21" s="112"/>
      <c r="AO21" s="112"/>
      <c r="AP21" s="112"/>
      <c r="AQ21" s="112"/>
      <c r="AR21" s="46"/>
      <c r="AS21" s="46"/>
      <c r="AT21" s="120"/>
    </row>
    <row r="22" ht="19" customHeight="1"/>
    <row r="23" ht="19" customHeight="1"/>
    <row r="24" ht="19" customHeight="1" spans="30:30">
      <c r="AD24" s="103"/>
    </row>
    <row r="25" ht="19" customHeight="1" spans="2:30">
      <c r="B25" s="48" t="s">
        <v>185</v>
      </c>
      <c r="C25" s="48" t="s">
        <v>212</v>
      </c>
      <c r="D25" s="48" t="s">
        <v>22</v>
      </c>
      <c r="E25" s="48" t="s">
        <v>23</v>
      </c>
      <c r="AD25" s="10"/>
    </row>
    <row r="26" ht="19" customHeight="1" spans="2:5">
      <c r="B26" s="49">
        <f>AJ21</f>
        <v>130298.31</v>
      </c>
      <c r="C26" s="49">
        <f>AG21</f>
        <v>6044</v>
      </c>
      <c r="D26" s="49">
        <f>AK21</f>
        <v>0</v>
      </c>
      <c r="E26" s="49">
        <f>B26+C26+D26</f>
        <v>136342.31</v>
      </c>
    </row>
    <row r="27" ht="19" customHeight="1" spans="2:5">
      <c r="B27" s="50"/>
      <c r="C27" s="50"/>
      <c r="D27" s="50"/>
      <c r="E27" s="50"/>
    </row>
    <row r="28" s="14" customFormat="1" ht="19" customHeight="1" spans="1:35">
      <c r="A28" s="52" t="s">
        <v>213</v>
      </c>
      <c r="B28" s="53" t="s">
        <v>214</v>
      </c>
      <c r="C28" s="51"/>
      <c r="D28" s="51"/>
      <c r="E28" s="51"/>
      <c r="G28" s="54"/>
      <c r="J28" s="77"/>
      <c r="M28" s="78"/>
      <c r="AI28" s="114"/>
    </row>
    <row r="29" s="14" customFormat="1" ht="19" customHeight="1" spans="1:35">
      <c r="A29" s="55"/>
      <c r="B29" s="56" t="s">
        <v>215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216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217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218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219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220</v>
      </c>
    </row>
    <row r="36" spans="2:2">
      <c r="B36" s="60" t="s">
        <v>221</v>
      </c>
    </row>
    <row r="37" spans="2:2">
      <c r="B37" s="60" t="s">
        <v>222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3" priority="2" stopIfTrue="1"/>
  </conditionalFormatting>
  <conditionalFormatting sqref="B28:B32">
    <cfRule type="duplicateValues" dxfId="3" priority="3" stopIfTrue="1"/>
  </conditionalFormatting>
  <conditionalFormatting sqref="B36:B37">
    <cfRule type="duplicateValues" dxfId="3" priority="1" stopIfTrue="1"/>
  </conditionalFormatting>
  <conditionalFormatting sqref="C25:C27">
    <cfRule type="duplicateValues" dxfId="3" priority="4" stopIfTrue="1"/>
    <cfRule type="expression" dxfId="4" priority="5" stopIfTrue="1">
      <formula>AND(COUNTIF($B$21:$B$65457,C25)+COUNTIF($B$1:$B$3,C25)&gt;1,NOT(ISBLANK(C25)))</formula>
    </cfRule>
    <cfRule type="expression" dxfId="4" priority="6" stopIfTrue="1">
      <formula>AND(COUNTIF($B$32:$B$65408,C25)+COUNTIF($B$1:$B$31,C25)&gt;1,NOT(ISBLANK(C25)))</formula>
    </cfRule>
    <cfRule type="expression" dxfId="4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T37"/>
  <sheetViews>
    <sheetView workbookViewId="0">
      <pane xSplit="6" ySplit="3" topLeftCell="G8" activePane="bottomRight" state="frozen"/>
      <selection/>
      <selection pane="topRight"/>
      <selection pane="bottomLeft"/>
      <selection pane="bottomRight" activeCell="AL21" sqref="AL2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157</v>
      </c>
      <c r="B1" s="21"/>
      <c r="C1" s="22"/>
      <c r="D1" s="23"/>
      <c r="E1" s="24"/>
      <c r="F1" s="24"/>
      <c r="G1" s="25"/>
      <c r="J1" s="61"/>
      <c r="L1" s="62"/>
      <c r="M1" s="63" t="s">
        <v>158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159</v>
      </c>
      <c r="C2" s="28" t="s">
        <v>160</v>
      </c>
      <c r="D2" s="28" t="s">
        <v>161</v>
      </c>
      <c r="E2" s="29" t="s">
        <v>162</v>
      </c>
      <c r="F2" s="30" t="s">
        <v>163</v>
      </c>
      <c r="G2" s="29" t="s">
        <v>164</v>
      </c>
      <c r="H2" s="29" t="s">
        <v>165</v>
      </c>
      <c r="I2" s="29" t="s">
        <v>166</v>
      </c>
      <c r="J2" s="64" t="s">
        <v>167</v>
      </c>
      <c r="K2" s="29" t="s">
        <v>168</v>
      </c>
      <c r="L2" s="29" t="s">
        <v>169</v>
      </c>
      <c r="M2" s="65" t="s">
        <v>170</v>
      </c>
      <c r="N2" s="66"/>
      <c r="O2" s="66"/>
      <c r="P2" s="67"/>
      <c r="Q2" s="30" t="s">
        <v>171</v>
      </c>
      <c r="R2" s="29" t="s">
        <v>172</v>
      </c>
      <c r="S2" s="30" t="s">
        <v>173</v>
      </c>
      <c r="T2" s="86" t="s">
        <v>174</v>
      </c>
      <c r="U2" s="30" t="s">
        <v>175</v>
      </c>
      <c r="V2" s="87" t="s">
        <v>176</v>
      </c>
      <c r="W2" s="88"/>
      <c r="X2" s="88"/>
      <c r="Y2" s="88"/>
      <c r="Z2" s="88"/>
      <c r="AA2" s="96"/>
      <c r="AB2" s="30" t="s">
        <v>177</v>
      </c>
      <c r="AC2" s="30" t="s">
        <v>178</v>
      </c>
      <c r="AD2" s="86" t="s">
        <v>179</v>
      </c>
      <c r="AE2" s="86" t="s">
        <v>180</v>
      </c>
      <c r="AF2" s="86" t="s">
        <v>181</v>
      </c>
      <c r="AG2" s="86" t="s">
        <v>182</v>
      </c>
      <c r="AH2" s="105" t="s">
        <v>183</v>
      </c>
      <c r="AI2" s="106" t="s">
        <v>184</v>
      </c>
      <c r="AJ2" s="105" t="s">
        <v>185</v>
      </c>
      <c r="AK2" s="28" t="s">
        <v>22</v>
      </c>
      <c r="AL2" s="105" t="s">
        <v>186</v>
      </c>
      <c r="AM2" s="29" t="s">
        <v>223</v>
      </c>
      <c r="AN2" s="29" t="s">
        <v>224</v>
      </c>
      <c r="AO2" s="116" t="s">
        <v>225</v>
      </c>
      <c r="AP2" s="29" t="s">
        <v>226</v>
      </c>
      <c r="AQ2" s="29" t="s">
        <v>227</v>
      </c>
      <c r="AR2" s="30" t="s">
        <v>228</v>
      </c>
      <c r="AS2" s="30" t="s">
        <v>229</v>
      </c>
      <c r="AT2" s="30" t="s">
        <v>230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187</v>
      </c>
      <c r="N3" s="69" t="s">
        <v>188</v>
      </c>
      <c r="O3" s="69" t="s">
        <v>189</v>
      </c>
      <c r="P3" s="69" t="s">
        <v>37</v>
      </c>
      <c r="Q3" s="35"/>
      <c r="R3" s="34"/>
      <c r="S3" s="35"/>
      <c r="T3" s="89"/>
      <c r="U3" s="35"/>
      <c r="V3" s="90" t="s">
        <v>190</v>
      </c>
      <c r="W3" s="90" t="s">
        <v>191</v>
      </c>
      <c r="X3" s="90" t="s">
        <v>192</v>
      </c>
      <c r="Y3" s="90" t="s">
        <v>193</v>
      </c>
      <c r="Z3" s="90" t="s">
        <v>194</v>
      </c>
      <c r="AA3" s="90" t="s">
        <v>195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196</v>
      </c>
      <c r="C4" s="37" t="s">
        <v>61</v>
      </c>
      <c r="D4" s="37" t="s">
        <v>197</v>
      </c>
      <c r="E4" s="37" t="s">
        <v>62</v>
      </c>
      <c r="F4" s="38" t="s">
        <v>198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79.86</v>
      </c>
      <c r="O4" s="72">
        <v>11.98</v>
      </c>
      <c r="P4" s="72">
        <v>177</v>
      </c>
      <c r="Q4" s="91">
        <f t="shared" ref="Q4:Q11" si="0">ROUND(SUM(M4:P4),2)</f>
        <v>588.3</v>
      </c>
      <c r="R4" s="73">
        <v>0</v>
      </c>
      <c r="S4" s="92">
        <f>L4+IFERROR(VLOOKUP($E:$E,'（居民）工资表-9月'!$E:$S,15,0),0)</f>
        <v>78000</v>
      </c>
      <c r="T4" s="93">
        <f>5000+IFERROR(VLOOKUP($E:$E,'（居民）工资表-9月'!$E:$T,16,0),0)</f>
        <v>50000</v>
      </c>
      <c r="U4" s="93">
        <f>Q4+IFERROR(VLOOKUP($E:$E,'（居民）工资表-9月'!$E:$U,17,0),0)</f>
        <v>5834.4</v>
      </c>
      <c r="V4" s="73">
        <v>10000</v>
      </c>
      <c r="W4" s="73"/>
      <c r="X4" s="73">
        <v>10000</v>
      </c>
      <c r="Y4" s="73"/>
      <c r="Z4" s="73">
        <v>4000</v>
      </c>
      <c r="AA4" s="73"/>
      <c r="AB4" s="92">
        <f t="shared" ref="AB4:AB11" si="1">ROUND(SUM(V4:AA4),2)</f>
        <v>24000</v>
      </c>
      <c r="AC4" s="92">
        <f>R4+IFERROR(VLOOKUP($E:$E,'（居民）工资表-9月'!$E:$AC,25,0),0)</f>
        <v>0</v>
      </c>
      <c r="AD4" s="97">
        <f t="shared" ref="AD4:AD11" si="2">ROUND(S4-T4-U4-AB4-AC4,2)</f>
        <v>-1834.4</v>
      </c>
      <c r="AE4" s="98">
        <f>ROUND(MAX((AD4)*{0.03;0.1;0.2;0.25;0.3;0.35;0.45}-{0;2520;16920;31920;52920;85920;181920},0),2)</f>
        <v>0</v>
      </c>
      <c r="AF4" s="99">
        <f>IFERROR(VLOOKUP(E:E,'（居民）工资表-9月'!E:AF,28,0)+VLOOKUP(E:E,'（居民）工资表-9月'!E:AG,29,0),0)</f>
        <v>592.62</v>
      </c>
      <c r="AG4" s="99">
        <f t="shared" ref="AG4:AG11" si="3">IF((AE4-AF4)&lt;0,0,AE4-AF4)</f>
        <v>0</v>
      </c>
      <c r="AH4" s="109">
        <f t="shared" ref="AH4:AH11" si="4">ROUND(IF((L4-Q4-AG4)&lt;0,0,(L4-Q4-AG4)),2)</f>
        <v>7411.7</v>
      </c>
      <c r="AI4" s="110"/>
      <c r="AJ4" s="109">
        <f t="shared" ref="AJ4:AJ11" si="5">AH4+AI4</f>
        <v>7411.7</v>
      </c>
      <c r="AK4" s="111"/>
      <c r="AL4" s="109">
        <f t="shared" ref="AL4:AL11" si="6">AJ4+AG4+AK4</f>
        <v>7411.7</v>
      </c>
      <c r="AM4" s="111"/>
      <c r="AN4" s="111"/>
      <c r="AO4" s="111"/>
      <c r="AP4" s="111"/>
      <c r="AQ4" s="111"/>
      <c r="AR4" s="118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1" si="8">IF(SUMPRODUCT(N(E$1:E$7=E4))&gt;1,"重复","不")</f>
        <v>不</v>
      </c>
      <c r="AT4" s="118" t="str">
        <f t="shared" ref="AT4:AT11" si="9">IF(SUMPRODUCT(N(AO$1:AO$7=AO4))&gt;1,"重复","不")</f>
        <v>重复</v>
      </c>
    </row>
    <row r="5" s="12" customFormat="1" ht="18" customHeight="1" spans="1:46">
      <c r="A5" s="36">
        <v>2</v>
      </c>
      <c r="B5" s="37" t="s">
        <v>196</v>
      </c>
      <c r="C5" s="37" t="s">
        <v>101</v>
      </c>
      <c r="D5" s="37" t="s">
        <v>197</v>
      </c>
      <c r="E5" s="383" t="s">
        <v>102</v>
      </c>
      <c r="F5" s="38" t="s">
        <v>200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si="0"/>
        <v>655.8</v>
      </c>
      <c r="R5" s="73">
        <v>0</v>
      </c>
      <c r="S5" s="92">
        <f>L5+IFERROR(VLOOKUP($E:$E,'（居民）工资表-9月'!$E:$S,15,0),0)</f>
        <v>57000</v>
      </c>
      <c r="T5" s="93">
        <f>5000+IFERROR(VLOOKUP($E:$E,'（居民）工资表-9月'!$E:$T,16,0),0)</f>
        <v>50000</v>
      </c>
      <c r="U5" s="93">
        <f>Q5+IFERROR(VLOOKUP($E:$E,'（居民）工资表-9月'!$E:$U,17,0),0)</f>
        <v>6223.92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R5+IFERROR(VLOOKUP($E:$E,'（居民）工资表-9月'!$E:$AC,25,0),0)</f>
        <v>0</v>
      </c>
      <c r="AD5" s="97">
        <f t="shared" si="2"/>
        <v>776.08</v>
      </c>
      <c r="AE5" s="98">
        <f>ROUND(MAX((AD5)*{0.03;0.1;0.2;0.25;0.3;0.35;0.45}-{0;2520;16920;31920;52920;85920;181920},0),2)</f>
        <v>23.28</v>
      </c>
      <c r="AF5" s="99">
        <f>IFERROR(VLOOKUP(E:E,'（居民）工资表-9月'!E:AF,28,0)+VLOOKUP(E:E,'（居民）工资表-9月'!E:AG,29,0),0)</f>
        <v>21.96</v>
      </c>
      <c r="AG5" s="99">
        <f t="shared" si="3"/>
        <v>1.32</v>
      </c>
      <c r="AH5" s="109">
        <f t="shared" si="4"/>
        <v>5042.88</v>
      </c>
      <c r="AI5" s="110"/>
      <c r="AJ5" s="109">
        <f t="shared" si="5"/>
        <v>5042.88</v>
      </c>
      <c r="AK5" s="111"/>
      <c r="AL5" s="109">
        <f t="shared" si="6"/>
        <v>5044.2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 t="shared" si="8"/>
        <v>不</v>
      </c>
      <c r="AT5" s="118" t="str">
        <f t="shared" si="9"/>
        <v>重复</v>
      </c>
    </row>
    <row r="6" s="12" customFormat="1" ht="18" customHeight="1" spans="1:46">
      <c r="A6" s="36">
        <v>3</v>
      </c>
      <c r="B6" s="37" t="s">
        <v>196</v>
      </c>
      <c r="C6" s="37" t="s">
        <v>105</v>
      </c>
      <c r="D6" s="37" t="s">
        <v>197</v>
      </c>
      <c r="E6" s="383" t="s">
        <v>106</v>
      </c>
      <c r="F6" s="38" t="s">
        <v>198</v>
      </c>
      <c r="G6" s="41" t="s">
        <v>201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</v>
      </c>
      <c r="Q6" s="91">
        <f t="shared" si="0"/>
        <v>948.55</v>
      </c>
      <c r="R6" s="73">
        <v>0</v>
      </c>
      <c r="S6" s="92">
        <f>L6+IFERROR(VLOOKUP($E:$E,'（居民）工资表-9月'!$E:$S,15,0),0)</f>
        <v>305600</v>
      </c>
      <c r="T6" s="93">
        <f>5000+IFERROR(VLOOKUP($E:$E,'（居民）工资表-9月'!$E:$T,16,0),0)</f>
        <v>50000</v>
      </c>
      <c r="U6" s="93">
        <f>Q6+IFERROR(VLOOKUP($E:$E,'（居民）工资表-9月'!$E:$U,17,0),0)</f>
        <v>8990.5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R6+IFERROR(VLOOKUP($E:$E,'（居民）工资表-9月'!$E:$AC,25,0),0)</f>
        <v>0</v>
      </c>
      <c r="AD6" s="97">
        <f t="shared" si="2"/>
        <v>246609.5</v>
      </c>
      <c r="AE6" s="98">
        <f>ROUND(MAX((AD6)*{0.03;0.1;0.2;0.25;0.3;0.35;0.45}-{0;2520;16920;31920;52920;85920;181920},0),2)</f>
        <v>32401.9</v>
      </c>
      <c r="AF6" s="99">
        <f>IFERROR(VLOOKUP(E:E,'（居民）工资表-9月'!E:AF,28,0)+VLOOKUP(E:E,'（居民）工资表-9月'!E:AG,29,0),0)</f>
        <v>27279.61</v>
      </c>
      <c r="AG6" s="99">
        <f t="shared" si="3"/>
        <v>5122.29</v>
      </c>
      <c r="AH6" s="109">
        <f t="shared" si="4"/>
        <v>25489.16</v>
      </c>
      <c r="AI6" s="110"/>
      <c r="AJ6" s="109">
        <f t="shared" si="5"/>
        <v>25489.16</v>
      </c>
      <c r="AK6" s="111"/>
      <c r="AL6" s="109">
        <f t="shared" si="6"/>
        <v>30611.45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196</v>
      </c>
      <c r="C7" s="37" t="s">
        <v>109</v>
      </c>
      <c r="D7" s="37" t="s">
        <v>197</v>
      </c>
      <c r="E7" s="383" t="s">
        <v>110</v>
      </c>
      <c r="F7" s="38" t="s">
        <v>198</v>
      </c>
      <c r="G7" s="41" t="s">
        <v>203</v>
      </c>
      <c r="H7" s="40"/>
      <c r="I7" s="40"/>
      <c r="J7" s="70"/>
      <c r="K7" s="40"/>
      <c r="L7" s="73">
        <v>9500</v>
      </c>
      <c r="M7" s="72">
        <v>471.12</v>
      </c>
      <c r="N7" s="72">
        <v>125.78</v>
      </c>
      <c r="O7" s="72">
        <v>29.45</v>
      </c>
      <c r="P7" s="72">
        <v>97</v>
      </c>
      <c r="Q7" s="91">
        <f t="shared" si="0"/>
        <v>723.35</v>
      </c>
      <c r="R7" s="73">
        <v>0</v>
      </c>
      <c r="S7" s="92">
        <f>L7+IFERROR(VLOOKUP($E:$E,'（居民）工资表-9月'!$E:$S,15,0),0)</f>
        <v>76700</v>
      </c>
      <c r="T7" s="93">
        <f>5000+IFERROR(VLOOKUP($E:$E,'（居民）工资表-9月'!$E:$T,16,0),0)</f>
        <v>50000</v>
      </c>
      <c r="U7" s="93">
        <f>Q7+IFERROR(VLOOKUP($E:$E,'（居民）工资表-9月'!$E:$U,17,0),0)</f>
        <v>5519.85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R7+IFERROR(VLOOKUP($E:$E,'（居民）工资表-9月'!$E:$AC,25,0),0)</f>
        <v>0</v>
      </c>
      <c r="AD7" s="97">
        <f t="shared" si="2"/>
        <v>21180.15</v>
      </c>
      <c r="AE7" s="98">
        <f>ROUND(MAX((AD7)*{0.03;0.1;0.2;0.25;0.3;0.35;0.45}-{0;2520;16920;31920;52920;85920;181920},0),2)</f>
        <v>635.4</v>
      </c>
      <c r="AF7" s="99">
        <f>IFERROR(VLOOKUP(E:E,'（居民）工资表-9月'!E:AF,28,0)+VLOOKUP(E:E,'（居民）工资表-9月'!E:AG,29,0),0)</f>
        <v>522.11</v>
      </c>
      <c r="AG7" s="99">
        <f t="shared" si="3"/>
        <v>113.29</v>
      </c>
      <c r="AH7" s="109">
        <f t="shared" si="4"/>
        <v>8663.36</v>
      </c>
      <c r="AI7" s="110"/>
      <c r="AJ7" s="109">
        <f t="shared" si="5"/>
        <v>8663.36</v>
      </c>
      <c r="AK7" s="111"/>
      <c r="AL7" s="109">
        <f t="shared" si="6"/>
        <v>8776.65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196</v>
      </c>
      <c r="C8" s="37" t="s">
        <v>117</v>
      </c>
      <c r="D8" s="37" t="s">
        <v>197</v>
      </c>
      <c r="E8" s="383" t="s">
        <v>118</v>
      </c>
      <c r="F8" s="38" t="s">
        <v>198</v>
      </c>
      <c r="G8" s="41">
        <v>19356875630</v>
      </c>
      <c r="H8" s="40"/>
      <c r="I8" s="40"/>
      <c r="J8" s="70"/>
      <c r="K8" s="40"/>
      <c r="L8" s="73">
        <v>11100</v>
      </c>
      <c r="M8" s="72">
        <v>471.12</v>
      </c>
      <c r="N8" s="72">
        <v>123.78</v>
      </c>
      <c r="O8" s="72">
        <v>29.45</v>
      </c>
      <c r="P8" s="72">
        <v>172</v>
      </c>
      <c r="Q8" s="91">
        <f t="shared" si="0"/>
        <v>796.35</v>
      </c>
      <c r="R8" s="73">
        <v>0</v>
      </c>
      <c r="S8" s="92">
        <f>L8+IFERROR(VLOOKUP($E:$E,'（居民）工资表-9月'!$E:$S,15,0),0)</f>
        <v>90800</v>
      </c>
      <c r="T8" s="93">
        <f>5000+IFERROR(VLOOKUP($E:$E,'（居民）工资表-9月'!$E:$T,16,0),0)</f>
        <v>50000</v>
      </c>
      <c r="U8" s="93">
        <f>Q8+IFERROR(VLOOKUP($E:$E,'（居民）工资表-9月'!$E:$U,17,0),0)</f>
        <v>6359.85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R8+IFERROR(VLOOKUP($E:$E,'（居民）工资表-9月'!$E:$AC,25,0),0)</f>
        <v>0</v>
      </c>
      <c r="AD8" s="97">
        <f t="shared" si="2"/>
        <v>34440.15</v>
      </c>
      <c r="AE8" s="98">
        <f>ROUND(MAX((AD8)*{0.03;0.1;0.2;0.25;0.3;0.35;0.45}-{0;2520;16920;31920;52920;85920;181920},0),2)</f>
        <v>1033.2</v>
      </c>
      <c r="AF8" s="99">
        <f>IFERROR(VLOOKUP(E:E,'（居民）工资表-9月'!E:AF,28,0)+VLOOKUP(E:E,'（居民）工资表-9月'!E:AG,29,0),0)</f>
        <v>874.1</v>
      </c>
      <c r="AG8" s="99">
        <f t="shared" si="3"/>
        <v>159.1</v>
      </c>
      <c r="AH8" s="109">
        <f t="shared" si="4"/>
        <v>10144.55</v>
      </c>
      <c r="AI8" s="110"/>
      <c r="AJ8" s="109">
        <f t="shared" si="5"/>
        <v>10144.55</v>
      </c>
      <c r="AK8" s="111"/>
      <c r="AL8" s="109">
        <f t="shared" si="6"/>
        <v>10303.65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</row>
    <row r="9" s="12" customFormat="1" ht="18" customHeight="1" spans="1:46">
      <c r="A9" s="36">
        <v>6</v>
      </c>
      <c r="B9" s="37" t="s">
        <v>196</v>
      </c>
      <c r="C9" s="37" t="s">
        <v>131</v>
      </c>
      <c r="D9" s="37" t="s">
        <v>197</v>
      </c>
      <c r="E9" s="383" t="s">
        <v>132</v>
      </c>
      <c r="F9" s="38" t="s">
        <v>198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97.76</v>
      </c>
      <c r="O9" s="72">
        <v>11.84</v>
      </c>
      <c r="P9" s="72">
        <v>100</v>
      </c>
      <c r="Q9" s="91">
        <f t="shared" si="0"/>
        <v>525.2</v>
      </c>
      <c r="R9" s="73">
        <v>0</v>
      </c>
      <c r="S9" s="92">
        <f>L9+IFERROR(VLOOKUP($E:$E,'（居民）工资表-9月'!$E:$S,15,0),0)</f>
        <v>65000</v>
      </c>
      <c r="T9" s="93">
        <f>5000+IFERROR(VLOOKUP($E:$E,'（居民）工资表-9月'!$E:$T,16,0),0)</f>
        <v>50000</v>
      </c>
      <c r="U9" s="93">
        <f>Q9+IFERROR(VLOOKUP($E:$E,'（居民）工资表-9月'!$E:$U,17,0),0)</f>
        <v>5194.14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R9+IFERROR(VLOOKUP($E:$E,'（居民）工资表-9月'!$E:$AC,25,0),0)</f>
        <v>0</v>
      </c>
      <c r="AD9" s="97">
        <f t="shared" si="2"/>
        <v>9805.86</v>
      </c>
      <c r="AE9" s="98">
        <f>ROUND(MAX((AD9)*{0.03;0.1;0.2;0.25;0.3;0.35;0.45}-{0;2520;16920;31920;52920;85920;181920},0),2)</f>
        <v>294.18</v>
      </c>
      <c r="AF9" s="99">
        <f>IFERROR(VLOOKUP(E:E,'（居民）工资表-9月'!E:AF,28,0)+VLOOKUP(E:E,'（居民）工资表-9月'!E:AG,29,0),0)</f>
        <v>264.93</v>
      </c>
      <c r="AG9" s="99">
        <f t="shared" si="3"/>
        <v>29.25</v>
      </c>
      <c r="AH9" s="109">
        <f t="shared" si="4"/>
        <v>5945.55</v>
      </c>
      <c r="AI9" s="110"/>
      <c r="AJ9" s="109">
        <f t="shared" si="5"/>
        <v>5945.55</v>
      </c>
      <c r="AK9" s="111"/>
      <c r="AL9" s="109">
        <f t="shared" si="6"/>
        <v>5974.8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196</v>
      </c>
      <c r="C10" s="37" t="s">
        <v>136</v>
      </c>
      <c r="D10" s="37" t="s">
        <v>197</v>
      </c>
      <c r="E10" s="383" t="s">
        <v>137</v>
      </c>
      <c r="F10" s="38" t="s">
        <v>198</v>
      </c>
      <c r="G10" s="41" t="s">
        <v>205</v>
      </c>
      <c r="H10" s="40"/>
      <c r="I10" s="40"/>
      <c r="J10" s="70"/>
      <c r="K10" s="40"/>
      <c r="L10" s="73">
        <v>5500</v>
      </c>
      <c r="M10" s="72">
        <v>329.44</v>
      </c>
      <c r="N10" s="72">
        <v>87.36</v>
      </c>
      <c r="O10" s="72">
        <v>20.59</v>
      </c>
      <c r="P10" s="72">
        <v>105</v>
      </c>
      <c r="Q10" s="91">
        <f t="shared" si="0"/>
        <v>542.39</v>
      </c>
      <c r="R10" s="73">
        <v>0</v>
      </c>
      <c r="S10" s="92">
        <f>L10+IFERROR(VLOOKUP($E:$E,'（居民）工资表-9月'!$E:$S,15,0),0)</f>
        <v>55000</v>
      </c>
      <c r="T10" s="93">
        <f>5000+IFERROR(VLOOKUP($E:$E,'（居民）工资表-9月'!$E:$T,16,0),0)</f>
        <v>50000</v>
      </c>
      <c r="U10" s="93">
        <f>Q10+IFERROR(VLOOKUP($E:$E,'（居民）工资表-9月'!$E:$U,17,0),0)</f>
        <v>5440.85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R10+IFERROR(VLOOKUP($E:$E,'（居民）工资表-9月'!$E:$AC,25,0),0)</f>
        <v>0</v>
      </c>
      <c r="AD10" s="97">
        <f t="shared" si="2"/>
        <v>-440.85</v>
      </c>
      <c r="AE10" s="98">
        <f>ROUND(MAX((AD10)*{0.03;0.1;0.2;0.25;0.3;0.35;0.45}-{0;2520;16920;31920;52920;85920;181920},0),2)</f>
        <v>0</v>
      </c>
      <c r="AF10" s="99">
        <f>IFERROR(VLOOKUP(E:E,'（居民）工资表-9月'!E:AF,28,0)+VLOOKUP(E:E,'（居民）工资表-9月'!E:AG,29,0),0)</f>
        <v>0</v>
      </c>
      <c r="AG10" s="99">
        <f t="shared" si="3"/>
        <v>0</v>
      </c>
      <c r="AH10" s="109">
        <f t="shared" si="4"/>
        <v>4957.61</v>
      </c>
      <c r="AI10" s="110"/>
      <c r="AJ10" s="109">
        <f t="shared" si="5"/>
        <v>4957.61</v>
      </c>
      <c r="AK10" s="111"/>
      <c r="AL10" s="109">
        <f t="shared" si="6"/>
        <v>4957.61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196</v>
      </c>
      <c r="C11" s="37" t="s">
        <v>139</v>
      </c>
      <c r="D11" s="37" t="s">
        <v>197</v>
      </c>
      <c r="E11" s="383" t="s">
        <v>140</v>
      </c>
      <c r="F11" s="38" t="s">
        <v>200</v>
      </c>
      <c r="G11" s="41" t="s">
        <v>207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ref="Q11:Q19" si="10">ROUND(SUM(M11:P11),2)</f>
        <v>593</v>
      </c>
      <c r="R11" s="73">
        <v>0</v>
      </c>
      <c r="S11" s="92">
        <f>L11+IFERROR(VLOOKUP($E:$E,'（居民）工资表-9月'!$E:$S,15,0),0)</f>
        <v>45988</v>
      </c>
      <c r="T11" s="93">
        <f>5000+IFERROR(VLOOKUP($E:$E,'（居民）工资表-9月'!$E:$T,16,0),0)</f>
        <v>50000</v>
      </c>
      <c r="U11" s="93">
        <f>Q11+IFERROR(VLOOKUP($E:$E,'（居民）工资表-9月'!$E:$U,17,0),0)</f>
        <v>5928</v>
      </c>
      <c r="V11" s="73"/>
      <c r="W11" s="73"/>
      <c r="X11" s="73"/>
      <c r="Y11" s="73"/>
      <c r="Z11" s="73"/>
      <c r="AA11" s="73"/>
      <c r="AB11" s="92">
        <f t="shared" ref="AB11:AB19" si="11">ROUND(SUM(V11:AA11),2)</f>
        <v>0</v>
      </c>
      <c r="AC11" s="92">
        <f>R11+IFERROR(VLOOKUP($E:$E,'（居民）工资表-9月'!$E:$AC,25,0),0)</f>
        <v>0</v>
      </c>
      <c r="AD11" s="97">
        <f t="shared" ref="AD11:AD19" si="12">ROUND(S11-T11-U11-AB11-AC11,2)</f>
        <v>-9940</v>
      </c>
      <c r="AE11" s="98">
        <f>ROUND(MAX((AD11)*{0.03;0.1;0.2;0.25;0.3;0.35;0.45}-{0;2520;16920;31920;52920;85920;181920},0),2)</f>
        <v>0</v>
      </c>
      <c r="AF11" s="99">
        <f>IFERROR(VLOOKUP(E:E,'（居民）工资表-9月'!E:AF,28,0)+VLOOKUP(E:E,'（居民）工资表-9月'!E:AG,29,0),0)</f>
        <v>0</v>
      </c>
      <c r="AG11" s="99">
        <f t="shared" ref="AG11:AG19" si="13">IF((AE11-AF11)&lt;0,0,AE11-AF11)</f>
        <v>0</v>
      </c>
      <c r="AH11" s="109">
        <f t="shared" ref="AH11:AH19" si="14">ROUND(IF((L11-Q11-AG11)&lt;0,0,(L11-Q11-AG11)),2)</f>
        <v>4005.8</v>
      </c>
      <c r="AI11" s="110"/>
      <c r="AJ11" s="109">
        <f t="shared" ref="AJ11:AJ19" si="15">AH11+AI11</f>
        <v>4005.8</v>
      </c>
      <c r="AK11" s="111"/>
      <c r="AL11" s="109">
        <f t="shared" ref="AL11:AL19" si="16">AJ11+AG11+AK11</f>
        <v>4005.8</v>
      </c>
      <c r="AM11" s="111"/>
      <c r="AN11" s="111"/>
      <c r="AO11" s="111"/>
      <c r="AP11" s="111"/>
      <c r="AQ11" s="111"/>
      <c r="AR11" s="118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8" t="str">
        <f t="shared" ref="AS11:AS19" si="18">IF(SUMPRODUCT(N(E$1:E$7=E11))&gt;1,"重复","不")</f>
        <v>不</v>
      </c>
      <c r="AT11" s="118" t="str">
        <f t="shared" ref="AT11:AT19" si="19">IF(SUMPRODUCT(N(AO$1:AO$7=AO11))&gt;1,"重复","不")</f>
        <v>重复</v>
      </c>
    </row>
    <row r="12" s="12" customFormat="1" ht="18" customHeight="1" spans="1:46">
      <c r="A12" s="36">
        <v>9</v>
      </c>
      <c r="B12" s="37" t="s">
        <v>196</v>
      </c>
      <c r="C12" s="37" t="s">
        <v>126</v>
      </c>
      <c r="D12" s="37" t="s">
        <v>197</v>
      </c>
      <c r="E12" s="383" t="s">
        <v>127</v>
      </c>
      <c r="F12" s="38" t="s">
        <v>198</v>
      </c>
      <c r="G12" s="41">
        <v>18356553626</v>
      </c>
      <c r="H12" s="40"/>
      <c r="I12" s="40"/>
      <c r="J12" s="70"/>
      <c r="K12" s="40"/>
      <c r="L12" s="73">
        <v>11000</v>
      </c>
      <c r="M12" s="72">
        <v>471.12</v>
      </c>
      <c r="N12" s="72">
        <v>153.63</v>
      </c>
      <c r="O12" s="72">
        <v>29.45</v>
      </c>
      <c r="P12" s="72">
        <v>97</v>
      </c>
      <c r="Q12" s="91">
        <f t="shared" si="10"/>
        <v>751.2</v>
      </c>
      <c r="R12" s="73">
        <v>0</v>
      </c>
      <c r="S12" s="92">
        <f>L12+IFERROR(VLOOKUP($E:$E,'（居民）工资表-9月'!$E:$S,15,0),0)</f>
        <v>81718.18</v>
      </c>
      <c r="T12" s="93">
        <f>5000+IFERROR(VLOOKUP($E:$E,'（居民）工资表-9月'!$E:$T,16,0),0)</f>
        <v>50000</v>
      </c>
      <c r="U12" s="93">
        <f>Q12+IFERROR(VLOOKUP($E:$E,'（居民）工资表-9月'!$E:$U,17,0),0)</f>
        <v>5553.13</v>
      </c>
      <c r="V12" s="73"/>
      <c r="W12" s="73"/>
      <c r="X12" s="73"/>
      <c r="Y12" s="73"/>
      <c r="Z12" s="73"/>
      <c r="AA12" s="73"/>
      <c r="AB12" s="92">
        <f t="shared" si="11"/>
        <v>0</v>
      </c>
      <c r="AC12" s="92">
        <f>R12+IFERROR(VLOOKUP($E:$E,'（居民）工资表-9月'!$E:$AC,25,0),0)</f>
        <v>0</v>
      </c>
      <c r="AD12" s="97">
        <f t="shared" si="12"/>
        <v>26165.05</v>
      </c>
      <c r="AE12" s="98">
        <f>ROUND(MAX((AD12)*{0.03;0.1;0.2;0.25;0.3;0.35;0.45}-{0;2520;16920;31920;52920;85920;181920},0),2)</f>
        <v>784.95</v>
      </c>
      <c r="AF12" s="99">
        <f>IFERROR(VLOOKUP(E:E,'（居民）工资表-9月'!E:AF,28,0)+VLOOKUP(E:E,'（居民）工资表-9月'!E:AG,29,0),0)</f>
        <v>627.49</v>
      </c>
      <c r="AG12" s="99">
        <f t="shared" si="13"/>
        <v>157.46</v>
      </c>
      <c r="AH12" s="109">
        <f t="shared" si="14"/>
        <v>10091.34</v>
      </c>
      <c r="AI12" s="110"/>
      <c r="AJ12" s="109">
        <f t="shared" si="15"/>
        <v>10091.34</v>
      </c>
      <c r="AK12" s="111"/>
      <c r="AL12" s="109">
        <f t="shared" si="16"/>
        <v>10248.8</v>
      </c>
      <c r="AM12" s="111"/>
      <c r="AN12" s="111"/>
      <c r="AO12" s="111"/>
      <c r="AP12" s="111"/>
      <c r="AQ12" s="111"/>
      <c r="AR12" s="118" t="str">
        <f t="shared" si="17"/>
        <v>正确</v>
      </c>
      <c r="AS12" s="118" t="str">
        <f t="shared" si="18"/>
        <v>不</v>
      </c>
      <c r="AT12" s="118" t="str">
        <f t="shared" si="19"/>
        <v>重复</v>
      </c>
    </row>
    <row r="13" s="12" customFormat="1" ht="18" customHeight="1" spans="1:46">
      <c r="A13" s="36">
        <v>10</v>
      </c>
      <c r="B13" s="37" t="s">
        <v>196</v>
      </c>
      <c r="C13" s="37" t="s">
        <v>121</v>
      </c>
      <c r="D13" s="37" t="s">
        <v>197</v>
      </c>
      <c r="E13" s="383" t="s">
        <v>122</v>
      </c>
      <c r="F13" s="38" t="s">
        <v>198</v>
      </c>
      <c r="G13" s="41">
        <v>18326897140</v>
      </c>
      <c r="H13" s="40"/>
      <c r="I13" s="40"/>
      <c r="J13" s="70"/>
      <c r="K13" s="40"/>
      <c r="L13" s="73">
        <v>9200</v>
      </c>
      <c r="M13" s="72">
        <v>471.12</v>
      </c>
      <c r="N13" s="72">
        <v>123.78</v>
      </c>
      <c r="O13" s="72">
        <v>29.45</v>
      </c>
      <c r="P13" s="72">
        <v>172</v>
      </c>
      <c r="Q13" s="91">
        <f t="shared" si="10"/>
        <v>796.35</v>
      </c>
      <c r="R13" s="73">
        <v>0</v>
      </c>
      <c r="S13" s="92">
        <f>L13+IFERROR(VLOOKUP($E:$E,'（居民）工资表-9月'!$E:$S,15,0),0)</f>
        <v>66312.05</v>
      </c>
      <c r="T13" s="93">
        <f>5000+IFERROR(VLOOKUP($E:$E,'（居民）工资表-9月'!$E:$T,16,0),0)</f>
        <v>50000</v>
      </c>
      <c r="U13" s="93">
        <f>Q13+IFERROR(VLOOKUP($E:$E,'（居民）工资表-9月'!$E:$U,17,0),0)</f>
        <v>6148.8</v>
      </c>
      <c r="V13" s="73"/>
      <c r="W13" s="73"/>
      <c r="X13" s="73"/>
      <c r="Y13" s="73"/>
      <c r="Z13" s="73"/>
      <c r="AA13" s="73"/>
      <c r="AB13" s="92">
        <f t="shared" si="11"/>
        <v>0</v>
      </c>
      <c r="AC13" s="92">
        <f>R13+IFERROR(VLOOKUP($E:$E,'（居民）工资表-9月'!$E:$AC,25,0),0)</f>
        <v>0</v>
      </c>
      <c r="AD13" s="97">
        <f t="shared" si="12"/>
        <v>10163.25</v>
      </c>
      <c r="AE13" s="98">
        <f>ROUND(MAX((AD13)*{0.03;0.1;0.2;0.25;0.3;0.35;0.45}-{0;2520;16920;31920;52920;85920;181920},0),2)</f>
        <v>304.9</v>
      </c>
      <c r="AF13" s="99">
        <f>IFERROR(VLOOKUP(E:E,'（居民）工资表-9月'!E:AF,28,0)+VLOOKUP(E:E,'（居民）工资表-9月'!E:AG,29,0),0)</f>
        <v>202.79</v>
      </c>
      <c r="AG13" s="99">
        <f t="shared" si="13"/>
        <v>102.11</v>
      </c>
      <c r="AH13" s="109">
        <f t="shared" si="14"/>
        <v>8301.54</v>
      </c>
      <c r="AI13" s="110"/>
      <c r="AJ13" s="109">
        <f t="shared" si="15"/>
        <v>8301.54</v>
      </c>
      <c r="AK13" s="111"/>
      <c r="AL13" s="109">
        <f t="shared" si="16"/>
        <v>8403.65</v>
      </c>
      <c r="AM13" s="111"/>
      <c r="AN13" s="111"/>
      <c r="AO13" s="111"/>
      <c r="AP13" s="111"/>
      <c r="AQ13" s="111"/>
      <c r="AR13" s="118" t="str">
        <f t="shared" si="17"/>
        <v>正确</v>
      </c>
      <c r="AS13" s="118" t="str">
        <f t="shared" si="18"/>
        <v>不</v>
      </c>
      <c r="AT13" s="118" t="str">
        <f t="shared" si="19"/>
        <v>重复</v>
      </c>
    </row>
    <row r="14" s="12" customFormat="1" ht="18" customHeight="1" spans="1:46">
      <c r="A14" s="36">
        <v>11</v>
      </c>
      <c r="B14" s="37" t="s">
        <v>196</v>
      </c>
      <c r="C14" s="37" t="s">
        <v>119</v>
      </c>
      <c r="D14" s="37" t="s">
        <v>197</v>
      </c>
      <c r="E14" s="383" t="s">
        <v>120</v>
      </c>
      <c r="F14" s="38" t="s">
        <v>198</v>
      </c>
      <c r="G14" s="41">
        <v>17201857014</v>
      </c>
      <c r="H14" s="40"/>
      <c r="I14" s="40"/>
      <c r="J14" s="70"/>
      <c r="K14" s="40"/>
      <c r="L14" s="73">
        <v>9800</v>
      </c>
      <c r="M14" s="72">
        <v>471.12</v>
      </c>
      <c r="N14" s="72">
        <v>123.78</v>
      </c>
      <c r="O14" s="72">
        <v>29.45</v>
      </c>
      <c r="P14" s="72">
        <v>172</v>
      </c>
      <c r="Q14" s="91">
        <f t="shared" si="10"/>
        <v>796.35</v>
      </c>
      <c r="R14" s="73">
        <v>0</v>
      </c>
      <c r="S14" s="92">
        <f>L14+IFERROR(VLOOKUP($E:$E,'（居民）工资表-9月'!$E:$S,15,0),0)</f>
        <v>71150</v>
      </c>
      <c r="T14" s="93">
        <f>5000+IFERROR(VLOOKUP($E:$E,'（居民）工资表-9月'!$E:$T,16,0),0)</f>
        <v>50000</v>
      </c>
      <c r="U14" s="93">
        <f>Q14+IFERROR(VLOOKUP($E:$E,'（居民）工资表-9月'!$E:$U,17,0),0)</f>
        <v>6148.8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R14+IFERROR(VLOOKUP($E:$E,'（居民）工资表-9月'!$E:$AC,25,0),0)</f>
        <v>0</v>
      </c>
      <c r="AD14" s="97">
        <f t="shared" si="12"/>
        <v>15001.2</v>
      </c>
      <c r="AE14" s="98">
        <f>ROUND(MAX((AD14)*{0.03;0.1;0.2;0.25;0.3;0.35;0.45}-{0;2520;16920;31920;52920;85920;181920},0),2)</f>
        <v>450.04</v>
      </c>
      <c r="AF14" s="99">
        <f>IFERROR(VLOOKUP(E:E,'（居民）工资表-9月'!E:AF,28,0)+VLOOKUP(E:E,'（居民）工资表-9月'!E:AG,29,0),0)</f>
        <v>329.93</v>
      </c>
      <c r="AG14" s="99">
        <f t="shared" si="13"/>
        <v>120.11</v>
      </c>
      <c r="AH14" s="109">
        <f t="shared" si="14"/>
        <v>8883.54</v>
      </c>
      <c r="AI14" s="110"/>
      <c r="AJ14" s="109">
        <f t="shared" si="15"/>
        <v>8883.54</v>
      </c>
      <c r="AK14" s="111"/>
      <c r="AL14" s="109">
        <f t="shared" si="16"/>
        <v>9003.65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</row>
    <row r="15" s="12" customFormat="1" ht="18" customHeight="1" spans="1:46">
      <c r="A15" s="36">
        <v>12</v>
      </c>
      <c r="B15" s="37" t="s">
        <v>196</v>
      </c>
      <c r="C15" s="37" t="s">
        <v>124</v>
      </c>
      <c r="D15" s="37" t="s">
        <v>197</v>
      </c>
      <c r="E15" s="383" t="s">
        <v>125</v>
      </c>
      <c r="F15" s="38" t="s">
        <v>200</v>
      </c>
      <c r="G15" s="41" t="s">
        <v>209</v>
      </c>
      <c r="H15" s="40"/>
      <c r="I15" s="40"/>
      <c r="J15" s="70"/>
      <c r="K15" s="40"/>
      <c r="L15" s="73">
        <v>7900</v>
      </c>
      <c r="M15" s="72">
        <v>471.12</v>
      </c>
      <c r="N15" s="72">
        <v>153.63</v>
      </c>
      <c r="O15" s="72">
        <v>29.45</v>
      </c>
      <c r="P15" s="72">
        <v>97</v>
      </c>
      <c r="Q15" s="91">
        <f t="shared" si="10"/>
        <v>751.2</v>
      </c>
      <c r="R15" s="73">
        <v>0</v>
      </c>
      <c r="S15" s="92">
        <f>L15+IFERROR(VLOOKUP($E:$E,'（居民）工资表-9月'!$E:$S,15,0),0)</f>
        <v>70809.09</v>
      </c>
      <c r="T15" s="93">
        <f>5000+IFERROR(VLOOKUP($E:$E,'（居民）工资表-9月'!$E:$T,16,0),0)</f>
        <v>50000</v>
      </c>
      <c r="U15" s="93">
        <f>Q15+IFERROR(VLOOKUP($E:$E,'（居民）工资表-9月'!$E:$U,17,0),0)</f>
        <v>5561.17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R15+IFERROR(VLOOKUP($E:$E,'（居民）工资表-9月'!$E:$AC,25,0),0)</f>
        <v>0</v>
      </c>
      <c r="AD15" s="97">
        <f t="shared" si="12"/>
        <v>15247.92</v>
      </c>
      <c r="AE15" s="98">
        <f>ROUND(MAX((AD15)*{0.03;0.1;0.2;0.25;0.3;0.35;0.45}-{0;2520;16920;31920;52920;85920;181920},0),2)</f>
        <v>457.44</v>
      </c>
      <c r="AF15" s="99">
        <f>IFERROR(VLOOKUP(E:E,'（居民）工资表-9月'!E:AF,28,0)+VLOOKUP(E:E,'（居民）工资表-9月'!E:AG,29,0),0)</f>
        <v>392.97</v>
      </c>
      <c r="AG15" s="99">
        <f t="shared" si="13"/>
        <v>64.4699999999999</v>
      </c>
      <c r="AH15" s="109">
        <f t="shared" si="14"/>
        <v>7084.33</v>
      </c>
      <c r="AI15" s="110"/>
      <c r="AJ15" s="109">
        <f t="shared" si="15"/>
        <v>7084.33</v>
      </c>
      <c r="AK15" s="111"/>
      <c r="AL15" s="109">
        <f t="shared" si="16"/>
        <v>7148.8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</row>
    <row r="16" s="12" customFormat="1" ht="18" customHeight="1" spans="1:46">
      <c r="A16" s="36">
        <v>13</v>
      </c>
      <c r="B16" s="37" t="s">
        <v>196</v>
      </c>
      <c r="C16" s="37" t="s">
        <v>113</v>
      </c>
      <c r="D16" s="37" t="s">
        <v>197</v>
      </c>
      <c r="E16" s="383" t="s">
        <v>114</v>
      </c>
      <c r="F16" s="38" t="s">
        <v>200</v>
      </c>
      <c r="G16" s="41">
        <v>15855788591</v>
      </c>
      <c r="H16" s="40"/>
      <c r="I16" s="40"/>
      <c r="J16" s="70"/>
      <c r="K16" s="40"/>
      <c r="L16" s="73">
        <v>6860</v>
      </c>
      <c r="M16" s="72">
        <v>471.12</v>
      </c>
      <c r="N16" s="72">
        <v>125.78</v>
      </c>
      <c r="O16" s="72">
        <v>29.45</v>
      </c>
      <c r="P16" s="72">
        <v>97</v>
      </c>
      <c r="Q16" s="91">
        <f t="shared" si="10"/>
        <v>723.35</v>
      </c>
      <c r="R16" s="73">
        <v>0</v>
      </c>
      <c r="S16" s="92">
        <f>L16+IFERROR(VLOOKUP($E:$E,'（居民）工资表-9月'!$E:$S,15,0),0)</f>
        <v>60472</v>
      </c>
      <c r="T16" s="93">
        <f>5000+IFERROR(VLOOKUP($E:$E,'（居民）工资表-9月'!$E:$T,16,0),0)</f>
        <v>50000</v>
      </c>
      <c r="U16" s="93">
        <f>Q16+IFERROR(VLOOKUP($E:$E,'（居民）工资表-9月'!$E:$U,17,0),0)</f>
        <v>5751.95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R16+IFERROR(VLOOKUP($E:$E,'（居民）工资表-9月'!$E:$AC,25,0),0)</f>
        <v>0</v>
      </c>
      <c r="AD16" s="97">
        <f t="shared" si="12"/>
        <v>4720.05</v>
      </c>
      <c r="AE16" s="98">
        <f>ROUND(MAX((AD16)*{0.03;0.1;0.2;0.25;0.3;0.35;0.45}-{0;2520;16920;31920;52920;85920;181920},0),2)</f>
        <v>141.6</v>
      </c>
      <c r="AF16" s="99">
        <f>IFERROR(VLOOKUP(E:E,'（居民）工资表-9月'!E:AF,28,0)+VLOOKUP(E:E,'（居民）工资表-9月'!E:AG,29,0),0)</f>
        <v>107.5</v>
      </c>
      <c r="AG16" s="99">
        <f t="shared" si="13"/>
        <v>34.1</v>
      </c>
      <c r="AH16" s="109">
        <f t="shared" si="14"/>
        <v>6102.55</v>
      </c>
      <c r="AI16" s="110"/>
      <c r="AJ16" s="109">
        <f t="shared" si="15"/>
        <v>6102.55</v>
      </c>
      <c r="AK16" s="111"/>
      <c r="AL16" s="109">
        <f t="shared" si="16"/>
        <v>6136.65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</row>
    <row r="17" s="12" customFormat="1" ht="18" customHeight="1" spans="1:46">
      <c r="A17" s="36">
        <v>14</v>
      </c>
      <c r="B17" s="37" t="s">
        <v>196</v>
      </c>
      <c r="C17" s="37" t="s">
        <v>143</v>
      </c>
      <c r="D17" s="37" t="s">
        <v>197</v>
      </c>
      <c r="E17" s="383" t="s">
        <v>144</v>
      </c>
      <c r="F17" s="38" t="s">
        <v>200</v>
      </c>
      <c r="G17" s="41">
        <v>13873717760</v>
      </c>
      <c r="H17" s="40"/>
      <c r="I17" s="40"/>
      <c r="J17" s="70"/>
      <c r="K17" s="40"/>
      <c r="L17" s="73">
        <v>8060</v>
      </c>
      <c r="M17" s="72">
        <v>315.6</v>
      </c>
      <c r="N17" s="72">
        <v>97.76</v>
      </c>
      <c r="O17" s="72">
        <v>11.84</v>
      </c>
      <c r="P17" s="72">
        <v>175</v>
      </c>
      <c r="Q17" s="91">
        <f t="shared" si="10"/>
        <v>600.2</v>
      </c>
      <c r="R17" s="73">
        <v>0</v>
      </c>
      <c r="S17" s="92">
        <f>L17+IFERROR(VLOOKUP($E:$E,'（居民）工资表-9月'!$E:$S,15,0),0)</f>
        <v>60265</v>
      </c>
      <c r="T17" s="93">
        <f>5000+IFERROR(VLOOKUP($E:$E,'（居民）工资表-9月'!$E:$T,16,0),0)</f>
        <v>50000</v>
      </c>
      <c r="U17" s="93">
        <f>Q17+IFERROR(VLOOKUP($E:$E,'（居民）工资表-9月'!$E:$U,17,0),0)</f>
        <v>6583.51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R17+IFERROR(VLOOKUP($E:$E,'（居民）工资表-9月'!$E:$AC,25,0),0)</f>
        <v>0</v>
      </c>
      <c r="AD17" s="97">
        <f t="shared" si="12"/>
        <v>3681.49</v>
      </c>
      <c r="AE17" s="98">
        <f>ROUND(MAX((AD17)*{0.03;0.1;0.2;0.25;0.3;0.35;0.45}-{0;2520;16920;31920;52920;85920;181920},0),2)</f>
        <v>110.44</v>
      </c>
      <c r="AF17" s="99">
        <f>IFERROR(VLOOKUP(E:E,'（居民）工资表-9月'!E:AF,28,0)+VLOOKUP(E:E,'（居民）工资表-9月'!E:AG,29,0),0)</f>
        <v>36.65</v>
      </c>
      <c r="AG17" s="99">
        <f t="shared" si="13"/>
        <v>73.79</v>
      </c>
      <c r="AH17" s="109">
        <f t="shared" si="14"/>
        <v>7386.01</v>
      </c>
      <c r="AI17" s="110"/>
      <c r="AJ17" s="109">
        <f t="shared" si="15"/>
        <v>7386.01</v>
      </c>
      <c r="AK17" s="111"/>
      <c r="AL17" s="109">
        <f t="shared" si="16"/>
        <v>7459.8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</row>
    <row r="18" s="12" customFormat="1" ht="18" customHeight="1" spans="1:46">
      <c r="A18" s="36">
        <v>15</v>
      </c>
      <c r="B18" s="37" t="s">
        <v>196</v>
      </c>
      <c r="C18" s="37" t="s">
        <v>147</v>
      </c>
      <c r="D18" s="37" t="s">
        <v>197</v>
      </c>
      <c r="E18" s="383" t="s">
        <v>148</v>
      </c>
      <c r="F18" s="38" t="s">
        <v>200</v>
      </c>
      <c r="G18" s="41"/>
      <c r="H18" s="40"/>
      <c r="I18" s="40"/>
      <c r="J18" s="70"/>
      <c r="K18" s="40"/>
      <c r="L18" s="73">
        <v>6800</v>
      </c>
      <c r="M18" s="72">
        <v>411.28</v>
      </c>
      <c r="N18" s="72">
        <v>102.82</v>
      </c>
      <c r="O18" s="72">
        <v>25.71</v>
      </c>
      <c r="P18" s="72">
        <v>103</v>
      </c>
      <c r="Q18" s="91">
        <f t="shared" si="10"/>
        <v>642.81</v>
      </c>
      <c r="R18" s="73">
        <v>0</v>
      </c>
      <c r="S18" s="92">
        <f>L18+IFERROR(VLOOKUP($E:$E,'（居民）工资表-9月'!$E:$S,15,0),0)</f>
        <v>34236.37</v>
      </c>
      <c r="T18" s="93">
        <f>5000+IFERROR(VLOOKUP($E:$E,'（居民）工资表-9月'!$E:$T,16,0),0)</f>
        <v>30000</v>
      </c>
      <c r="U18" s="93">
        <f>Q18+IFERROR(VLOOKUP($E:$E,'（居民）工资表-9月'!$E:$U,17,0),0)</f>
        <v>3674.97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R18+IFERROR(VLOOKUP($E:$E,'（居民）工资表-9月'!$E:$AC,25,0),0)</f>
        <v>0</v>
      </c>
      <c r="AD18" s="97">
        <f t="shared" si="12"/>
        <v>561.4</v>
      </c>
      <c r="AE18" s="98">
        <f>ROUND(MAX((AD18)*{0.03;0.1;0.2;0.25;0.3;0.35;0.45}-{0;2520;16920;31920;52920;85920;181920},0),2)</f>
        <v>16.84</v>
      </c>
      <c r="AF18" s="99">
        <f>IFERROR(VLOOKUP(E:E,'（居民）工资表-9月'!E:AF,28,0)+VLOOKUP(E:E,'（居民）工资表-9月'!E:AG,29,0),0)</f>
        <v>0</v>
      </c>
      <c r="AG18" s="99">
        <f t="shared" si="13"/>
        <v>16.84</v>
      </c>
      <c r="AH18" s="109">
        <f t="shared" si="14"/>
        <v>6140.35</v>
      </c>
      <c r="AI18" s="110"/>
      <c r="AJ18" s="109">
        <f t="shared" si="15"/>
        <v>6140.35</v>
      </c>
      <c r="AK18" s="111"/>
      <c r="AL18" s="109">
        <f t="shared" si="16"/>
        <v>6157.19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</row>
    <row r="19" s="12" customFormat="1" ht="18" customHeight="1" spans="1:46">
      <c r="A19" s="36">
        <v>16</v>
      </c>
      <c r="B19" s="37" t="s">
        <v>196</v>
      </c>
      <c r="C19" s="37" t="s">
        <v>152</v>
      </c>
      <c r="D19" s="37" t="s">
        <v>197</v>
      </c>
      <c r="E19" s="383" t="s">
        <v>153</v>
      </c>
      <c r="F19" s="38" t="s">
        <v>200</v>
      </c>
      <c r="G19" s="41">
        <v>15571147351</v>
      </c>
      <c r="H19" s="40"/>
      <c r="I19" s="40"/>
      <c r="J19" s="70"/>
      <c r="K19" s="40"/>
      <c r="L19" s="73">
        <v>4739.43</v>
      </c>
      <c r="M19" s="72">
        <v>373.2</v>
      </c>
      <c r="N19" s="72">
        <v>94.42</v>
      </c>
      <c r="O19" s="72">
        <v>13.99</v>
      </c>
      <c r="P19" s="72">
        <v>100.5</v>
      </c>
      <c r="Q19" s="91">
        <f t="shared" si="10"/>
        <v>582.11</v>
      </c>
      <c r="R19" s="73">
        <v>0</v>
      </c>
      <c r="S19" s="92">
        <f>L19+IFERROR(VLOOKUP($E:$E,'（居民）工资表-9月'!$E:$S,15,0),0)</f>
        <v>14383.14</v>
      </c>
      <c r="T19" s="93">
        <f>5000+IFERROR(VLOOKUP($E:$E,'（居民）工资表-9月'!$E:$T,16,0),0)</f>
        <v>20000</v>
      </c>
      <c r="U19" s="93">
        <f>Q19+IFERROR(VLOOKUP($E:$E,'（居民）工资表-9月'!$E:$U,17,0),0)</f>
        <v>2684.83</v>
      </c>
      <c r="V19" s="73"/>
      <c r="W19" s="73"/>
      <c r="X19" s="73"/>
      <c r="Y19" s="73"/>
      <c r="Z19" s="73"/>
      <c r="AA19" s="73"/>
      <c r="AB19" s="92">
        <f t="shared" si="11"/>
        <v>0</v>
      </c>
      <c r="AC19" s="92">
        <f>R19+IFERROR(VLOOKUP($E:$E,'（居民）工资表-9月'!$E:$AC,25,0),0)</f>
        <v>0</v>
      </c>
      <c r="AD19" s="97">
        <f t="shared" si="12"/>
        <v>-8301.69</v>
      </c>
      <c r="AE19" s="98">
        <f>ROUND(MAX((AD19)*{0.03;0.1;0.2;0.25;0.3;0.35;0.45}-{0;2520;16920;31920;52920;85920;181920},0),2)</f>
        <v>0</v>
      </c>
      <c r="AF19" s="99">
        <f>IFERROR(VLOOKUP(E:E,'（居民）工资表-9月'!E:AF,28,0)+VLOOKUP(E:E,'（居民）工资表-9月'!E:AG,29,0),0)</f>
        <v>0</v>
      </c>
      <c r="AG19" s="99">
        <f t="shared" si="13"/>
        <v>0</v>
      </c>
      <c r="AH19" s="109">
        <f t="shared" si="14"/>
        <v>4157.32</v>
      </c>
      <c r="AI19" s="110"/>
      <c r="AJ19" s="109">
        <f t="shared" si="15"/>
        <v>4157.32</v>
      </c>
      <c r="AK19" s="111"/>
      <c r="AL19" s="109">
        <f t="shared" si="16"/>
        <v>4157.32</v>
      </c>
      <c r="AM19" s="111"/>
      <c r="AN19" s="111"/>
      <c r="AO19" s="111"/>
      <c r="AP19" s="111"/>
      <c r="AQ19" s="111"/>
      <c r="AR19" s="118" t="str">
        <f t="shared" si="17"/>
        <v>正确</v>
      </c>
      <c r="AS19" s="118" t="str">
        <f t="shared" si="18"/>
        <v>不</v>
      </c>
      <c r="AT19" s="118" t="str">
        <f t="shared" si="19"/>
        <v>重复</v>
      </c>
    </row>
    <row r="20" s="12" customFormat="1" ht="18" customHeight="1" spans="1:46">
      <c r="A20" s="36"/>
      <c r="B20" s="37"/>
      <c r="C20" s="144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211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146818.23</v>
      </c>
      <c r="M21" s="76">
        <f>SUM(M4:M20)</f>
        <v>6721.94</v>
      </c>
      <c r="N21" s="76">
        <f>SUM(N4:N20)</f>
        <v>1859.82</v>
      </c>
      <c r="O21" s="76">
        <f>SUM(O4:O20)</f>
        <v>365.25</v>
      </c>
      <c r="P21" s="76">
        <f>SUM(P4:P20)</f>
        <v>2069.5</v>
      </c>
      <c r="Q21" s="76">
        <f t="shared" ref="Q21:AL21" si="20">SUM(Q4:Q20)</f>
        <v>11016.51</v>
      </c>
      <c r="R21" s="76">
        <f t="shared" si="20"/>
        <v>0</v>
      </c>
      <c r="S21" s="76">
        <f t="shared" si="20"/>
        <v>1233433.83</v>
      </c>
      <c r="T21" s="76">
        <f t="shared" si="20"/>
        <v>750000</v>
      </c>
      <c r="U21" s="76">
        <f t="shared" si="20"/>
        <v>91598.67</v>
      </c>
      <c r="V21" s="76">
        <f t="shared" si="20"/>
        <v>10000</v>
      </c>
      <c r="W21" s="76">
        <f t="shared" si="20"/>
        <v>0</v>
      </c>
      <c r="X21" s="76">
        <f t="shared" si="20"/>
        <v>10000</v>
      </c>
      <c r="Y21" s="76">
        <f t="shared" si="20"/>
        <v>0</v>
      </c>
      <c r="Z21" s="76">
        <f t="shared" si="20"/>
        <v>4000</v>
      </c>
      <c r="AA21" s="76">
        <f t="shared" si="20"/>
        <v>0</v>
      </c>
      <c r="AB21" s="76">
        <f t="shared" si="20"/>
        <v>24000</v>
      </c>
      <c r="AC21" s="76">
        <f t="shared" si="20"/>
        <v>0</v>
      </c>
      <c r="AD21" s="76">
        <f t="shared" si="20"/>
        <v>367835.16</v>
      </c>
      <c r="AE21" s="76">
        <f t="shared" si="20"/>
        <v>36654.17</v>
      </c>
      <c r="AF21" s="76">
        <f t="shared" si="20"/>
        <v>31252.66</v>
      </c>
      <c r="AG21" s="76">
        <f t="shared" si="20"/>
        <v>5994.13</v>
      </c>
      <c r="AH21" s="76">
        <f t="shared" si="20"/>
        <v>129807.59</v>
      </c>
      <c r="AI21" s="76">
        <f t="shared" si="20"/>
        <v>0</v>
      </c>
      <c r="AJ21" s="76">
        <f t="shared" si="20"/>
        <v>129807.59</v>
      </c>
      <c r="AK21" s="76">
        <f t="shared" si="20"/>
        <v>0</v>
      </c>
      <c r="AL21" s="76">
        <f t="shared" si="20"/>
        <v>135801.72</v>
      </c>
      <c r="AM21" s="112"/>
      <c r="AN21" s="112"/>
      <c r="AO21" s="112"/>
      <c r="AP21" s="112"/>
      <c r="AQ21" s="112"/>
      <c r="AR21" s="46"/>
      <c r="AS21" s="46"/>
      <c r="AT21" s="120"/>
    </row>
    <row r="24" spans="30:30">
      <c r="AD24" s="103"/>
    </row>
    <row r="25" ht="18.75" customHeight="1" spans="2:30">
      <c r="B25" s="48" t="s">
        <v>185</v>
      </c>
      <c r="C25" s="48" t="s">
        <v>212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129807.59</v>
      </c>
      <c r="C26" s="49">
        <f>AG21</f>
        <v>5994.13</v>
      </c>
      <c r="D26" s="49">
        <f>AK21</f>
        <v>0</v>
      </c>
      <c r="E26" s="49">
        <f>B26+C26+D26</f>
        <v>135801.72</v>
      </c>
    </row>
    <row r="27" spans="2:5">
      <c r="B27" s="50"/>
      <c r="C27" s="50"/>
      <c r="D27" s="50"/>
      <c r="E27" s="50"/>
    </row>
    <row r="28" s="14" customFormat="1" spans="1:35">
      <c r="A28" s="52" t="s">
        <v>213</v>
      </c>
      <c r="B28" s="53" t="s">
        <v>214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215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216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217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218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219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220</v>
      </c>
    </row>
    <row r="36" spans="2:2">
      <c r="B36" s="60" t="s">
        <v>221</v>
      </c>
    </row>
    <row r="37" spans="2:2">
      <c r="B37" s="60" t="s">
        <v>222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3" priority="1"/>
  </conditionalFormatting>
  <conditionalFormatting sqref="B33">
    <cfRule type="duplicateValues" dxfId="3" priority="3" stopIfTrue="1"/>
  </conditionalFormatting>
  <conditionalFormatting sqref="B28:B32">
    <cfRule type="duplicateValues" dxfId="3" priority="4" stopIfTrue="1"/>
  </conditionalFormatting>
  <conditionalFormatting sqref="B36:B37">
    <cfRule type="duplicateValues" dxfId="3" priority="2" stopIfTrue="1"/>
  </conditionalFormatting>
  <conditionalFormatting sqref="C25:C27">
    <cfRule type="duplicateValues" dxfId="3" priority="5" stopIfTrue="1"/>
    <cfRule type="expression" dxfId="4" priority="6" stopIfTrue="1">
      <formula>AND(COUNTIF($B$21:$B$65457,C25)+COUNTIF($B$1:$B$3,C25)&gt;1,NOT(ISBLANK(C25)))</formula>
    </cfRule>
    <cfRule type="expression" dxfId="4" priority="7" stopIfTrue="1">
      <formula>AND(COUNTIF($B$32:$B$65408,C25)+COUNTIF($B$1:$B$31,C25)&gt;1,NOT(ISBLANK(C25)))</formula>
    </cfRule>
    <cfRule type="expression" dxfId="4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社保</vt:lpstr>
      <vt:lpstr>付款通知</vt:lpstr>
      <vt:lpstr>社保1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2018-08-01T08:19:00Z</dcterms:created>
  <cp:lastPrinted>2019-02-02T09:30:00Z</cp:lastPrinted>
  <dcterms:modified xsi:type="dcterms:W3CDTF">2023-10-07T09:10:20Z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2052-12.1.0.15374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